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 defaultThemeVersion="124226"/>
  <xr:revisionPtr revIDLastSave="0" documentId="13_ncr:1_{81582048-34F5-48D9-8E96-4DA3455EEFBC}" xr6:coauthVersionLast="47" xr6:coauthVersionMax="47" xr10:uidLastSave="{00000000-0000-0000-0000-000000000000}"/>
  <bookViews>
    <workbookView xWindow="-108" yWindow="-108" windowWidth="23256" windowHeight="12456" tabRatio="991" activeTab="2" xr2:uid="{00000000-000D-0000-FFFF-FFFF00000000}"/>
  </bookViews>
  <sheets>
    <sheet name="Школа1" sheetId="21" r:id="rId1"/>
    <sheet name="Школа2" sheetId="22" r:id="rId2"/>
    <sheet name="Детский сад1" sheetId="26" r:id="rId3"/>
    <sheet name="Детский сад2" sheetId="5" r:id="rId4"/>
    <sheet name="Столы" sheetId="7" r:id="rId5"/>
    <sheet name="Тумбы" sheetId="13" r:id="rId6"/>
    <sheet name="Шкафы" sheetId="19" r:id="rId7"/>
    <sheet name="Библиотека" sheetId="18" r:id="rId8"/>
  </sheets>
  <definedNames>
    <definedName name="_xlnm.Print_Area" localSheetId="7">Библиотека!$A$1:$BS$101</definedName>
    <definedName name="_xlnm.Print_Area" localSheetId="3">'Детский сад2'!$A$1:$BR$94</definedName>
    <definedName name="_xlnm.Print_Area" localSheetId="4">Столы!$A$1:$BR$94</definedName>
    <definedName name="_xlnm.Print_Area" localSheetId="5">Тумбы!$A$1:$BR$92</definedName>
    <definedName name="_xlnm.Print_Area" localSheetId="6">Шкафы!$A$1:$BR$93</definedName>
    <definedName name="_xlnm.Print_Area" localSheetId="0">Школа1!$A$1:$BN$96</definedName>
    <definedName name="_xlnm.Print_Area" localSheetId="1">Школа2!$B$1:$BN$102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101" i="18" l="1"/>
  <c r="BE101" i="18"/>
  <c r="AU101" i="18"/>
  <c r="AK101" i="18"/>
  <c r="AA101" i="18"/>
  <c r="Q101" i="18"/>
  <c r="G101" i="18"/>
  <c r="BO87" i="18"/>
  <c r="BE87" i="18"/>
  <c r="AU87" i="18"/>
  <c r="AK87" i="18"/>
  <c r="AA87" i="18"/>
  <c r="Q87" i="18"/>
  <c r="G87" i="18"/>
  <c r="G73" i="18"/>
  <c r="Q73" i="18"/>
  <c r="AA73" i="18"/>
  <c r="AK73" i="18"/>
  <c r="AU73" i="18"/>
  <c r="BE73" i="18"/>
  <c r="BO73" i="18"/>
  <c r="BO59" i="18"/>
  <c r="BE59" i="18"/>
  <c r="AU59" i="18"/>
  <c r="AK59" i="18"/>
  <c r="AA59" i="18"/>
  <c r="Q59" i="18"/>
  <c r="G59" i="18"/>
  <c r="G45" i="18"/>
  <c r="Q45" i="18"/>
  <c r="AA45" i="18"/>
  <c r="AK45" i="18"/>
  <c r="AU45" i="18"/>
  <c r="BE45" i="18"/>
  <c r="BO45" i="18"/>
  <c r="BO31" i="18"/>
  <c r="BE31" i="18"/>
  <c r="AU31" i="18"/>
  <c r="AK31" i="18"/>
  <c r="AA31" i="18"/>
  <c r="Q31" i="18"/>
  <c r="G31" i="18"/>
  <c r="BO17" i="18"/>
  <c r="BE17" i="18"/>
  <c r="AU17" i="18"/>
  <c r="AK17" i="18"/>
  <c r="AA17" i="18"/>
  <c r="Q17" i="18"/>
  <c r="G17" i="18"/>
  <c r="BQ93" i="19"/>
  <c r="BQ92" i="19"/>
  <c r="BG93" i="19"/>
  <c r="BG92" i="19"/>
  <c r="AW93" i="19"/>
  <c r="AW92" i="19"/>
  <c r="AM93" i="19"/>
  <c r="AM92" i="19"/>
  <c r="AA93" i="19"/>
  <c r="Q93" i="19"/>
  <c r="G93" i="19"/>
  <c r="BO77" i="19"/>
  <c r="BO76" i="19"/>
  <c r="BE77" i="19"/>
  <c r="BE76" i="19"/>
  <c r="AU77" i="19"/>
  <c r="AU76" i="19"/>
  <c r="AK77" i="19"/>
  <c r="AK76" i="19"/>
  <c r="AA77" i="19"/>
  <c r="AA76" i="19"/>
  <c r="Q77" i="19"/>
  <c r="Q76" i="19"/>
  <c r="G77" i="19"/>
  <c r="G76" i="19"/>
  <c r="BO45" i="19"/>
  <c r="BO44" i="19"/>
  <c r="BE45" i="19"/>
  <c r="BE44" i="19"/>
  <c r="AU45" i="19"/>
  <c r="AU44" i="19"/>
  <c r="AK45" i="19"/>
  <c r="AK44" i="19"/>
  <c r="AA45" i="19"/>
  <c r="AA44" i="19"/>
  <c r="Q45" i="19"/>
  <c r="Q44" i="19"/>
  <c r="G45" i="19"/>
  <c r="G44" i="19"/>
  <c r="BO29" i="19"/>
  <c r="BE29" i="19"/>
  <c r="AU29" i="19"/>
  <c r="AK29" i="19"/>
  <c r="AA29" i="19"/>
  <c r="Q29" i="19"/>
  <c r="G29" i="19"/>
  <c r="BO16" i="19"/>
  <c r="BE16" i="19"/>
  <c r="AU16" i="19"/>
  <c r="AK16" i="19"/>
  <c r="AA16" i="19"/>
  <c r="Q16" i="19"/>
  <c r="G16" i="19"/>
  <c r="G92" i="13"/>
  <c r="G91" i="13"/>
  <c r="Q92" i="13"/>
  <c r="Q91" i="13"/>
  <c r="Q90" i="13"/>
  <c r="AA92" i="13"/>
  <c r="AA91" i="13"/>
  <c r="AA90" i="13"/>
  <c r="AK92" i="13"/>
  <c r="AK91" i="13"/>
  <c r="AK90" i="13"/>
  <c r="AU92" i="13"/>
  <c r="AU91" i="13"/>
  <c r="AU90" i="13"/>
  <c r="BE92" i="13"/>
  <c r="BE91" i="13"/>
  <c r="BE90" i="13"/>
  <c r="BO92" i="13"/>
  <c r="BO91" i="13"/>
  <c r="BO73" i="13"/>
  <c r="BO72" i="13"/>
  <c r="BO71" i="13"/>
  <c r="BE73" i="13"/>
  <c r="BE72" i="13"/>
  <c r="AU73" i="13"/>
  <c r="AU72" i="13"/>
  <c r="AK73" i="13"/>
  <c r="AK72" i="13"/>
  <c r="AA73" i="13"/>
  <c r="Q73" i="13"/>
  <c r="G73" i="13"/>
  <c r="BO59" i="13"/>
  <c r="BE59" i="13"/>
  <c r="AU59" i="13"/>
  <c r="AK59" i="13"/>
  <c r="AA59" i="13"/>
  <c r="Q59" i="13"/>
  <c r="G59" i="13"/>
  <c r="BO45" i="13"/>
  <c r="BE45" i="13"/>
  <c r="AU45" i="13"/>
  <c r="AK45" i="13"/>
  <c r="AA45" i="13"/>
  <c r="Q45" i="13"/>
  <c r="Q44" i="13"/>
  <c r="G45" i="13"/>
  <c r="G44" i="13"/>
  <c r="BO31" i="13"/>
  <c r="BO30" i="13"/>
  <c r="BE31" i="13"/>
  <c r="BE30" i="13"/>
  <c r="AU31" i="13"/>
  <c r="AU30" i="13"/>
  <c r="AK31" i="13"/>
  <c r="AK30" i="13"/>
  <c r="AA31" i="13"/>
  <c r="AA30" i="13"/>
  <c r="Q31" i="13"/>
  <c r="Q30" i="13"/>
  <c r="G31" i="13"/>
  <c r="G30" i="13"/>
  <c r="BO17" i="13"/>
  <c r="BE17" i="13"/>
  <c r="AU17" i="13"/>
  <c r="AK17" i="13"/>
  <c r="AA17" i="13"/>
  <c r="Q17" i="13"/>
  <c r="G17" i="13"/>
  <c r="BO94" i="7" l="1"/>
  <c r="BO87" i="7"/>
  <c r="BE94" i="7"/>
  <c r="AK93" i="7"/>
  <c r="AK94" i="7"/>
  <c r="AA94" i="7"/>
  <c r="AA93" i="7"/>
  <c r="Q93" i="7"/>
  <c r="Q94" i="7"/>
  <c r="G94" i="7"/>
  <c r="G93" i="7"/>
  <c r="BO78" i="7"/>
  <c r="BO77" i="7"/>
  <c r="BE78" i="7"/>
  <c r="AU79" i="7"/>
  <c r="AU78" i="7"/>
  <c r="AK79" i="7"/>
  <c r="AK78" i="7"/>
  <c r="AA79" i="7"/>
  <c r="AA78" i="7"/>
  <c r="Q79" i="7"/>
  <c r="Q78" i="7"/>
  <c r="G79" i="7"/>
  <c r="G78" i="7"/>
  <c r="G77" i="7"/>
  <c r="BO64" i="7"/>
  <c r="BE64" i="7"/>
  <c r="AU64" i="7"/>
  <c r="AU63" i="7"/>
  <c r="AU62" i="7"/>
  <c r="AK64" i="7"/>
  <c r="AK63" i="7"/>
  <c r="AK62" i="7"/>
  <c r="Q64" i="7"/>
  <c r="Q63" i="7"/>
  <c r="G64" i="7"/>
  <c r="G63" i="7"/>
  <c r="G62" i="7"/>
  <c r="BO49" i="7"/>
  <c r="BO48" i="7"/>
  <c r="BE47" i="7"/>
  <c r="BE48" i="7"/>
  <c r="BE49" i="7"/>
  <c r="AU49" i="7"/>
  <c r="AU48" i="7"/>
  <c r="AU47" i="7"/>
  <c r="AK49" i="7"/>
  <c r="AK48" i="7"/>
  <c r="AK47" i="7"/>
  <c r="AA49" i="7"/>
  <c r="AA48" i="7"/>
  <c r="AA47" i="7"/>
  <c r="Q49" i="7"/>
  <c r="Q48" i="7"/>
  <c r="Q47" i="7"/>
  <c r="G49" i="7"/>
  <c r="G48" i="7"/>
  <c r="G47" i="7"/>
  <c r="BO34" i="7"/>
  <c r="BO33" i="7"/>
  <c r="BO32" i="7"/>
  <c r="BE34" i="7"/>
  <c r="BE33" i="7"/>
  <c r="AU34" i="7"/>
  <c r="AU33" i="7"/>
  <c r="AK34" i="7"/>
  <c r="AK33" i="7"/>
  <c r="AA33" i="7"/>
  <c r="Q34" i="7"/>
  <c r="Q33" i="7"/>
  <c r="G34" i="7"/>
  <c r="G33" i="7"/>
  <c r="G32" i="7"/>
  <c r="BO19" i="7"/>
  <c r="BO18" i="7"/>
  <c r="BO17" i="7"/>
  <c r="BE18" i="7"/>
  <c r="BE17" i="7"/>
  <c r="BE19" i="7"/>
  <c r="AU19" i="7"/>
  <c r="AU18" i="7"/>
  <c r="AU17" i="7"/>
  <c r="AK19" i="7"/>
  <c r="AA19" i="7"/>
  <c r="Q19" i="7"/>
  <c r="Q18" i="7"/>
  <c r="Q17" i="7"/>
  <c r="G19" i="7"/>
  <c r="G18" i="7"/>
  <c r="G17" i="7"/>
  <c r="G16" i="7"/>
  <c r="BN93" i="5"/>
  <c r="BA93" i="5"/>
  <c r="AO93" i="5"/>
  <c r="AD93" i="5"/>
  <c r="S93" i="5"/>
  <c r="H93" i="5"/>
  <c r="H92" i="5"/>
  <c r="H91" i="5"/>
  <c r="BN79" i="5"/>
  <c r="BB79" i="5"/>
  <c r="AO79" i="5"/>
  <c r="AD78" i="5"/>
  <c r="AD79" i="5"/>
  <c r="S79" i="5"/>
  <c r="BN65" i="5"/>
  <c r="BA65" i="5"/>
  <c r="AO65" i="5"/>
  <c r="AD65" i="5"/>
  <c r="S65" i="5"/>
  <c r="H65" i="5"/>
  <c r="BN51" i="5"/>
  <c r="BA51" i="5"/>
  <c r="AO51" i="5"/>
  <c r="AD51" i="5"/>
  <c r="S51" i="5"/>
  <c r="H51" i="5"/>
  <c r="BN35" i="5"/>
  <c r="BA35" i="5"/>
  <c r="AO35" i="5"/>
  <c r="AD35" i="5"/>
  <c r="S35" i="5"/>
  <c r="H35" i="5"/>
  <c r="BN21" i="5"/>
  <c r="BA21" i="5"/>
  <c r="AO21" i="5"/>
  <c r="AD21" i="5"/>
  <c r="S21" i="5"/>
  <c r="H21" i="5"/>
  <c r="BB39" i="26"/>
  <c r="BB38" i="26"/>
  <c r="BP97" i="26" l="1"/>
  <c r="BP96" i="26"/>
  <c r="BB97" i="26"/>
  <c r="BB96" i="26"/>
  <c r="AN97" i="26"/>
  <c r="AN96" i="26"/>
  <c r="Z97" i="26"/>
  <c r="L97" i="26"/>
  <c r="BP83" i="26"/>
  <c r="BB83" i="26"/>
  <c r="BB82" i="26"/>
  <c r="AN83" i="26"/>
  <c r="AN82" i="26"/>
  <c r="Z83" i="26"/>
  <c r="Z82" i="26"/>
  <c r="L83" i="26"/>
  <c r="I83" i="26"/>
  <c r="BP69" i="26"/>
  <c r="BM69" i="26"/>
  <c r="BB69" i="26"/>
  <c r="BB68" i="26"/>
  <c r="AY69" i="26"/>
  <c r="AY68" i="26"/>
  <c r="AN69" i="26"/>
  <c r="AK69" i="26"/>
  <c r="BP55" i="26"/>
  <c r="BM55" i="26"/>
  <c r="BB55" i="26"/>
  <c r="AY55" i="26"/>
  <c r="AN55" i="26"/>
  <c r="AN54" i="26"/>
  <c r="AK55" i="26"/>
  <c r="AK54" i="26"/>
  <c r="Z55" i="26"/>
  <c r="L55" i="26"/>
  <c r="BP39" i="26"/>
  <c r="AY39" i="26"/>
  <c r="AY38" i="26"/>
  <c r="AN39" i="26"/>
  <c r="Z39" i="26"/>
  <c r="L39" i="26"/>
  <c r="BP23" i="26"/>
  <c r="BB23" i="26"/>
  <c r="BB22" i="26"/>
  <c r="BB21" i="26"/>
  <c r="AN22" i="26"/>
  <c r="AN23" i="26"/>
  <c r="Z23" i="26"/>
  <c r="Z22" i="26"/>
  <c r="L23" i="26"/>
  <c r="L22" i="26"/>
  <c r="L21" i="26"/>
  <c r="BK102" i="22"/>
  <c r="BK101" i="22"/>
  <c r="BK100" i="22"/>
  <c r="AZ102" i="22"/>
  <c r="AZ101" i="22"/>
  <c r="AO102" i="22"/>
  <c r="AO101" i="22"/>
  <c r="AD102" i="22"/>
  <c r="AD101" i="22"/>
  <c r="AD100" i="22"/>
  <c r="S102" i="22"/>
  <c r="S101" i="22"/>
  <c r="I101" i="22"/>
  <c r="I102" i="22"/>
  <c r="G102" i="22"/>
  <c r="G101" i="22"/>
  <c r="BL88" i="22"/>
  <c r="BJ88" i="22"/>
  <c r="BA88" i="22"/>
  <c r="BA87" i="22"/>
  <c r="AY88" i="22"/>
  <c r="AY87" i="22"/>
  <c r="AO88" i="22"/>
  <c r="AE88" i="22"/>
  <c r="AE87" i="22"/>
  <c r="AC88" i="22"/>
  <c r="AC87" i="22"/>
  <c r="T88" i="22"/>
  <c r="T87" i="22"/>
  <c r="R88" i="22"/>
  <c r="R87" i="22"/>
  <c r="H88" i="22"/>
  <c r="BM74" i="22"/>
  <c r="BK74" i="22"/>
  <c r="AO74" i="22"/>
  <c r="AD74" i="22"/>
  <c r="S74" i="22"/>
  <c r="H74" i="22"/>
  <c r="BK60" i="22"/>
  <c r="AZ60" i="22"/>
  <c r="AO60" i="22"/>
  <c r="AD60" i="22"/>
  <c r="U60" i="22"/>
  <c r="S60" i="22"/>
  <c r="H60" i="22"/>
  <c r="BK46" i="22"/>
  <c r="AZ46" i="22"/>
  <c r="AO46" i="22"/>
  <c r="AD46" i="22"/>
  <c r="S46" i="22"/>
  <c r="H46" i="22"/>
  <c r="BK32" i="22"/>
  <c r="AZ32" i="22"/>
  <c r="AO32" i="22"/>
  <c r="AD32" i="22"/>
  <c r="S32" i="22"/>
  <c r="H32" i="22"/>
  <c r="BK18" i="22"/>
  <c r="BK17" i="22"/>
  <c r="AZ18" i="22"/>
  <c r="AZ17" i="22"/>
  <c r="AO18" i="22"/>
  <c r="AO17" i="22"/>
  <c r="AD18" i="22"/>
  <c r="AD17" i="22"/>
  <c r="S18" i="22"/>
  <c r="S17" i="22"/>
  <c r="H18" i="22"/>
  <c r="H17" i="22"/>
  <c r="AD73" i="21"/>
  <c r="S73" i="21"/>
  <c r="H73" i="21"/>
  <c r="AZ59" i="21"/>
  <c r="AO59" i="21"/>
  <c r="AD59" i="21"/>
  <c r="S59" i="21"/>
  <c r="S58" i="21"/>
  <c r="H59" i="21"/>
  <c r="H58" i="21"/>
  <c r="BK45" i="21"/>
  <c r="AZ45" i="21"/>
  <c r="AO45" i="21"/>
  <c r="AD45" i="21"/>
  <c r="S45" i="21"/>
  <c r="H45" i="21"/>
  <c r="BK31" i="21"/>
  <c r="AZ31" i="21"/>
  <c r="AO31" i="21"/>
  <c r="AD31" i="21"/>
  <c r="S31" i="21"/>
  <c r="BO61" i="19" l="1"/>
  <c r="BE61" i="19"/>
  <c r="BE60" i="19"/>
  <c r="AU61" i="19"/>
  <c r="AU60" i="19"/>
  <c r="AK61" i="19"/>
  <c r="AK60" i="19"/>
  <c r="AA61" i="19"/>
  <c r="AA60" i="19"/>
  <c r="Q61" i="19"/>
  <c r="Q60" i="19"/>
  <c r="G61" i="19"/>
  <c r="G60" i="19"/>
  <c r="AU94" i="7"/>
  <c r="AU93" i="7"/>
  <c r="AA34" i="7"/>
</calcChain>
</file>

<file path=xl/sharedStrings.xml><?xml version="1.0" encoding="utf-8"?>
<sst xmlns="http://schemas.openxmlformats.org/spreadsheetml/2006/main" count="1554" uniqueCount="843">
  <si>
    <t>Д.1</t>
  </si>
  <si>
    <t>Д.2</t>
  </si>
  <si>
    <t>Доска аудиторная</t>
  </si>
  <si>
    <t>зел.</t>
  </si>
  <si>
    <t>бел.</t>
  </si>
  <si>
    <t>3-элементная</t>
  </si>
  <si>
    <t>Д.4</t>
  </si>
  <si>
    <t>Доска пробковая</t>
  </si>
  <si>
    <t>1200*900</t>
  </si>
  <si>
    <t>Ш.В.1</t>
  </si>
  <si>
    <t>Шкаф вытяжной</t>
  </si>
  <si>
    <t>"Аквариум"</t>
  </si>
  <si>
    <t>Ш.В.2</t>
  </si>
  <si>
    <t>С.Д.1</t>
  </si>
  <si>
    <t>С.Д.2</t>
  </si>
  <si>
    <t>(физика)</t>
  </si>
  <si>
    <t>2400*700*900</t>
  </si>
  <si>
    <t>Т.Л.1</t>
  </si>
  <si>
    <t>Т.Л.2</t>
  </si>
  <si>
    <t>800*500*800</t>
  </si>
  <si>
    <t>400*500*800</t>
  </si>
  <si>
    <t>Т.Д.1</t>
  </si>
  <si>
    <t>1200*300*700</t>
  </si>
  <si>
    <t>Т.Д.3</t>
  </si>
  <si>
    <t>Т.Д.2</t>
  </si>
  <si>
    <t>Я.1</t>
  </si>
  <si>
    <t>Ящик для ключей</t>
  </si>
  <si>
    <t>Ж.1</t>
  </si>
  <si>
    <t>ТР.1</t>
  </si>
  <si>
    <t>Трибуна</t>
  </si>
  <si>
    <t>настольная</t>
  </si>
  <si>
    <t>600*500*440</t>
  </si>
  <si>
    <t>напольная</t>
  </si>
  <si>
    <t>ТР.2</t>
  </si>
  <si>
    <t>600*500*1200</t>
  </si>
  <si>
    <t>ТР.3</t>
  </si>
  <si>
    <t>В.1</t>
  </si>
  <si>
    <t>2400*400*1700</t>
  </si>
  <si>
    <t>В.2</t>
  </si>
  <si>
    <t>В.3</t>
  </si>
  <si>
    <t>1500*400*1700</t>
  </si>
  <si>
    <t>В.4</t>
  </si>
  <si>
    <t>Вешалка настенная</t>
  </si>
  <si>
    <t>765*220*700</t>
  </si>
  <si>
    <t>В.5</t>
  </si>
  <si>
    <t>800*250*300</t>
  </si>
  <si>
    <t>Вешалка</t>
  </si>
  <si>
    <t>ТБ.1</t>
  </si>
  <si>
    <t>300*300*460</t>
  </si>
  <si>
    <t>Д.3</t>
  </si>
  <si>
    <t>У.С.1</t>
  </si>
  <si>
    <t>У.С.2</t>
  </si>
  <si>
    <t>Стол ученический</t>
  </si>
  <si>
    <t>600*500*№</t>
  </si>
  <si>
    <t>1200*500*№</t>
  </si>
  <si>
    <t>К.У.1</t>
  </si>
  <si>
    <t>К.У.2</t>
  </si>
  <si>
    <t>Л.1</t>
  </si>
  <si>
    <t>Л.2</t>
  </si>
  <si>
    <t>Стол компьютерный</t>
  </si>
  <si>
    <t>800*700*№</t>
  </si>
  <si>
    <t>1200*500*750</t>
  </si>
  <si>
    <t>Стол 1-местный</t>
  </si>
  <si>
    <t>лингафонный</t>
  </si>
  <si>
    <t>Стол 2-местный</t>
  </si>
  <si>
    <t>СТ.1</t>
  </si>
  <si>
    <t>Стул ученический</t>
  </si>
  <si>
    <t>СТ.Р.1</t>
  </si>
  <si>
    <t>СТ.П.1</t>
  </si>
  <si>
    <t>С.А.1</t>
  </si>
  <si>
    <t>С.А.5</t>
  </si>
  <si>
    <t>Скамья ученическая</t>
  </si>
  <si>
    <t>фанера</t>
  </si>
  <si>
    <t>1200*350*№</t>
  </si>
  <si>
    <t>С.А.6</t>
  </si>
  <si>
    <t>С.А.7</t>
  </si>
  <si>
    <t>С.А.8</t>
  </si>
  <si>
    <t>С.А.9</t>
  </si>
  <si>
    <t>С.А.10</t>
  </si>
  <si>
    <t>О.С.1</t>
  </si>
  <si>
    <t>1500*300*270</t>
  </si>
  <si>
    <t>Скамья</t>
  </si>
  <si>
    <t>1200*300*460</t>
  </si>
  <si>
    <t>1500*300*460</t>
  </si>
  <si>
    <t>пл.</t>
  </si>
  <si>
    <t>1200*600*750</t>
  </si>
  <si>
    <t>1500*600*750</t>
  </si>
  <si>
    <t>Стол обеденный</t>
  </si>
  <si>
    <t>О.С.2</t>
  </si>
  <si>
    <t>О.С.5</t>
  </si>
  <si>
    <t>1200*600</t>
  </si>
  <si>
    <t>1500*600</t>
  </si>
  <si>
    <t>О.З.1</t>
  </si>
  <si>
    <t>О.З.2</t>
  </si>
  <si>
    <t>Обеденная зона</t>
  </si>
  <si>
    <t>Мебель для образовательных учреждений</t>
  </si>
  <si>
    <t>1000*750</t>
  </si>
  <si>
    <t>У.С.1(р)</t>
  </si>
  <si>
    <t>У.С.2(р)</t>
  </si>
  <si>
    <t>растущий</t>
  </si>
  <si>
    <t>У.С.р.1(р)</t>
  </si>
  <si>
    <t>У.С.р.2(р)</t>
  </si>
  <si>
    <t>Трансформер</t>
  </si>
  <si>
    <t>800*800</t>
  </si>
  <si>
    <t>У.С.р.1</t>
  </si>
  <si>
    <t>У.С.р.2</t>
  </si>
  <si>
    <t>К.У.р.1</t>
  </si>
  <si>
    <t>Парта - моноблок</t>
  </si>
  <si>
    <t>Пт.1</t>
  </si>
  <si>
    <t>Пт.р.1</t>
  </si>
  <si>
    <t>Пт.2</t>
  </si>
  <si>
    <t>Пт.р.2</t>
  </si>
  <si>
    <t>С.Х.1</t>
  </si>
  <si>
    <t xml:space="preserve"> 800*800*750</t>
  </si>
  <si>
    <t>К.У.р.2</t>
  </si>
  <si>
    <t>К.р.(р)</t>
  </si>
  <si>
    <t>С.Ф.1</t>
  </si>
  <si>
    <t>Раковина</t>
  </si>
  <si>
    <t>Кран</t>
  </si>
  <si>
    <t>Комплект болтов для стула</t>
  </si>
  <si>
    <t>Комплект болтов для стола</t>
  </si>
  <si>
    <t>Заглушка</t>
  </si>
  <si>
    <t>Подпятник</t>
  </si>
  <si>
    <t>Замок на ЛДСП</t>
  </si>
  <si>
    <t>Замок на стекло</t>
  </si>
  <si>
    <t>Столешница ЛДСП 22 мм.</t>
  </si>
  <si>
    <t>Пенал для письменных принадлежностей</t>
  </si>
  <si>
    <t>Столешница пластик 1/2 местн.</t>
  </si>
  <si>
    <t>Полка для учебников 1/2 местн.</t>
  </si>
  <si>
    <t>Кромка ПВХ 2,0 мм. 1-мест.</t>
  </si>
  <si>
    <t>Кромка ПВХ 2,0 мм. 2-мест.</t>
  </si>
  <si>
    <t>Вентилятор для вытяжных шкафов</t>
  </si>
  <si>
    <t>К.т.1</t>
  </si>
  <si>
    <t>К.т.2</t>
  </si>
  <si>
    <t>Комплект болтов</t>
  </si>
  <si>
    <t>Каркас для стула</t>
  </si>
  <si>
    <t>Каркас для стола</t>
  </si>
  <si>
    <t>К.д.3</t>
  </si>
  <si>
    <t>Стулья аудиторные</t>
  </si>
  <si>
    <t>лдсп</t>
  </si>
  <si>
    <t xml:space="preserve">Табурет </t>
  </si>
  <si>
    <t>К.т.1(р)</t>
  </si>
  <si>
    <t>К.т.2(р)</t>
  </si>
  <si>
    <t>мобильная</t>
  </si>
  <si>
    <t>(5 крючков)</t>
  </si>
  <si>
    <t>(10 крючков)</t>
  </si>
  <si>
    <t>1600*300*300</t>
  </si>
  <si>
    <t>№4, №6</t>
  </si>
  <si>
    <t>ГК</t>
  </si>
  <si>
    <t xml:space="preserve">Комплект деталей </t>
  </si>
  <si>
    <t>для стула (фанера)</t>
  </si>
  <si>
    <t>К.д.1</t>
  </si>
  <si>
    <t>К.д.2</t>
  </si>
  <si>
    <t xml:space="preserve">для стола </t>
  </si>
  <si>
    <t>1200*500</t>
  </si>
  <si>
    <t>600*500</t>
  </si>
  <si>
    <t>для скамьи</t>
  </si>
  <si>
    <t>рег. угол</t>
  </si>
  <si>
    <t xml:space="preserve"> рег. угол</t>
  </si>
  <si>
    <t>растущий, рег. угол</t>
  </si>
  <si>
    <t xml:space="preserve"> растущий</t>
  </si>
  <si>
    <t xml:space="preserve"> </t>
  </si>
  <si>
    <t xml:space="preserve">Стол ученический </t>
  </si>
  <si>
    <t>№: 3,4,5,6</t>
  </si>
  <si>
    <t>№: 2-4, 4-6</t>
  </si>
  <si>
    <t>2 шт.</t>
  </si>
  <si>
    <t>3 шт.</t>
  </si>
  <si>
    <t>Конторка растущая</t>
  </si>
  <si>
    <t>для кабинета черчения</t>
  </si>
  <si>
    <t>фанера гк.</t>
  </si>
  <si>
    <t>кож.зам.</t>
  </si>
  <si>
    <t>1200*400*440</t>
  </si>
  <si>
    <t>1500*400*440</t>
  </si>
  <si>
    <t>1200*400</t>
  </si>
  <si>
    <t>1500*400</t>
  </si>
  <si>
    <t>Скамья со спинкой</t>
  </si>
  <si>
    <t>пластик</t>
  </si>
  <si>
    <t>С.Ч.1</t>
  </si>
  <si>
    <t>750*500*№</t>
  </si>
  <si>
    <t>Шкаф</t>
  </si>
  <si>
    <t>Ш.дт.1</t>
  </si>
  <si>
    <t>Ш.дт.2</t>
  </si>
  <si>
    <t>Ш.дт.3</t>
  </si>
  <si>
    <t>Ш.дт.4</t>
  </si>
  <si>
    <t>Ш.дт.5</t>
  </si>
  <si>
    <t>Ш.дт.6</t>
  </si>
  <si>
    <t>Ш.дт.1.1</t>
  </si>
  <si>
    <t>Ш.дт.2.1</t>
  </si>
  <si>
    <t>Ш.дт.3.1</t>
  </si>
  <si>
    <t>Ш.дт.4.1</t>
  </si>
  <si>
    <t>Ш.дт.5.1</t>
  </si>
  <si>
    <t>Ш.дт.6.1</t>
  </si>
  <si>
    <t>Ш.дт.1(м)</t>
  </si>
  <si>
    <t>Ш.дт.2(м)</t>
  </si>
  <si>
    <t>Ш.дт.3(м)</t>
  </si>
  <si>
    <t>Ш.дт.4(м)</t>
  </si>
  <si>
    <t>Ш.дт.5(м)</t>
  </si>
  <si>
    <t>Ш.дт.6(м)</t>
  </si>
  <si>
    <t>м</t>
  </si>
  <si>
    <t>Ш.дт.1.1(м)</t>
  </si>
  <si>
    <t>Ш.дт.2.1(м)</t>
  </si>
  <si>
    <t>Ш.дт.3.1(м)</t>
  </si>
  <si>
    <t>Ш.дт.4.1(м)</t>
  </si>
  <si>
    <t>Ш.дт.5.1(м)</t>
  </si>
  <si>
    <t>Ш.дт.6.1(м)</t>
  </si>
  <si>
    <t>Об.1</t>
  </si>
  <si>
    <t>Об.2</t>
  </si>
  <si>
    <t>Ш.х.1</t>
  </si>
  <si>
    <t>Ш.Г.1</t>
  </si>
  <si>
    <t>Ш.Х.2</t>
  </si>
  <si>
    <t>Ш.бл.1</t>
  </si>
  <si>
    <t>С.дт.1</t>
  </si>
  <si>
    <t>С.дт.2</t>
  </si>
  <si>
    <t>Шкаф 6-местный</t>
  </si>
  <si>
    <t>Шкаф 1-местный</t>
  </si>
  <si>
    <t>Шкаф 2-местный</t>
  </si>
  <si>
    <t>Шкаф 3-местный</t>
  </si>
  <si>
    <t>Шкаф 4-местный</t>
  </si>
  <si>
    <t>Шкаф 5-местный</t>
  </si>
  <si>
    <t>800*400*2000</t>
  </si>
  <si>
    <t>1200*434*1158</t>
  </si>
  <si>
    <t>Шкаф для белья</t>
  </si>
  <si>
    <t>Тумба для обуви</t>
  </si>
  <si>
    <t>С.п.1</t>
  </si>
  <si>
    <t>Стол письменный</t>
  </si>
  <si>
    <t>С.п.2</t>
  </si>
  <si>
    <t>С.п.3</t>
  </si>
  <si>
    <t>С.п.3.1</t>
  </si>
  <si>
    <t>С.п.4</t>
  </si>
  <si>
    <t>Стол с подвесной</t>
  </si>
  <si>
    <t>С.п.5</t>
  </si>
  <si>
    <t>С.п.6</t>
  </si>
  <si>
    <t>с полкой</t>
  </si>
  <si>
    <t>с 2 ящиками</t>
  </si>
  <si>
    <t>с полкой и ящиком</t>
  </si>
  <si>
    <t>тумбой (с дверью)</t>
  </si>
  <si>
    <t>тумбой(с 2 ящиками)</t>
  </si>
  <si>
    <t>тумбой(с дверью)</t>
  </si>
  <si>
    <t>1000*700*750</t>
  </si>
  <si>
    <t>1200*700*750</t>
  </si>
  <si>
    <t>1400*700*750</t>
  </si>
  <si>
    <t>С.п.7</t>
  </si>
  <si>
    <t>С.п.7.1</t>
  </si>
  <si>
    <t>С.п.7.2</t>
  </si>
  <si>
    <t>С.п.7.3</t>
  </si>
  <si>
    <t>С.п.7.4</t>
  </si>
  <si>
    <t>С.п.7.5</t>
  </si>
  <si>
    <t>С.п.8</t>
  </si>
  <si>
    <t>тумбой (с 3 ящиками)</t>
  </si>
  <si>
    <t>тумбами (с 6 ящиком)</t>
  </si>
  <si>
    <t>тумбами (3 ящика)</t>
  </si>
  <si>
    <t>тумбами (2 ящика)</t>
  </si>
  <si>
    <t>тумбами (2 дверки)</t>
  </si>
  <si>
    <t>с дверкой и нишей</t>
  </si>
  <si>
    <t>1600*700*750</t>
  </si>
  <si>
    <t>1800*700*750</t>
  </si>
  <si>
    <t>С.п.8.1</t>
  </si>
  <si>
    <t>С.п.9</t>
  </si>
  <si>
    <t>С.п.9.1</t>
  </si>
  <si>
    <t>С.п.9.2</t>
  </si>
  <si>
    <t>С.п.9.3</t>
  </si>
  <si>
    <t>С.п.10</t>
  </si>
  <si>
    <t>С.п.11</t>
  </si>
  <si>
    <t>с дверкой и ящиком</t>
  </si>
  <si>
    <t>с 3 ящиками и нишей</t>
  </si>
  <si>
    <t>с 2 ящиками и нишей</t>
  </si>
  <si>
    <t>с 3 ящиками</t>
  </si>
  <si>
    <t>с дверкой</t>
  </si>
  <si>
    <t>С.п.12</t>
  </si>
  <si>
    <t>Стол</t>
  </si>
  <si>
    <t>П.С.1</t>
  </si>
  <si>
    <t>Стол - приставка</t>
  </si>
  <si>
    <t>П.С.2</t>
  </si>
  <si>
    <t>Стол приставка</t>
  </si>
  <si>
    <t>С.С.1</t>
  </si>
  <si>
    <t>Стол угловой</t>
  </si>
  <si>
    <t>С.Ж.1</t>
  </si>
  <si>
    <t>Стол журнальный</t>
  </si>
  <si>
    <t>для переговоров</t>
  </si>
  <si>
    <t>на ронделле</t>
  </si>
  <si>
    <t>соединительный</t>
  </si>
  <si>
    <t>1400*750*750</t>
  </si>
  <si>
    <t>800*600*750</t>
  </si>
  <si>
    <t>1600*750*750</t>
  </si>
  <si>
    <t>1000*600*750</t>
  </si>
  <si>
    <t>1700*750*750</t>
  </si>
  <si>
    <t>700*700*750</t>
  </si>
  <si>
    <t>660*660*580</t>
  </si>
  <si>
    <t>С.К.1</t>
  </si>
  <si>
    <t>С.К.2</t>
  </si>
  <si>
    <t>С.К.3</t>
  </si>
  <si>
    <t>С.К.4</t>
  </si>
  <si>
    <t>С.К.5</t>
  </si>
  <si>
    <t>С.У.1</t>
  </si>
  <si>
    <t>Сегмент угловой</t>
  </si>
  <si>
    <t>П.С.3</t>
  </si>
  <si>
    <t>Приставка</t>
  </si>
  <si>
    <t>с полкой под клавиатуру</t>
  </si>
  <si>
    <t>с нишей под процессор</t>
  </si>
  <si>
    <t>800*700*750</t>
  </si>
  <si>
    <t>600*300*16</t>
  </si>
  <si>
    <t>700*700*16</t>
  </si>
  <si>
    <t>металлоопора</t>
  </si>
  <si>
    <t>С.К.6</t>
  </si>
  <si>
    <t>Н.1</t>
  </si>
  <si>
    <t>Н.2</t>
  </si>
  <si>
    <t>Н.3</t>
  </si>
  <si>
    <t>Н.4</t>
  </si>
  <si>
    <t>П.М.1</t>
  </si>
  <si>
    <t>Подставка</t>
  </si>
  <si>
    <t>Дв.1</t>
  </si>
  <si>
    <t xml:space="preserve">доска выкатная </t>
  </si>
  <si>
    <t>с тумбой и нишей</t>
  </si>
  <si>
    <t>под монитор</t>
  </si>
  <si>
    <t>для клавиатуры</t>
  </si>
  <si>
    <t>П.П.1</t>
  </si>
  <si>
    <t>под процессор</t>
  </si>
  <si>
    <t>1000*250*350</t>
  </si>
  <si>
    <t>1000*250*750</t>
  </si>
  <si>
    <t>1200*250*350</t>
  </si>
  <si>
    <t>1200*250*750</t>
  </si>
  <si>
    <t>400*400*66</t>
  </si>
  <si>
    <t>350*500*160</t>
  </si>
  <si>
    <t>Мебель для дошкольных учреждений №1</t>
  </si>
  <si>
    <t>Мебель для дошкольных учреждений №2</t>
  </si>
  <si>
    <t>Мебель для библиотек</t>
  </si>
  <si>
    <t>С.дт.6</t>
  </si>
  <si>
    <t>С.дт.9</t>
  </si>
  <si>
    <t>С.дт.10</t>
  </si>
  <si>
    <t>Т.дт.1</t>
  </si>
  <si>
    <t>П.дт.1</t>
  </si>
  <si>
    <t>Стол-тумба</t>
  </si>
  <si>
    <t>Т.дт.2</t>
  </si>
  <si>
    <t>Т.дт.3</t>
  </si>
  <si>
    <t>Т.дт.4</t>
  </si>
  <si>
    <t>Стул детский</t>
  </si>
  <si>
    <t>№00</t>
  </si>
  <si>
    <t>№0</t>
  </si>
  <si>
    <t>№1</t>
  </si>
  <si>
    <t>№2</t>
  </si>
  <si>
    <t>№3</t>
  </si>
  <si>
    <t>В производстве имеются доски с разлиновкой:                                линейка,                                             клетка,                                                     нотный стан.                                    Прайс на весь ассортимент аудиторных досок запрашивайте у специалистов торгового отдела.</t>
  </si>
  <si>
    <t>К.1</t>
  </si>
  <si>
    <t>К.2</t>
  </si>
  <si>
    <t>К.3</t>
  </si>
  <si>
    <t>К.4</t>
  </si>
  <si>
    <t>К.5</t>
  </si>
  <si>
    <t>К.6</t>
  </si>
  <si>
    <t>(металлокаркас)</t>
  </si>
  <si>
    <t>Стол пеленальный</t>
  </si>
  <si>
    <t>В.дт.1</t>
  </si>
  <si>
    <t>В.дт.2</t>
  </si>
  <si>
    <t>В.дт.3</t>
  </si>
  <si>
    <t>Т.2</t>
  </si>
  <si>
    <t>Т.3</t>
  </si>
  <si>
    <t>Т.4</t>
  </si>
  <si>
    <t>Т.5</t>
  </si>
  <si>
    <t>Т.6</t>
  </si>
  <si>
    <t>Т.6.1</t>
  </si>
  <si>
    <t>Т.6.2</t>
  </si>
  <si>
    <t>Т.8</t>
  </si>
  <si>
    <t>Т.9</t>
  </si>
  <si>
    <t>Т.10</t>
  </si>
  <si>
    <t>Т.11</t>
  </si>
  <si>
    <t>Т.12</t>
  </si>
  <si>
    <t>Т.13</t>
  </si>
  <si>
    <t>Т.14</t>
  </si>
  <si>
    <t>Т.15</t>
  </si>
  <si>
    <t>Т.16</t>
  </si>
  <si>
    <t>С.Т.1</t>
  </si>
  <si>
    <t>С.Т.2</t>
  </si>
  <si>
    <t>С.Т.2.1</t>
  </si>
  <si>
    <t>С.Т.2.2</t>
  </si>
  <si>
    <t>С.Т.3</t>
  </si>
  <si>
    <t>С.Т.3.1</t>
  </si>
  <si>
    <t>С.Т.3.2</t>
  </si>
  <si>
    <t>С.Т.4</t>
  </si>
  <si>
    <t>С.Т.5</t>
  </si>
  <si>
    <t>С.Т.7</t>
  </si>
  <si>
    <t>Т.У.1</t>
  </si>
  <si>
    <t>Т.У.1.1</t>
  </si>
  <si>
    <t>Т.У.2</t>
  </si>
  <si>
    <t>Т.У.3</t>
  </si>
  <si>
    <t>Т.У.4</t>
  </si>
  <si>
    <t>П.н.1</t>
  </si>
  <si>
    <t>П.н.2</t>
  </si>
  <si>
    <t>П.н.3</t>
  </si>
  <si>
    <t>А.1</t>
  </si>
  <si>
    <t>Ш.У.1</t>
  </si>
  <si>
    <t>С.1</t>
  </si>
  <si>
    <t>С.2</t>
  </si>
  <si>
    <t>С.3</t>
  </si>
  <si>
    <t>С.4</t>
  </si>
  <si>
    <t>Купе 1</t>
  </si>
  <si>
    <t>Купе 2</t>
  </si>
  <si>
    <t>Тумба</t>
  </si>
  <si>
    <t>Полка навесная</t>
  </si>
  <si>
    <t>Антресоль</t>
  </si>
  <si>
    <t>Шкаф угловой</t>
  </si>
  <si>
    <t>Стеллаж угловой</t>
  </si>
  <si>
    <t>Секция</t>
  </si>
  <si>
    <t>пристенная</t>
  </si>
  <si>
    <t xml:space="preserve">Секция </t>
  </si>
  <si>
    <t>разделительная</t>
  </si>
  <si>
    <t>Шкаф-купе</t>
  </si>
  <si>
    <t>комбинированный</t>
  </si>
  <si>
    <t>для документов</t>
  </si>
  <si>
    <t>400*400*600</t>
  </si>
  <si>
    <t>400*400*750</t>
  </si>
  <si>
    <t>400*600*750</t>
  </si>
  <si>
    <t>800*400*750</t>
  </si>
  <si>
    <t>800*400*500</t>
  </si>
  <si>
    <t>400*400*400</t>
  </si>
  <si>
    <t>800*400*400</t>
  </si>
  <si>
    <t>800*600*400</t>
  </si>
  <si>
    <t>400*400*1200</t>
  </si>
  <si>
    <t>800*400*1200</t>
  </si>
  <si>
    <t>800*500*1200</t>
  </si>
  <si>
    <t>900*400*1800</t>
  </si>
  <si>
    <t>680*680*1800</t>
  </si>
  <si>
    <t>400*400*1800</t>
  </si>
  <si>
    <t>800*400*1800</t>
  </si>
  <si>
    <t>800*500*1800</t>
  </si>
  <si>
    <t>900*400*2000</t>
  </si>
  <si>
    <t>680*680*2000</t>
  </si>
  <si>
    <t>400*400*2000</t>
  </si>
  <si>
    <t>800*500*2000</t>
  </si>
  <si>
    <t>800*600*2000</t>
  </si>
  <si>
    <t>П.1</t>
  </si>
  <si>
    <t>П.2</t>
  </si>
  <si>
    <t>П.3</t>
  </si>
  <si>
    <t>П.4</t>
  </si>
  <si>
    <t>П.5</t>
  </si>
  <si>
    <t>П.6</t>
  </si>
  <si>
    <t>П.7</t>
  </si>
  <si>
    <t>Пенал</t>
  </si>
  <si>
    <t>Ш.1</t>
  </si>
  <si>
    <t>Ш.2</t>
  </si>
  <si>
    <t>Ш.3</t>
  </si>
  <si>
    <t>Ш.4</t>
  </si>
  <si>
    <t>Ш.5</t>
  </si>
  <si>
    <t>Ш.6</t>
  </si>
  <si>
    <t>Ш.7</t>
  </si>
  <si>
    <t xml:space="preserve">Шкаф низкий </t>
  </si>
  <si>
    <t>канцелярский</t>
  </si>
  <si>
    <t>Шкаф-пенал</t>
  </si>
  <si>
    <t>Ш.П.1</t>
  </si>
  <si>
    <t>Ш.П.2</t>
  </si>
  <si>
    <t>Ш.П.3</t>
  </si>
  <si>
    <t>Ш.П.4</t>
  </si>
  <si>
    <t>Ш.П.5</t>
  </si>
  <si>
    <t>Ш.П.6</t>
  </si>
  <si>
    <t>Ш.П.7</t>
  </si>
  <si>
    <t>Ш.К.1</t>
  </si>
  <si>
    <t>Ш.К.2</t>
  </si>
  <si>
    <t>Ш.К.3</t>
  </si>
  <si>
    <t>Ш.К.4</t>
  </si>
  <si>
    <t>Ш.К.5</t>
  </si>
  <si>
    <t>Ш.К.6</t>
  </si>
  <si>
    <t>Ш.К.7</t>
  </si>
  <si>
    <t>Ш.О.1</t>
  </si>
  <si>
    <t>Ш.О.2</t>
  </si>
  <si>
    <t>Ш.О.3</t>
  </si>
  <si>
    <t>Ш.О.4</t>
  </si>
  <si>
    <t>Ш.О.5</t>
  </si>
  <si>
    <t>Ш.О.6</t>
  </si>
  <si>
    <t>Ш.О.7</t>
  </si>
  <si>
    <t>Ш.О.8</t>
  </si>
  <si>
    <t>Ш.О.9</t>
  </si>
  <si>
    <t>Ш.О.10</t>
  </si>
  <si>
    <t>Ш.Ж.1</t>
  </si>
  <si>
    <t>Ш.Ж.2</t>
  </si>
  <si>
    <t>Ш.Ж.4</t>
  </si>
  <si>
    <t>Ш.Ж.3</t>
  </si>
  <si>
    <t>600*400*1800</t>
  </si>
  <si>
    <t>600*400*2000</t>
  </si>
  <si>
    <t>400*600*2000</t>
  </si>
  <si>
    <t>800*600*1800</t>
  </si>
  <si>
    <t>350*600*1800</t>
  </si>
  <si>
    <t>16 яч.</t>
  </si>
  <si>
    <t>24 яч.</t>
  </si>
  <si>
    <t>350*400*1800</t>
  </si>
  <si>
    <t>350*400*2000</t>
  </si>
  <si>
    <t>Сб.1</t>
  </si>
  <si>
    <t>Сб.2</t>
  </si>
  <si>
    <t>Сб.3</t>
  </si>
  <si>
    <t>Сб.4</t>
  </si>
  <si>
    <t>Сб.5</t>
  </si>
  <si>
    <t>Сб.6</t>
  </si>
  <si>
    <t>Сб.7</t>
  </si>
  <si>
    <t>Стеллаж</t>
  </si>
  <si>
    <t>900*270*1900</t>
  </si>
  <si>
    <t>425*425*1900</t>
  </si>
  <si>
    <t>900*450*1900</t>
  </si>
  <si>
    <t>Сб.8</t>
  </si>
  <si>
    <t>Шкаф-стеллаж</t>
  </si>
  <si>
    <t>Сб.к.1</t>
  </si>
  <si>
    <t>ШБ.1</t>
  </si>
  <si>
    <t>ШБ.2</t>
  </si>
  <si>
    <t>ШБ.3</t>
  </si>
  <si>
    <t>ШБ.4</t>
  </si>
  <si>
    <t>ШБ.5</t>
  </si>
  <si>
    <t>850*250*1900</t>
  </si>
  <si>
    <t>2500*250*1900</t>
  </si>
  <si>
    <t>850*450*1900</t>
  </si>
  <si>
    <t>2-х сторонний</t>
  </si>
  <si>
    <t>3-х сторонний</t>
  </si>
  <si>
    <t>ШБ.к.1</t>
  </si>
  <si>
    <t>ШБ.к.2</t>
  </si>
  <si>
    <t>Сб.Н.1</t>
  </si>
  <si>
    <t>ШБ.Кт.1</t>
  </si>
  <si>
    <t>ШБ.Кт.2</t>
  </si>
  <si>
    <t>ШБ.Кт.3</t>
  </si>
  <si>
    <t>ШБ.Кт.4</t>
  </si>
  <si>
    <t>1600*250*1900</t>
  </si>
  <si>
    <t>1600*450*1900</t>
  </si>
  <si>
    <t>1-секционный</t>
  </si>
  <si>
    <t>2-х секционный</t>
  </si>
  <si>
    <t>3-х секционный</t>
  </si>
  <si>
    <t>опоры металлокаркас</t>
  </si>
  <si>
    <t>В.Б.1</t>
  </si>
  <si>
    <t>Шкаф-витрина</t>
  </si>
  <si>
    <t>В.Б.2</t>
  </si>
  <si>
    <t>В.Б.3</t>
  </si>
  <si>
    <t>Витрина</t>
  </si>
  <si>
    <t>В.Б.4</t>
  </si>
  <si>
    <t>СБ.Г.1</t>
  </si>
  <si>
    <t>СБ.Г.2</t>
  </si>
  <si>
    <t>СБ.Г.3</t>
  </si>
  <si>
    <t>для газет</t>
  </si>
  <si>
    <t>800*250*1500</t>
  </si>
  <si>
    <t>800*250*2000</t>
  </si>
  <si>
    <t>800*500*1500</t>
  </si>
  <si>
    <t>500*650*1800</t>
  </si>
  <si>
    <t>1000*650*1800</t>
  </si>
  <si>
    <t>450*450*1800</t>
  </si>
  <si>
    <t>Ст.Б.1</t>
  </si>
  <si>
    <t>Ст.Б.2</t>
  </si>
  <si>
    <t>Ст.Б.3</t>
  </si>
  <si>
    <t>Ст.Б.4</t>
  </si>
  <si>
    <t>Ст.Б.5</t>
  </si>
  <si>
    <t>Ст.Б.6</t>
  </si>
  <si>
    <t>Ст.Б.7</t>
  </si>
  <si>
    <t>1200*500*760</t>
  </si>
  <si>
    <t>Ст.Б.К.1</t>
  </si>
  <si>
    <t>Ст.Б.К.2</t>
  </si>
  <si>
    <t>Ст.Б.К.3</t>
  </si>
  <si>
    <t>Ст.Б.Б.1</t>
  </si>
  <si>
    <t>Ст.Б.Б.2</t>
  </si>
  <si>
    <t>В.Б.Н.1</t>
  </si>
  <si>
    <t>В.Б.Н.2</t>
  </si>
  <si>
    <t>Стол-кафедра</t>
  </si>
  <si>
    <t>Стол-барьер</t>
  </si>
  <si>
    <t>открытая настенная</t>
  </si>
  <si>
    <t>закрытая настенная</t>
  </si>
  <si>
    <t>Шб.Ф.4</t>
  </si>
  <si>
    <t>Шб.Ф.3</t>
  </si>
  <si>
    <t>Шб.Ф.2</t>
  </si>
  <si>
    <t>Шб.Ф.1</t>
  </si>
  <si>
    <t>В.Б.Н.5</t>
  </si>
  <si>
    <t>В.Б.Н.4</t>
  </si>
  <si>
    <t>В.Б.Н.3</t>
  </si>
  <si>
    <t>открытая напольная</t>
  </si>
  <si>
    <t>2-х сторонняя</t>
  </si>
  <si>
    <t xml:space="preserve">Шкаф </t>
  </si>
  <si>
    <t>для формуляров</t>
  </si>
  <si>
    <t>угловой</t>
  </si>
  <si>
    <t>1200*650*750</t>
  </si>
  <si>
    <t>1600*650*750</t>
  </si>
  <si>
    <t>1150*420*890</t>
  </si>
  <si>
    <t>1000*230*750</t>
  </si>
  <si>
    <t>1000*230*1700</t>
  </si>
  <si>
    <t>800*450*1500</t>
  </si>
  <si>
    <t>400*400*800</t>
  </si>
  <si>
    <t>1000*450*800</t>
  </si>
  <si>
    <t>1055*230*760</t>
  </si>
  <si>
    <t xml:space="preserve"> прикроватная</t>
  </si>
  <si>
    <t xml:space="preserve">Тумба </t>
  </si>
  <si>
    <t>поворотная</t>
  </si>
  <si>
    <t>карты и др.</t>
  </si>
  <si>
    <t>Тумба под классную</t>
  </si>
  <si>
    <t>доску для геометр. наборов,</t>
  </si>
  <si>
    <t>доску для пособий, карт,</t>
  </si>
  <si>
    <t xml:space="preserve"> плакатов и др.</t>
  </si>
  <si>
    <t>с мойкой (топ пластик)</t>
  </si>
  <si>
    <t xml:space="preserve">Вешалка </t>
  </si>
  <si>
    <t>со скамьей (10 крючков)</t>
  </si>
  <si>
    <t>ученический</t>
  </si>
  <si>
    <t xml:space="preserve">Комплект </t>
  </si>
  <si>
    <t>ученический растущий</t>
  </si>
  <si>
    <t>С.К.м.2</t>
  </si>
  <si>
    <t>С.К.м.1</t>
  </si>
  <si>
    <t xml:space="preserve">на ронделлах </t>
  </si>
  <si>
    <t>с подвесной</t>
  </si>
  <si>
    <t>с подвесными</t>
  </si>
  <si>
    <t xml:space="preserve"> компьютерный</t>
  </si>
  <si>
    <t>с подвесной тумбой</t>
  </si>
  <si>
    <t xml:space="preserve"> (дверца)</t>
  </si>
  <si>
    <t xml:space="preserve"> (2 ящика, ниша)</t>
  </si>
  <si>
    <t>однотумбовый с нишей</t>
  </si>
  <si>
    <t xml:space="preserve"> и дверкой</t>
  </si>
  <si>
    <t>Надставка</t>
  </si>
  <si>
    <t xml:space="preserve"> на стол</t>
  </si>
  <si>
    <t>приставная</t>
  </si>
  <si>
    <t>с горизонт. полками</t>
  </si>
  <si>
    <t>открытый</t>
  </si>
  <si>
    <t>металлокаркас</t>
  </si>
  <si>
    <t>1-сторонний</t>
  </si>
  <si>
    <t xml:space="preserve"> наклонный</t>
  </si>
  <si>
    <t xml:space="preserve"> каталожный</t>
  </si>
  <si>
    <t xml:space="preserve"> для читателя</t>
  </si>
  <si>
    <t>1000*1000*750</t>
  </si>
  <si>
    <t>9 яч.</t>
  </si>
  <si>
    <t>12 яч.</t>
  </si>
  <si>
    <t>для одежды</t>
  </si>
  <si>
    <t>"Олимпиец 1"</t>
  </si>
  <si>
    <t>"Олимпиец 2"</t>
  </si>
  <si>
    <t>"Олимпиец 3"</t>
  </si>
  <si>
    <t>компл.</t>
  </si>
  <si>
    <t>шт.</t>
  </si>
  <si>
    <t>Регулировка наклона парты</t>
  </si>
  <si>
    <t>Д.6</t>
  </si>
  <si>
    <t>топ пластик</t>
  </si>
  <si>
    <t>1200*350</t>
  </si>
  <si>
    <t>Тумба лаборатор.</t>
  </si>
  <si>
    <t>Тумба лабортор.</t>
  </si>
  <si>
    <t>(химия) пластик</t>
  </si>
  <si>
    <t>демонстрационный</t>
  </si>
  <si>
    <t>1200*600*№</t>
  </si>
  <si>
    <t>для кабинета физики/биолог</t>
  </si>
  <si>
    <t>Стол растущий</t>
  </si>
  <si>
    <t>одно тумбовый</t>
  </si>
  <si>
    <t>двух тумбовый</t>
  </si>
  <si>
    <t>400*600*1800</t>
  </si>
  <si>
    <t>для журналов</t>
  </si>
  <si>
    <t>350*600*2000</t>
  </si>
  <si>
    <t>Т.дт.5</t>
  </si>
  <si>
    <t>500*250*800</t>
  </si>
  <si>
    <t>К.1.1</t>
  </si>
  <si>
    <t>К.1.2</t>
  </si>
  <si>
    <t>Кровать детская ЛДСП</t>
  </si>
  <si>
    <t>Кровать детская 2х уровневая</t>
  </si>
  <si>
    <t>1200х640х510</t>
  </si>
  <si>
    <t>1400х640х510</t>
  </si>
  <si>
    <t>1600х640х510</t>
  </si>
  <si>
    <t>Металлокаркас</t>
  </si>
  <si>
    <t>1460х640х510</t>
  </si>
  <si>
    <t>Кровать детская 3х уровневая</t>
  </si>
  <si>
    <t>ЛДСП</t>
  </si>
  <si>
    <t>Пластик</t>
  </si>
  <si>
    <t>1080х320х1010</t>
  </si>
  <si>
    <t>1296х320х1226</t>
  </si>
  <si>
    <t>16 или 25 ячеек</t>
  </si>
  <si>
    <t>Шкаф для горшков</t>
  </si>
  <si>
    <t>для обуви</t>
  </si>
  <si>
    <t>Вешалка настенная для полотенец</t>
  </si>
  <si>
    <t>750х160х780</t>
  </si>
  <si>
    <t>С.дт.8</t>
  </si>
  <si>
    <t>Вешалка для полотенец</t>
  </si>
  <si>
    <t>Напольная, 2х сторонняя</t>
  </si>
  <si>
    <t>750х300х950</t>
  </si>
  <si>
    <t>750х160х950</t>
  </si>
  <si>
    <t>Напольная, 1-сторонняя</t>
  </si>
  <si>
    <t>700х700х№</t>
  </si>
  <si>
    <t>900х900х№</t>
  </si>
  <si>
    <t>Стол (металлокаркас</t>
  </si>
  <si>
    <t>цельносварной)</t>
  </si>
  <si>
    <t>1000х500х№</t>
  </si>
  <si>
    <t>Стол - трапеция растущий</t>
  </si>
  <si>
    <t>РОМАШКА</t>
  </si>
  <si>
    <t>Стол растущий комплект -5шт</t>
  </si>
  <si>
    <t>700х540х№</t>
  </si>
  <si>
    <t>Пл</t>
  </si>
  <si>
    <t>Кругл труба д18мм, фанера 15мм</t>
  </si>
  <si>
    <t>Растущий №1-3</t>
  </si>
  <si>
    <t>756х604х820</t>
  </si>
  <si>
    <t>"Знайка 1"</t>
  </si>
  <si>
    <t>"Знайка 2"</t>
  </si>
  <si>
    <t>П.дт.2</t>
  </si>
  <si>
    <t>П.дт.3</t>
  </si>
  <si>
    <t>Полка - выставка</t>
  </si>
  <si>
    <t>800х160х1200</t>
  </si>
  <si>
    <t>Светофор</t>
  </si>
  <si>
    <t>Шкаф для хоз. инвентаря</t>
  </si>
  <si>
    <t>1000х250х760</t>
  </si>
  <si>
    <t>Об.1.1</t>
  </si>
  <si>
    <t>800х400х2000</t>
  </si>
  <si>
    <t>1350х400х1350</t>
  </si>
  <si>
    <t>Скамья детская</t>
  </si>
  <si>
    <t>250х250х200</t>
  </si>
  <si>
    <t>500х250х200</t>
  </si>
  <si>
    <t>850х250х200</t>
  </si>
  <si>
    <t>Скамья для раздевалки</t>
  </si>
  <si>
    <t>2х сторонняя</t>
  </si>
  <si>
    <t>1100х500х400</t>
  </si>
  <si>
    <t>1100х240х300</t>
  </si>
  <si>
    <t>Скамья с тумбой под обувь</t>
  </si>
  <si>
    <t>Уголок для спортинвентаря</t>
  </si>
  <si>
    <t>400х400х1100</t>
  </si>
  <si>
    <t>1100х340х1100</t>
  </si>
  <si>
    <t>332х330х1400</t>
  </si>
  <si>
    <t>648х330х1400</t>
  </si>
  <si>
    <t>964х330х1400</t>
  </si>
  <si>
    <t>1280х330х1400</t>
  </si>
  <si>
    <t>1596х330х1400</t>
  </si>
  <si>
    <t>1912х330х1400</t>
  </si>
  <si>
    <t>Цена на Шкафы для одежды указана с учетом детских скамеек</t>
  </si>
  <si>
    <t>Высота металлокаркаса 230мм (высота от пола до каркаса 205мм)</t>
  </si>
  <si>
    <t>комплект - 5 шт.</t>
  </si>
  <si>
    <t>1200х1248х510</t>
  </si>
  <si>
    <t>1400х1248х511</t>
  </si>
  <si>
    <t>Ложе: ДВП на ламелях из ЛДСП</t>
  </si>
  <si>
    <t>С тумбой</t>
  </si>
  <si>
    <t>С надставкой</t>
  </si>
  <si>
    <t xml:space="preserve">Ящик </t>
  </si>
  <si>
    <t>Металлокаркас цельносварной</t>
  </si>
  <si>
    <t>№4-6: 1000-1180-1360</t>
  </si>
  <si>
    <t>С вытяжным вентилятором</t>
  </si>
  <si>
    <t>Вешалка напольная</t>
  </si>
  <si>
    <t>1462х640х750</t>
  </si>
  <si>
    <t>1512х640х852</t>
  </si>
  <si>
    <t>1512х640х852\1756</t>
  </si>
  <si>
    <t>диметр раковины 150мм</t>
  </si>
  <si>
    <t xml:space="preserve">для кабинета химии (пластик) </t>
  </si>
  <si>
    <t>задняя стенка ЛДСП</t>
  </si>
  <si>
    <t>Нижняя тумба сквозная</t>
  </si>
  <si>
    <t>Об.3</t>
  </si>
  <si>
    <t>Двери с обеих сторон</t>
  </si>
  <si>
    <t>Шкаф - купе</t>
  </si>
  <si>
    <t>на колесах</t>
  </si>
  <si>
    <t>Регулируемые опоры</t>
  </si>
  <si>
    <t>универсальная</t>
  </si>
  <si>
    <t>крепеж: уголки</t>
  </si>
  <si>
    <t>Дополнительное ребро жесткости на болтовых стяжках</t>
  </si>
  <si>
    <t>Кабель - канал с отверстием</t>
  </si>
  <si>
    <t>С.дт.6.1 (р)</t>
  </si>
  <si>
    <t>Стул детский массив СД сиденье и спинка массив</t>
  </si>
  <si>
    <t>Ростовая группа №00 Н180</t>
  </si>
  <si>
    <t>Ростовая группа №0 Н220</t>
  </si>
  <si>
    <t>Ростовая группа №1 Н260</t>
  </si>
  <si>
    <t>Ростовая группа №2 Н300</t>
  </si>
  <si>
    <t>Ростовая группа №3 Н340</t>
  </si>
  <si>
    <t>Стул регулируемый массив СДРег сид и спн массив</t>
  </si>
  <si>
    <t>Н220-260 №0-1</t>
  </si>
  <si>
    <t>Н260-300 №1-2</t>
  </si>
  <si>
    <t>Н300-340 №2-3</t>
  </si>
  <si>
    <t>Стол растущий, с ящиками</t>
  </si>
  <si>
    <t>алюминиевая рамка</t>
  </si>
  <si>
    <t>Выдвижные ящики на стол ученический</t>
  </si>
  <si>
    <t>Фанера</t>
  </si>
  <si>
    <t>Цветное ЛДСП</t>
  </si>
  <si>
    <t>800х480х800</t>
  </si>
  <si>
    <t>904х160х608 (3 ячейки)</t>
  </si>
  <si>
    <t>904х160х608 (4 ячейки)</t>
  </si>
  <si>
    <t>Светофор: 480х160х920</t>
  </si>
  <si>
    <t>640х160х610</t>
  </si>
  <si>
    <t>Домик 320х160х500</t>
  </si>
  <si>
    <t>1210*500*1050</t>
  </si>
  <si>
    <t>1210*500*1270</t>
  </si>
  <si>
    <t>1210*500*1500</t>
  </si>
  <si>
    <t>450*450*2000</t>
  </si>
  <si>
    <t>3000х1000</t>
  </si>
  <si>
    <t>3600х1200</t>
  </si>
  <si>
    <t>1500х1000</t>
  </si>
  <si>
    <t>Ронделла для детских столов</t>
  </si>
  <si>
    <t>400*160*400</t>
  </si>
  <si>
    <t>800*160*400</t>
  </si>
  <si>
    <t>874х250х1204</t>
  </si>
  <si>
    <t>874х250х632</t>
  </si>
  <si>
    <t>1000х280х846</t>
  </si>
  <si>
    <t>1000*1200</t>
  </si>
  <si>
    <t>1000х1500</t>
  </si>
  <si>
    <t>каркас разборный</t>
  </si>
  <si>
    <t>(стол пластик, табуреты-ЛДСП)</t>
  </si>
  <si>
    <t>(стол пластик, скамьи-ЛДСП)</t>
  </si>
  <si>
    <t>500*100*750</t>
  </si>
  <si>
    <t>Т.дт.2.2</t>
  </si>
  <si>
    <t>Крючок 2 шт. + саморез 2 шт.</t>
  </si>
  <si>
    <t>растущий (можно сделать    Т-образный каркас)</t>
  </si>
  <si>
    <t>К.С.А.5</t>
  </si>
  <si>
    <t>Каркас скамьи</t>
  </si>
  <si>
    <t>К.С.А.8</t>
  </si>
  <si>
    <t>1095*244*№</t>
  </si>
  <si>
    <t>1290*280*250</t>
  </si>
  <si>
    <t>Столы</t>
  </si>
  <si>
    <t>Тумбы</t>
  </si>
  <si>
    <t>Шкафы</t>
  </si>
  <si>
    <t>(№: 3, 4, 5, 6, 7)</t>
  </si>
  <si>
    <t>№: 2-4; 3-5; 4-6; 5-7</t>
  </si>
  <si>
    <t>1-местный (№: 3, 4, 5, 6, 7)</t>
  </si>
  <si>
    <t>2-местный (№: 3, 4, 5, 6, 7)</t>
  </si>
  <si>
    <t xml:space="preserve"> 1-местный (№: 2-4; 3-5; 4-6; 5-7)</t>
  </si>
  <si>
    <t xml:space="preserve"> 1-местный (№: 3, 4, 5, 6, 7)</t>
  </si>
  <si>
    <t>1-местный (№: 2-4; 3-5; 4-6; 5-7)</t>
  </si>
  <si>
    <t>2-местный (№: 2-4; 3-5; 4-6; 5-7)</t>
  </si>
  <si>
    <t>1-местный (№: 2-4;3-5;4-6;5-7)</t>
  </si>
  <si>
    <t>2-местный (№: 5, 6, 7)</t>
  </si>
  <si>
    <t>2-местный(№:5,6,7</t>
  </si>
  <si>
    <t xml:space="preserve"> 2-местный (№: 3, 4, 5, 6, 7)</t>
  </si>
  <si>
    <t xml:space="preserve"> (№: 2-4; 3-5; 4-6; 5-7)</t>
  </si>
  <si>
    <t>(№:3,4,5,6,7)</t>
  </si>
  <si>
    <t>ЛДСП (№: 3, 4, 5, 6, 7)</t>
  </si>
  <si>
    <t>600*580*1700</t>
  </si>
  <si>
    <t>В2.2 с тумбой</t>
  </si>
  <si>
    <t>1585*400*1700</t>
  </si>
  <si>
    <t>с подставкой для зонтов</t>
  </si>
  <si>
    <t>В.7</t>
  </si>
  <si>
    <t>С.п.13</t>
  </si>
  <si>
    <t>С.п.13.1</t>
  </si>
  <si>
    <t>(правый/левый)</t>
  </si>
  <si>
    <t>Стол эргономичный</t>
  </si>
  <si>
    <t>1400*900*750</t>
  </si>
  <si>
    <t>1600*900*750</t>
  </si>
  <si>
    <t>с тумбой (любой из прайса</t>
  </si>
  <si>
    <t>Розетка двойная с заземлением и шторками</t>
  </si>
  <si>
    <t>Розетка двойная</t>
  </si>
  <si>
    <t>подвесы +200р</t>
  </si>
  <si>
    <t>гнутоклееная</t>
  </si>
  <si>
    <t>1200*300*16</t>
  </si>
  <si>
    <t>(24 места)</t>
  </si>
  <si>
    <t xml:space="preserve"> (36 мест)</t>
  </si>
  <si>
    <t>Отдельно столешница 728р</t>
  </si>
  <si>
    <t>При комбинации цветов (красный, желтый, синий, зеленый) фасадной части изделия цена увеличивается на 20%</t>
  </si>
  <si>
    <t>с 4 ящиками</t>
  </si>
  <si>
    <t>(Пластик)</t>
  </si>
  <si>
    <t>Куб 270х160х270</t>
  </si>
  <si>
    <t>600*200*200</t>
  </si>
  <si>
    <t>800*200*200</t>
  </si>
  <si>
    <t>400*200*150</t>
  </si>
  <si>
    <t>800*200*150</t>
  </si>
  <si>
    <t>В1.1 " с тумбой</t>
  </si>
  <si>
    <t>210р./390р.</t>
  </si>
  <si>
    <t>160р./300р.</t>
  </si>
  <si>
    <t>ПВХ 2мм (метр кромки*47р) / ЛДСП 22мм (м2*275р)</t>
  </si>
  <si>
    <t>2374 / 2827</t>
  </si>
  <si>
    <t>Стол С.П. (1400) + 520р</t>
  </si>
  <si>
    <t>Стол С.П. (1600) + 605р</t>
  </si>
  <si>
    <t>Цвет лдсп по умолчанию БУК.  Толщина лдсп по умолчанию 16 мм. (Столешницы и топы возможно изготовить из лдсп 22 мм.) Толщина кромки пвх по умолчанию  0,4 мм. Возможно использовать кромку пвх 2 мм. Металлокаркас квадратного сечения 25*25*1,5. Металлокаркас круглого сечения 18*18*1,5. Цвет каркаса по умолчанию светло-серый. Другие цвета металлокаркаса по согласованию.</t>
  </si>
  <si>
    <r>
      <rPr>
        <b/>
        <sz val="10"/>
        <color theme="1"/>
        <rFont val="Calibri"/>
        <family val="2"/>
        <scheme val="minor"/>
      </rPr>
      <t>Поставщик ООО «КОРПОРАЦИЯ ДЕТИ»</t>
    </r>
    <r>
      <rPr>
        <sz val="10"/>
        <color theme="1"/>
        <rFont val="Calibri"/>
        <family val="2"/>
        <scheme val="minor"/>
      </rPr>
      <t xml:space="preserve">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deti-ek@mail.ru
Телефоны: +7 (800) 775-37-70 (звонок по РФ бесплатный)
Наш сайт http://deti-ek.ru/</t>
    </r>
  </si>
  <si>
    <t>Поставщик ООО «КОРПОРАЦИЯ ДЕТИ»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deti-ek@mail.ru
Телефоны: +7 (800) 775-37-70 (звонок по РФ бесплатный)
Наш сайт http://deti-ek.ru/</t>
  </si>
  <si>
    <t>Радиусы на столешнице 1 угол</t>
  </si>
  <si>
    <t>Трансформер рег. угол</t>
  </si>
  <si>
    <t>растущий Трансформер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</si>
</sst>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&quot;р.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rgb="FFC7E1B4"/>
      <name val="Calibri"/>
      <family val="2"/>
      <scheme val="minor"/>
    </font>
    <font>
      <sz val="10"/>
      <color rgb="FFC0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C7E1B4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rgb="FFC7E1B4"/>
      <name val="Calibri"/>
      <family val="2"/>
      <charset val="204"/>
      <scheme val="minor"/>
    </font>
    <font>
      <sz val="9"/>
      <color rgb="FF92D050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u/>
      <sz val="10"/>
      <color rgb="FFFF0000"/>
      <name val="Calibri"/>
      <family val="2"/>
      <charset val="204"/>
      <scheme val="minor"/>
    </font>
    <font>
      <u/>
      <sz val="10"/>
      <color rgb="FFC0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3CC"/>
        <bgColor indexed="64"/>
      </patternFill>
    </fill>
    <fill>
      <patternFill patternType="solid">
        <fgColor rgb="FFDDCDC0"/>
        <bgColor indexed="64"/>
      </patternFill>
    </fill>
    <fill>
      <patternFill patternType="solid">
        <fgColor rgb="FFC7E1B4"/>
        <bgColor indexed="64"/>
      </patternFill>
    </fill>
    <fill>
      <patternFill patternType="solid">
        <fgColor theme="2" tint="-0.249977111117893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1" fillId="0" borderId="0"/>
  </cellStyleXfs>
  <cellXfs count="511">
    <xf numFmtId="0" fontId="0" fillId="0" borderId="0" xfId="0"/>
    <xf numFmtId="0" fontId="4" fillId="0" borderId="1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45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40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41" xfId="0" applyFont="1" applyBorder="1" applyAlignment="1">
      <alignment vertical="center"/>
    </xf>
    <xf numFmtId="0" fontId="4" fillId="0" borderId="3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8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4" fillId="0" borderId="12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5" fillId="0" borderId="24" xfId="2" applyFont="1" applyBorder="1" applyAlignment="1">
      <alignment horizontal="center" vertical="center"/>
    </xf>
    <xf numFmtId="0" fontId="4" fillId="0" borderId="17" xfId="2" applyFont="1" applyBorder="1" applyAlignment="1">
      <alignment horizontal="center" vertical="center"/>
    </xf>
    <xf numFmtId="0" fontId="5" fillId="0" borderId="25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4" fillId="0" borderId="0" xfId="2" applyFont="1" applyAlignment="1">
      <alignment horizontal="right" vertical="center"/>
    </xf>
    <xf numFmtId="0" fontId="7" fillId="0" borderId="13" xfId="2" applyFont="1" applyBorder="1" applyAlignment="1">
      <alignment horizontal="right" vertical="center"/>
    </xf>
    <xf numFmtId="0" fontId="7" fillId="0" borderId="0" xfId="2" applyFont="1" applyAlignment="1">
      <alignment horizontal="right" vertical="center"/>
    </xf>
    <xf numFmtId="0" fontId="7" fillId="0" borderId="12" xfId="2" applyFont="1" applyBorder="1" applyAlignment="1">
      <alignment horizontal="right" vertical="center"/>
    </xf>
    <xf numFmtId="0" fontId="7" fillId="0" borderId="34" xfId="2" applyFont="1" applyBorder="1" applyAlignment="1">
      <alignment horizontal="center" vertical="center"/>
    </xf>
    <xf numFmtId="0" fontId="7" fillId="0" borderId="17" xfId="2" applyFont="1" applyBorder="1" applyAlignment="1">
      <alignment horizontal="center" vertical="center"/>
    </xf>
    <xf numFmtId="0" fontId="7" fillId="0" borderId="34" xfId="2" applyFont="1" applyBorder="1" applyAlignment="1">
      <alignment horizontal="right" vertical="center"/>
    </xf>
    <xf numFmtId="0" fontId="4" fillId="0" borderId="0" xfId="2" applyFont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7" fillId="0" borderId="13" xfId="2" applyFont="1" applyBorder="1" applyAlignment="1">
      <alignment horizontal="left" vertical="center"/>
    </xf>
    <xf numFmtId="0" fontId="7" fillId="0" borderId="12" xfId="2" applyFont="1" applyBorder="1" applyAlignment="1">
      <alignment horizontal="left" vertical="center"/>
    </xf>
    <xf numFmtId="0" fontId="7" fillId="0" borderId="34" xfId="2" applyFont="1" applyBorder="1" applyAlignment="1">
      <alignment horizontal="left" vertical="center"/>
    </xf>
    <xf numFmtId="0" fontId="7" fillId="0" borderId="25" xfId="2" applyFont="1" applyBorder="1" applyAlignment="1">
      <alignment horizontal="center" vertical="center"/>
    </xf>
    <xf numFmtId="0" fontId="7" fillId="0" borderId="0" xfId="2" applyFont="1" applyAlignment="1">
      <alignment vertical="center"/>
    </xf>
    <xf numFmtId="0" fontId="7" fillId="0" borderId="12" xfId="2" applyFont="1" applyBorder="1" applyAlignment="1">
      <alignment vertical="center"/>
    </xf>
    <xf numFmtId="0" fontId="7" fillId="0" borderId="13" xfId="2" applyFont="1" applyBorder="1" applyAlignment="1">
      <alignment vertical="center"/>
    </xf>
    <xf numFmtId="0" fontId="4" fillId="0" borderId="0" xfId="2" applyFont="1" applyAlignment="1">
      <alignment vertical="center"/>
    </xf>
    <xf numFmtId="0" fontId="7" fillId="0" borderId="16" xfId="2" applyFont="1" applyBorder="1" applyAlignment="1">
      <alignment horizontal="left" vertical="center"/>
    </xf>
    <xf numFmtId="0" fontId="7" fillId="0" borderId="17" xfId="2" applyFont="1" applyBorder="1" applyAlignment="1">
      <alignment horizontal="left" vertical="center"/>
    </xf>
    <xf numFmtId="0" fontId="7" fillId="0" borderId="34" xfId="2" applyFont="1" applyBorder="1" applyAlignment="1">
      <alignment vertical="center"/>
    </xf>
    <xf numFmtId="0" fontId="4" fillId="0" borderId="12" xfId="2" applyFont="1" applyBorder="1" applyAlignment="1">
      <alignment horizontal="left" vertical="center"/>
    </xf>
    <xf numFmtId="0" fontId="7" fillId="3" borderId="0" xfId="2" applyFont="1" applyFill="1" applyAlignment="1">
      <alignment horizontal="center" vertical="center"/>
    </xf>
    <xf numFmtId="0" fontId="4" fillId="0" borderId="12" xfId="2" applyFont="1" applyBorder="1" applyAlignment="1">
      <alignment horizontal="right" vertical="center"/>
    </xf>
    <xf numFmtId="0" fontId="7" fillId="0" borderId="16" xfId="2" applyFont="1" applyBorder="1" applyAlignment="1">
      <alignment vertical="center"/>
    </xf>
    <xf numFmtId="0" fontId="7" fillId="0" borderId="17" xfId="2" applyFont="1" applyBorder="1" applyAlignment="1">
      <alignment vertical="center"/>
    </xf>
    <xf numFmtId="0" fontId="7" fillId="0" borderId="18" xfId="2" applyFont="1" applyBorder="1" applyAlignment="1">
      <alignment vertical="center"/>
    </xf>
    <xf numFmtId="0" fontId="7" fillId="0" borderId="16" xfId="2" applyFont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4" fillId="7" borderId="6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7" fillId="7" borderId="7" xfId="0" applyFont="1" applyFill="1" applyBorder="1" applyAlignment="1">
      <alignment vertical="center"/>
    </xf>
    <xf numFmtId="0" fontId="5" fillId="7" borderId="29" xfId="2" applyFont="1" applyFill="1" applyBorder="1" applyAlignment="1">
      <alignment vertical="center"/>
    </xf>
    <xf numFmtId="0" fontId="4" fillId="7" borderId="0" xfId="2" applyFont="1" applyFill="1" applyAlignment="1">
      <alignment horizontal="center" vertical="center"/>
    </xf>
    <xf numFmtId="165" fontId="5" fillId="7" borderId="45" xfId="2" applyNumberFormat="1" applyFont="1" applyFill="1" applyBorder="1" applyAlignment="1">
      <alignment horizontal="center" vertical="center"/>
    </xf>
    <xf numFmtId="165" fontId="5" fillId="7" borderId="45" xfId="2" applyNumberFormat="1" applyFont="1" applyFill="1" applyBorder="1" applyAlignment="1">
      <alignment horizontal="left" vertical="center"/>
    </xf>
    <xf numFmtId="0" fontId="4" fillId="7" borderId="0" xfId="2" applyFont="1" applyFill="1" applyAlignment="1">
      <alignment horizontal="left" vertical="center"/>
    </xf>
    <xf numFmtId="0" fontId="4" fillId="7" borderId="0" xfId="2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5" fontId="15" fillId="0" borderId="6" xfId="0" applyNumberFormat="1" applyFont="1" applyBorder="1" applyAlignment="1">
      <alignment horizontal="right" vertical="center"/>
    </xf>
    <xf numFmtId="165" fontId="15" fillId="0" borderId="0" xfId="0" applyNumberFormat="1" applyFont="1" applyAlignment="1">
      <alignment horizontal="right" vertical="center"/>
    </xf>
    <xf numFmtId="165" fontId="15" fillId="0" borderId="7" xfId="0" applyNumberFormat="1" applyFont="1" applyBorder="1" applyAlignment="1">
      <alignment horizontal="right" vertical="center"/>
    </xf>
    <xf numFmtId="165" fontId="15" fillId="0" borderId="6" xfId="0" applyNumberFormat="1" applyFont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vertical="center"/>
    </xf>
    <xf numFmtId="165" fontId="15" fillId="0" borderId="7" xfId="0" applyNumberFormat="1" applyFont="1" applyBorder="1" applyAlignment="1">
      <alignment vertical="center"/>
    </xf>
    <xf numFmtId="165" fontId="15" fillId="0" borderId="13" xfId="0" applyNumberFormat="1" applyFont="1" applyBorder="1" applyAlignment="1">
      <alignment vertical="center"/>
    </xf>
    <xf numFmtId="165" fontId="13" fillId="7" borderId="45" xfId="0" applyNumberFormat="1" applyFont="1" applyFill="1" applyBorder="1" applyAlignment="1">
      <alignment horizontal="center" vertical="center"/>
    </xf>
    <xf numFmtId="165" fontId="15" fillId="3" borderId="0" xfId="0" applyNumberFormat="1" applyFont="1" applyFill="1" applyAlignment="1">
      <alignment vertical="center"/>
    </xf>
    <xf numFmtId="165" fontId="13" fillId="7" borderId="45" xfId="0" applyNumberFormat="1" applyFont="1" applyFill="1" applyBorder="1" applyAlignment="1">
      <alignment vertical="center"/>
    </xf>
    <xf numFmtId="0" fontId="13" fillId="7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9" fillId="7" borderId="29" xfId="0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165" fontId="20" fillId="0" borderId="0" xfId="0" applyNumberFormat="1" applyFont="1" applyAlignment="1">
      <alignment vertical="center" wrapText="1"/>
    </xf>
    <xf numFmtId="165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vertical="center"/>
    </xf>
    <xf numFmtId="165" fontId="20" fillId="0" borderId="13" xfId="0" applyNumberFormat="1" applyFont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vertical="center"/>
    </xf>
    <xf numFmtId="165" fontId="20" fillId="0" borderId="7" xfId="0" applyNumberFormat="1" applyFont="1" applyBorder="1" applyAlignment="1">
      <alignment vertical="center"/>
    </xf>
    <xf numFmtId="165" fontId="20" fillId="0" borderId="13" xfId="0" applyNumberFormat="1" applyFont="1" applyBorder="1" applyAlignment="1">
      <alignment vertical="center"/>
    </xf>
    <xf numFmtId="165" fontId="20" fillId="6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vertical="center"/>
    </xf>
    <xf numFmtId="165" fontId="20" fillId="7" borderId="0" xfId="0" applyNumberFormat="1" applyFont="1" applyFill="1" applyAlignment="1">
      <alignment vertical="center"/>
    </xf>
    <xf numFmtId="165" fontId="17" fillId="7" borderId="45" xfId="0" applyNumberFormat="1" applyFont="1" applyFill="1" applyBorder="1" applyAlignment="1">
      <alignment vertical="center"/>
    </xf>
    <xf numFmtId="0" fontId="17" fillId="7" borderId="0" xfId="0" applyFont="1" applyFill="1" applyAlignment="1">
      <alignment vertical="center"/>
    </xf>
    <xf numFmtId="165" fontId="17" fillId="8" borderId="45" xfId="0" applyNumberFormat="1" applyFont="1" applyFill="1" applyBorder="1" applyAlignment="1">
      <alignment vertical="center"/>
    </xf>
    <xf numFmtId="0" fontId="17" fillId="8" borderId="0" xfId="0" applyFont="1" applyFill="1" applyAlignment="1">
      <alignment vertical="center"/>
    </xf>
    <xf numFmtId="0" fontId="13" fillId="0" borderId="12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13" fillId="7" borderId="29" xfId="0" applyFont="1" applyFill="1" applyBorder="1" applyAlignment="1">
      <alignment vertical="center"/>
    </xf>
    <xf numFmtId="165" fontId="15" fillId="7" borderId="45" xfId="0" applyNumberFormat="1" applyFont="1" applyFill="1" applyBorder="1" applyAlignment="1">
      <alignment vertical="center"/>
    </xf>
    <xf numFmtId="0" fontId="13" fillId="7" borderId="45" xfId="0" applyFont="1" applyFill="1" applyBorder="1" applyAlignment="1">
      <alignment vertical="center"/>
    </xf>
    <xf numFmtId="165" fontId="15" fillId="0" borderId="6" xfId="0" applyNumberFormat="1" applyFont="1" applyBorder="1" applyAlignment="1">
      <alignment horizontal="left" vertical="center"/>
    </xf>
    <xf numFmtId="165" fontId="15" fillId="0" borderId="17" xfId="0" applyNumberFormat="1" applyFont="1" applyBorder="1" applyAlignment="1">
      <alignment vertical="center"/>
    </xf>
    <xf numFmtId="165" fontId="15" fillId="0" borderId="28" xfId="0" applyNumberFormat="1" applyFont="1" applyBorder="1" applyAlignment="1">
      <alignment vertical="center"/>
    </xf>
    <xf numFmtId="165" fontId="15" fillId="0" borderId="12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21" fillId="2" borderId="0" xfId="0" applyFont="1" applyFill="1" applyAlignment="1">
      <alignment vertical="center"/>
    </xf>
    <xf numFmtId="0" fontId="13" fillId="0" borderId="11" xfId="0" applyFont="1" applyBorder="1" applyAlignment="1">
      <alignment vertical="center"/>
    </xf>
    <xf numFmtId="164" fontId="15" fillId="0" borderId="0" xfId="0" applyNumberFormat="1" applyFont="1" applyAlignment="1">
      <alignment horizontal="center" vertical="center"/>
    </xf>
    <xf numFmtId="164" fontId="15" fillId="0" borderId="7" xfId="0" applyNumberFormat="1" applyFont="1" applyBorder="1" applyAlignment="1">
      <alignment horizontal="center" vertical="center"/>
    </xf>
    <xf numFmtId="164" fontId="15" fillId="0" borderId="6" xfId="0" applyNumberFormat="1" applyFont="1" applyBorder="1"/>
    <xf numFmtId="164" fontId="15" fillId="0" borderId="0" xfId="0" applyNumberFormat="1" applyFont="1"/>
    <xf numFmtId="164" fontId="15" fillId="0" borderId="7" xfId="0" applyNumberFormat="1" applyFont="1" applyBorder="1"/>
    <xf numFmtId="164" fontId="15" fillId="0" borderId="6" xfId="0" applyNumberFormat="1" applyFont="1" applyBorder="1" applyAlignment="1">
      <alignment horizontal="left" vertical="center"/>
    </xf>
    <xf numFmtId="164" fontId="15" fillId="0" borderId="0" xfId="0" applyNumberFormat="1" applyFont="1" applyAlignment="1">
      <alignment horizontal="left" vertical="center"/>
    </xf>
    <xf numFmtId="164" fontId="15" fillId="0" borderId="7" xfId="0" applyNumberFormat="1" applyFont="1" applyBorder="1" applyAlignment="1">
      <alignment horizontal="left" vertical="center"/>
    </xf>
    <xf numFmtId="164" fontId="15" fillId="0" borderId="6" xfId="0" applyNumberFormat="1" applyFont="1" applyBorder="1" applyAlignment="1">
      <alignment vertical="center"/>
    </xf>
    <xf numFmtId="164" fontId="15" fillId="0" borderId="0" xfId="0" applyNumberFormat="1" applyFont="1" applyAlignment="1">
      <alignment vertical="center"/>
    </xf>
    <xf numFmtId="164" fontId="15" fillId="0" borderId="7" xfId="0" applyNumberFormat="1" applyFont="1" applyBorder="1" applyAlignment="1">
      <alignment vertical="center"/>
    </xf>
    <xf numFmtId="165" fontId="13" fillId="7" borderId="45" xfId="0" applyNumberFormat="1" applyFont="1" applyFill="1" applyBorder="1"/>
    <xf numFmtId="164" fontId="13" fillId="7" borderId="45" xfId="0" applyNumberFormat="1" applyFont="1" applyFill="1" applyBorder="1"/>
    <xf numFmtId="164" fontId="15" fillId="0" borderId="1" xfId="0" applyNumberFormat="1" applyFont="1" applyBorder="1"/>
    <xf numFmtId="164" fontId="15" fillId="0" borderId="5" xfId="0" applyNumberFormat="1" applyFont="1" applyBorder="1"/>
    <xf numFmtId="165" fontId="15" fillId="7" borderId="0" xfId="0" applyNumberFormat="1" applyFont="1" applyFill="1"/>
    <xf numFmtId="164" fontId="15" fillId="0" borderId="40" xfId="0" applyNumberFormat="1" applyFont="1" applyBorder="1" applyAlignment="1">
      <alignment vertical="center"/>
    </xf>
    <xf numFmtId="164" fontId="15" fillId="0" borderId="1" xfId="0" applyNumberFormat="1" applyFont="1" applyBorder="1" applyAlignment="1">
      <alignment vertical="center"/>
    </xf>
    <xf numFmtId="164" fontId="15" fillId="0" borderId="5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0" fontId="13" fillId="0" borderId="4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0" fontId="21" fillId="2" borderId="7" xfId="0" applyFont="1" applyFill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7" borderId="6" xfId="0" applyFont="1" applyFill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5" fillId="0" borderId="17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36" xfId="0" applyFont="1" applyBorder="1" applyAlignment="1">
      <alignment vertical="center"/>
    </xf>
    <xf numFmtId="0" fontId="15" fillId="0" borderId="40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5" fillId="0" borderId="35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34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12" xfId="2" applyFont="1" applyBorder="1" applyAlignment="1">
      <alignment horizontal="center" vertical="center"/>
    </xf>
    <xf numFmtId="0" fontId="13" fillId="7" borderId="29" xfId="2" applyFont="1" applyFill="1" applyBorder="1" applyAlignment="1">
      <alignment vertical="center"/>
    </xf>
    <xf numFmtId="0" fontId="13" fillId="0" borderId="0" xfId="2" applyFont="1" applyAlignment="1">
      <alignment horizontal="center" vertical="center"/>
    </xf>
    <xf numFmtId="0" fontId="13" fillId="0" borderId="24" xfId="2" applyFont="1" applyBorder="1" applyAlignment="1">
      <alignment horizontal="center" vertical="center"/>
    </xf>
    <xf numFmtId="0" fontId="13" fillId="0" borderId="17" xfId="2" applyFont="1" applyBorder="1" applyAlignment="1">
      <alignment horizontal="center" vertical="center"/>
    </xf>
    <xf numFmtId="0" fontId="13" fillId="0" borderId="25" xfId="2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1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0" xfId="2" applyFont="1" applyAlignment="1">
      <alignment horizontal="right" vertical="center"/>
    </xf>
    <xf numFmtId="0" fontId="15" fillId="0" borderId="13" xfId="2" applyFont="1" applyBorder="1" applyAlignment="1">
      <alignment horizontal="right" vertical="center"/>
    </xf>
    <xf numFmtId="0" fontId="15" fillId="0" borderId="0" xfId="2" applyFont="1" applyAlignment="1">
      <alignment horizontal="right" vertical="center"/>
    </xf>
    <xf numFmtId="0" fontId="15" fillId="0" borderId="12" xfId="2" applyFont="1" applyBorder="1" applyAlignment="1">
      <alignment horizontal="right" vertical="center"/>
    </xf>
    <xf numFmtId="0" fontId="15" fillId="0" borderId="34" xfId="2" applyFont="1" applyBorder="1" applyAlignment="1">
      <alignment horizontal="center" vertical="center"/>
    </xf>
    <xf numFmtId="165" fontId="13" fillId="7" borderId="45" xfId="2" applyNumberFormat="1" applyFont="1" applyFill="1" applyBorder="1" applyAlignment="1">
      <alignment horizontal="center" vertical="center"/>
    </xf>
    <xf numFmtId="165" fontId="15" fillId="0" borderId="27" xfId="2" applyNumberFormat="1" applyFont="1" applyBorder="1" applyAlignment="1">
      <alignment horizontal="center" vertical="center"/>
    </xf>
    <xf numFmtId="165" fontId="15" fillId="0" borderId="13" xfId="2" applyNumberFormat="1" applyFont="1" applyBorder="1" applyAlignment="1">
      <alignment horizontal="center" vertical="center"/>
    </xf>
    <xf numFmtId="165" fontId="15" fillId="0" borderId="0" xfId="2" applyNumberFormat="1" applyFont="1" applyAlignment="1">
      <alignment horizontal="center" vertical="center"/>
    </xf>
    <xf numFmtId="165" fontId="15" fillId="0" borderId="12" xfId="2" applyNumberFormat="1" applyFont="1" applyBorder="1" applyAlignment="1">
      <alignment horizontal="center" vertical="center"/>
    </xf>
    <xf numFmtId="165" fontId="15" fillId="0" borderId="34" xfId="2" applyNumberFormat="1" applyFont="1" applyBorder="1" applyAlignment="1">
      <alignment horizontal="center" vertical="center"/>
    </xf>
    <xf numFmtId="165" fontId="15" fillId="7" borderId="29" xfId="2" applyNumberFormat="1" applyFont="1" applyFill="1" applyBorder="1" applyAlignment="1">
      <alignment horizontal="center" vertical="center"/>
    </xf>
    <xf numFmtId="165" fontId="13" fillId="7" borderId="45" xfId="2" applyNumberFormat="1" applyFont="1" applyFill="1" applyBorder="1" applyAlignment="1">
      <alignment horizontal="left" vertical="center"/>
    </xf>
    <xf numFmtId="165" fontId="15" fillId="0" borderId="0" xfId="2" applyNumberFormat="1" applyFont="1" applyAlignment="1">
      <alignment vertical="center"/>
    </xf>
    <xf numFmtId="165" fontId="15" fillId="0" borderId="12" xfId="2" applyNumberFormat="1" applyFont="1" applyBorder="1" applyAlignment="1">
      <alignment vertical="center"/>
    </xf>
    <xf numFmtId="165" fontId="15" fillId="0" borderId="34" xfId="2" applyNumberFormat="1" applyFont="1" applyBorder="1" applyAlignment="1">
      <alignment vertical="center"/>
    </xf>
    <xf numFmtId="165" fontId="13" fillId="7" borderId="45" xfId="2" applyNumberFormat="1" applyFont="1" applyFill="1" applyBorder="1" applyAlignment="1">
      <alignment horizontal="right" vertical="center"/>
    </xf>
    <xf numFmtId="165" fontId="13" fillId="7" borderId="26" xfId="2" applyNumberFormat="1" applyFont="1" applyFill="1" applyBorder="1" applyAlignment="1">
      <alignment horizontal="center" vertical="center"/>
    </xf>
    <xf numFmtId="0" fontId="13" fillId="7" borderId="0" xfId="2" applyFont="1" applyFill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6" xfId="2" applyFont="1" applyBorder="1" applyAlignment="1">
      <alignment horizontal="right" vertical="center"/>
    </xf>
    <xf numFmtId="0" fontId="15" fillId="0" borderId="7" xfId="2" applyFont="1" applyBorder="1" applyAlignment="1">
      <alignment horizontal="right" vertical="center"/>
    </xf>
    <xf numFmtId="0" fontId="15" fillId="0" borderId="34" xfId="2" applyFont="1" applyBorder="1" applyAlignment="1">
      <alignment horizontal="right" vertical="center"/>
    </xf>
    <xf numFmtId="0" fontId="15" fillId="0" borderId="6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3" fillId="0" borderId="0" xfId="2" applyFont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5" fillId="0" borderId="13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34" xfId="2" applyFont="1" applyBorder="1" applyAlignment="1">
      <alignment horizontal="left" vertical="center"/>
    </xf>
    <xf numFmtId="0" fontId="15" fillId="0" borderId="6" xfId="2" applyFont="1" applyBorder="1" applyAlignment="1">
      <alignment horizontal="left" vertical="center"/>
    </xf>
    <xf numFmtId="0" fontId="15" fillId="0" borderId="7" xfId="2" applyFont="1" applyBorder="1" applyAlignment="1">
      <alignment horizontal="left" vertical="center"/>
    </xf>
    <xf numFmtId="165" fontId="15" fillId="0" borderId="0" xfId="2" applyNumberFormat="1" applyFont="1" applyAlignment="1">
      <alignment horizontal="left" vertical="center"/>
    </xf>
    <xf numFmtId="165" fontId="15" fillId="0" borderId="13" xfId="2" applyNumberFormat="1" applyFont="1" applyBorder="1" applyAlignment="1">
      <alignment horizontal="left" vertical="center"/>
    </xf>
    <xf numFmtId="165" fontId="15" fillId="0" borderId="34" xfId="2" applyNumberFormat="1" applyFont="1" applyBorder="1" applyAlignment="1">
      <alignment horizontal="left" vertical="center"/>
    </xf>
    <xf numFmtId="165" fontId="15" fillId="0" borderId="12" xfId="2" applyNumberFormat="1" applyFont="1" applyBorder="1" applyAlignment="1">
      <alignment horizontal="left" vertical="center"/>
    </xf>
    <xf numFmtId="165" fontId="15" fillId="0" borderId="6" xfId="2" applyNumberFormat="1" applyFont="1" applyBorder="1" applyAlignment="1">
      <alignment horizontal="left" vertical="center"/>
    </xf>
    <xf numFmtId="0" fontId="13" fillId="7" borderId="0" xfId="2" applyFont="1" applyFill="1" applyAlignment="1">
      <alignment horizontal="left" vertical="center"/>
    </xf>
    <xf numFmtId="0" fontId="15" fillId="0" borderId="25" xfId="2" applyFont="1" applyBorder="1" applyAlignment="1">
      <alignment horizontal="center" vertical="center"/>
    </xf>
    <xf numFmtId="165" fontId="15" fillId="7" borderId="0" xfId="2" applyNumberFormat="1" applyFont="1" applyFill="1" applyAlignment="1">
      <alignment horizontal="left" vertical="center"/>
    </xf>
    <xf numFmtId="165" fontId="13" fillId="3" borderId="45" xfId="2" applyNumberFormat="1" applyFont="1" applyFill="1" applyBorder="1" applyAlignment="1">
      <alignment horizontal="left" vertical="center"/>
    </xf>
    <xf numFmtId="0" fontId="15" fillId="0" borderId="19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14" xfId="2" applyFont="1" applyBorder="1" applyAlignment="1">
      <alignment vertical="center"/>
    </xf>
    <xf numFmtId="0" fontId="15" fillId="0" borderId="0" xfId="2" applyFont="1" applyAlignment="1">
      <alignment vertical="center"/>
    </xf>
    <xf numFmtId="0" fontId="15" fillId="0" borderId="12" xfId="2" applyFont="1" applyBorder="1" applyAlignment="1">
      <alignment vertical="center"/>
    </xf>
    <xf numFmtId="0" fontId="15" fillId="0" borderId="13" xfId="2" applyFont="1" applyBorder="1" applyAlignment="1">
      <alignment vertical="center" wrapText="1"/>
    </xf>
    <xf numFmtId="0" fontId="15" fillId="0" borderId="0" xfId="2" applyFont="1" applyAlignment="1">
      <alignment vertical="center" wrapText="1"/>
    </xf>
    <xf numFmtId="165" fontId="15" fillId="0" borderId="13" xfId="2" applyNumberFormat="1" applyFont="1" applyBorder="1" applyAlignment="1">
      <alignment vertical="center"/>
    </xf>
    <xf numFmtId="0" fontId="15" fillId="0" borderId="27" xfId="2" applyFont="1" applyBorder="1" applyAlignment="1">
      <alignment vertical="center"/>
    </xf>
    <xf numFmtId="0" fontId="15" fillId="0" borderId="27" xfId="2" applyFont="1" applyBorder="1" applyAlignment="1">
      <alignment horizontal="left" vertical="center"/>
    </xf>
    <xf numFmtId="0" fontId="15" fillId="0" borderId="53" xfId="2" applyFont="1" applyBorder="1" applyAlignment="1">
      <alignment vertical="center"/>
    </xf>
    <xf numFmtId="165" fontId="15" fillId="7" borderId="0" xfId="2" applyNumberFormat="1" applyFont="1" applyFill="1" applyAlignment="1">
      <alignment horizontal="center" vertical="center"/>
    </xf>
    <xf numFmtId="0" fontId="15" fillId="0" borderId="13" xfId="2" applyFont="1" applyBorder="1" applyAlignment="1">
      <alignment vertical="center"/>
    </xf>
    <xf numFmtId="0" fontId="15" fillId="0" borderId="34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3" fillId="7" borderId="45" xfId="2" applyFont="1" applyFill="1" applyBorder="1" applyAlignment="1">
      <alignment horizontal="center" vertical="center"/>
    </xf>
    <xf numFmtId="165" fontId="22" fillId="0" borderId="13" xfId="2" applyNumberFormat="1" applyFont="1" applyBorder="1" applyAlignment="1">
      <alignment vertical="center" textRotation="90"/>
    </xf>
    <xf numFmtId="0" fontId="15" fillId="7" borderId="0" xfId="2" applyFont="1" applyFill="1" applyAlignment="1">
      <alignment horizontal="center" vertical="center"/>
    </xf>
    <xf numFmtId="165" fontId="20" fillId="0" borderId="22" xfId="0" applyNumberFormat="1" applyFont="1" applyBorder="1" applyAlignment="1">
      <alignment horizontal="right" vertical="center"/>
    </xf>
    <xf numFmtId="165" fontId="20" fillId="0" borderId="1" xfId="0" applyNumberFormat="1" applyFont="1" applyBorder="1" applyAlignment="1">
      <alignment horizontal="right" vertical="center"/>
    </xf>
    <xf numFmtId="165" fontId="20" fillId="0" borderId="5" xfId="0" applyNumberFormat="1" applyFont="1" applyBorder="1" applyAlignment="1">
      <alignment horizontal="right" vertical="center"/>
    </xf>
    <xf numFmtId="9" fontId="18" fillId="7" borderId="43" xfId="0" applyNumberFormat="1" applyFont="1" applyFill="1" applyBorder="1" applyAlignment="1">
      <alignment horizontal="center" vertical="center"/>
    </xf>
    <xf numFmtId="0" fontId="18" fillId="7" borderId="29" xfId="0" applyFont="1" applyFill="1" applyBorder="1" applyAlignment="1">
      <alignment horizontal="center" vertical="center"/>
    </xf>
    <xf numFmtId="165" fontId="20" fillId="0" borderId="40" xfId="0" applyNumberFormat="1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vertical="center"/>
    </xf>
    <xf numFmtId="165" fontId="20" fillId="0" borderId="5" xfId="0" applyNumberFormat="1" applyFont="1" applyBorder="1" applyAlignment="1">
      <alignment horizontal="center" vertical="center"/>
    </xf>
    <xf numFmtId="165" fontId="17" fillId="7" borderId="45" xfId="0" applyNumberFormat="1" applyFont="1" applyFill="1" applyBorder="1" applyAlignment="1">
      <alignment horizontal="left" vertical="center"/>
    </xf>
    <xf numFmtId="165" fontId="17" fillId="7" borderId="45" xfId="0" applyNumberFormat="1" applyFont="1" applyFill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right" vertical="center"/>
    </xf>
    <xf numFmtId="165" fontId="20" fillId="0" borderId="0" xfId="0" applyNumberFormat="1" applyFont="1" applyAlignment="1">
      <alignment horizontal="right" vertical="center"/>
    </xf>
    <xf numFmtId="165" fontId="20" fillId="0" borderId="7" xfId="0" applyNumberFormat="1" applyFont="1" applyBorder="1" applyAlignment="1">
      <alignment horizontal="right" vertical="center"/>
    </xf>
    <xf numFmtId="165" fontId="20" fillId="0" borderId="19" xfId="0" applyNumberFormat="1" applyFont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165" fontId="20" fillId="0" borderId="20" xfId="0" applyNumberFormat="1" applyFont="1" applyBorder="1" applyAlignment="1">
      <alignment horizontal="center" vertical="center"/>
    </xf>
    <xf numFmtId="165" fontId="20" fillId="0" borderId="14" xfId="0" applyNumberFormat="1" applyFont="1" applyBorder="1" applyAlignment="1">
      <alignment horizontal="right" vertical="center"/>
    </xf>
    <xf numFmtId="165" fontId="20" fillId="0" borderId="11" xfId="0" applyNumberFormat="1" applyFont="1" applyBorder="1" applyAlignment="1">
      <alignment horizontal="right" vertical="center"/>
    </xf>
    <xf numFmtId="165" fontId="20" fillId="0" borderId="15" xfId="0" applyNumberFormat="1" applyFont="1" applyBorder="1" applyAlignment="1">
      <alignment horizontal="right" vertical="center"/>
    </xf>
    <xf numFmtId="0" fontId="17" fillId="7" borderId="29" xfId="0" applyFont="1" applyFill="1" applyBorder="1" applyAlignment="1">
      <alignment horizontal="center" vertical="center"/>
    </xf>
    <xf numFmtId="0" fontId="17" fillId="7" borderId="44" xfId="0" applyFont="1" applyFill="1" applyBorder="1" applyAlignment="1">
      <alignment horizontal="center" vertical="center"/>
    </xf>
    <xf numFmtId="165" fontId="20" fillId="6" borderId="45" xfId="0" applyNumberFormat="1" applyFont="1" applyFill="1" applyBorder="1" applyAlignment="1">
      <alignment horizontal="left" vertical="center" wrapText="1"/>
    </xf>
    <xf numFmtId="165" fontId="20" fillId="0" borderId="31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165" fontId="20" fillId="0" borderId="33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5" fontId="20" fillId="0" borderId="14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5" fontId="20" fillId="0" borderId="11" xfId="0" applyNumberFormat="1" applyFont="1" applyBorder="1" applyAlignment="1">
      <alignment horizontal="center" vertical="center"/>
    </xf>
    <xf numFmtId="165" fontId="17" fillId="7" borderId="47" xfId="0" applyNumberFormat="1" applyFont="1" applyFill="1" applyBorder="1" applyAlignment="1">
      <alignment horizontal="left" vertical="center"/>
    </xf>
    <xf numFmtId="165" fontId="17" fillId="7" borderId="47" xfId="0" applyNumberFormat="1" applyFont="1" applyFill="1" applyBorder="1" applyAlignment="1">
      <alignment horizontal="center" vertical="center"/>
    </xf>
    <xf numFmtId="165" fontId="20" fillId="0" borderId="22" xfId="0" applyNumberFormat="1" applyFont="1" applyBorder="1" applyAlignment="1">
      <alignment horizontal="center" vertical="center"/>
    </xf>
    <xf numFmtId="165" fontId="17" fillId="8" borderId="45" xfId="0" applyNumberFormat="1" applyFont="1" applyFill="1" applyBorder="1" applyAlignment="1">
      <alignment horizontal="left" vertical="center"/>
    </xf>
    <xf numFmtId="165" fontId="17" fillId="8" borderId="45" xfId="0" applyNumberFormat="1" applyFont="1" applyFill="1" applyBorder="1" applyAlignment="1">
      <alignment horizontal="center" vertical="center"/>
    </xf>
    <xf numFmtId="165" fontId="17" fillId="8" borderId="43" xfId="0" applyNumberFormat="1" applyFont="1" applyFill="1" applyBorder="1" applyAlignment="1">
      <alignment horizontal="left" vertical="center"/>
    </xf>
    <xf numFmtId="165" fontId="17" fillId="8" borderId="29" xfId="0" applyNumberFormat="1" applyFont="1" applyFill="1" applyBorder="1" applyAlignment="1">
      <alignment horizontal="left" vertical="center"/>
    </xf>
    <xf numFmtId="165" fontId="17" fillId="8" borderId="44" xfId="0" applyNumberFormat="1" applyFont="1" applyFill="1" applyBorder="1" applyAlignment="1">
      <alignment horizontal="left" vertical="center"/>
    </xf>
    <xf numFmtId="0" fontId="16" fillId="4" borderId="54" xfId="0" applyFont="1" applyFill="1" applyBorder="1" applyAlignment="1">
      <alignment horizontal="center" vertical="center" wrapText="1"/>
    </xf>
    <xf numFmtId="0" fontId="16" fillId="4" borderId="26" xfId="0" applyFont="1" applyFill="1" applyBorder="1" applyAlignment="1">
      <alignment horizontal="center" vertical="center" wrapText="1"/>
    </xf>
    <xf numFmtId="0" fontId="16" fillId="4" borderId="55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165" fontId="20" fillId="6" borderId="48" xfId="0" applyNumberFormat="1" applyFont="1" applyFill="1" applyBorder="1" applyAlignment="1">
      <alignment horizontal="center" vertical="center"/>
    </xf>
    <xf numFmtId="165" fontId="20" fillId="6" borderId="49" xfId="0" applyNumberFormat="1" applyFont="1" applyFill="1" applyBorder="1" applyAlignment="1">
      <alignment horizontal="center" vertical="center"/>
    </xf>
    <xf numFmtId="165" fontId="20" fillId="6" borderId="50" xfId="0" applyNumberFormat="1" applyFont="1" applyFill="1" applyBorder="1" applyAlignment="1">
      <alignment horizontal="center" vertical="center"/>
    </xf>
    <xf numFmtId="165" fontId="20" fillId="6" borderId="51" xfId="0" applyNumberFormat="1" applyFont="1" applyFill="1" applyBorder="1" applyAlignment="1">
      <alignment horizontal="center" vertical="center"/>
    </xf>
    <xf numFmtId="165" fontId="20" fillId="6" borderId="26" xfId="0" applyNumberFormat="1" applyFont="1" applyFill="1" applyBorder="1" applyAlignment="1">
      <alignment horizontal="center" vertical="center"/>
    </xf>
    <xf numFmtId="165" fontId="20" fillId="6" borderId="52" xfId="0" applyNumberFormat="1" applyFont="1" applyFill="1" applyBorder="1" applyAlignment="1">
      <alignment horizontal="center" vertical="center"/>
    </xf>
    <xf numFmtId="165" fontId="20" fillId="6" borderId="13" xfId="0" applyNumberFormat="1" applyFont="1" applyFill="1" applyBorder="1" applyAlignment="1">
      <alignment horizontal="center" vertical="center"/>
    </xf>
    <xf numFmtId="165" fontId="20" fillId="6" borderId="0" xfId="0" applyNumberFormat="1" applyFont="1" applyFill="1" applyAlignment="1">
      <alignment horizontal="center" vertical="center"/>
    </xf>
    <xf numFmtId="165" fontId="20" fillId="6" borderId="12" xfId="0" applyNumberFormat="1" applyFont="1" applyFill="1" applyBorder="1" applyAlignment="1">
      <alignment horizontal="center" vertical="center"/>
    </xf>
    <xf numFmtId="165" fontId="20" fillId="6" borderId="16" xfId="0" applyNumberFormat="1" applyFont="1" applyFill="1" applyBorder="1" applyAlignment="1">
      <alignment horizontal="center" vertical="center"/>
    </xf>
    <xf numFmtId="165" fontId="20" fillId="6" borderId="17" xfId="0" applyNumberFormat="1" applyFont="1" applyFill="1" applyBorder="1" applyAlignment="1">
      <alignment horizontal="center" vertical="center"/>
    </xf>
    <xf numFmtId="165" fontId="20" fillId="6" borderId="18" xfId="0" applyNumberFormat="1" applyFont="1" applyFill="1" applyBorder="1" applyAlignment="1">
      <alignment horizontal="center" vertical="center"/>
    </xf>
    <xf numFmtId="165" fontId="20" fillId="0" borderId="37" xfId="0" applyNumberFormat="1" applyFont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7" borderId="44" xfId="0" applyFont="1" applyFill="1" applyBorder="1" applyAlignment="1">
      <alignment horizontal="center" vertical="center"/>
    </xf>
    <xf numFmtId="9" fontId="14" fillId="7" borderId="43" xfId="0" applyNumberFormat="1" applyFont="1" applyFill="1" applyBorder="1" applyAlignment="1">
      <alignment horizontal="center" vertical="center"/>
    </xf>
    <xf numFmtId="0" fontId="14" fillId="7" borderId="29" xfId="0" applyFont="1" applyFill="1" applyBorder="1" applyAlignment="1">
      <alignment horizontal="center" vertical="center"/>
    </xf>
    <xf numFmtId="0" fontId="12" fillId="5" borderId="43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44" xfId="0" applyFont="1" applyFill="1" applyBorder="1" applyAlignment="1">
      <alignment horizontal="center" vertical="center" wrapText="1"/>
    </xf>
    <xf numFmtId="165" fontId="15" fillId="0" borderId="19" xfId="0" applyNumberFormat="1" applyFont="1" applyBorder="1" applyAlignment="1">
      <alignment horizontal="center" vertical="center"/>
    </xf>
    <xf numFmtId="165" fontId="15" fillId="0" borderId="21" xfId="0" applyNumberFormat="1" applyFont="1" applyBorder="1" applyAlignment="1">
      <alignment horizontal="center" vertical="center"/>
    </xf>
    <xf numFmtId="165" fontId="15" fillId="0" borderId="20" xfId="0" applyNumberFormat="1" applyFont="1" applyBorder="1" applyAlignment="1">
      <alignment horizontal="center" vertical="center"/>
    </xf>
    <xf numFmtId="165" fontId="15" fillId="0" borderId="22" xfId="0" applyNumberFormat="1" applyFont="1" applyBorder="1" applyAlignment="1">
      <alignment horizontal="right" vertical="center"/>
    </xf>
    <xf numFmtId="165" fontId="15" fillId="0" borderId="1" xfId="0" applyNumberFormat="1" applyFont="1" applyBorder="1" applyAlignment="1">
      <alignment horizontal="right" vertical="center"/>
    </xf>
    <xf numFmtId="165" fontId="15" fillId="0" borderId="5" xfId="0" applyNumberFormat="1" applyFont="1" applyBorder="1" applyAlignment="1">
      <alignment horizontal="right" vertical="center"/>
    </xf>
    <xf numFmtId="165" fontId="15" fillId="0" borderId="37" xfId="0" applyNumberFormat="1" applyFont="1" applyBorder="1" applyAlignment="1">
      <alignment horizontal="right" vertical="center"/>
    </xf>
    <xf numFmtId="165" fontId="15" fillId="0" borderId="23" xfId="0" applyNumberFormat="1" applyFont="1" applyBorder="1" applyAlignment="1">
      <alignment horizontal="center" vertical="center"/>
    </xf>
    <xf numFmtId="165" fontId="15" fillId="0" borderId="38" xfId="0" applyNumberFormat="1" applyFont="1" applyBorder="1" applyAlignment="1">
      <alignment horizontal="center" vertical="center"/>
    </xf>
    <xf numFmtId="165" fontId="15" fillId="0" borderId="32" xfId="0" applyNumberFormat="1" applyFont="1" applyBorder="1" applyAlignment="1">
      <alignment horizontal="center" vertical="center"/>
    </xf>
    <xf numFmtId="165" fontId="15" fillId="0" borderId="13" xfId="0" applyNumberFormat="1" applyFont="1" applyBorder="1" applyAlignment="1">
      <alignment horizontal="right" vertical="center"/>
    </xf>
    <xf numFmtId="165" fontId="15" fillId="0" borderId="0" xfId="0" applyNumberFormat="1" applyFont="1" applyAlignment="1">
      <alignment horizontal="right" vertical="center"/>
    </xf>
    <xf numFmtId="165" fontId="15" fillId="0" borderId="12" xfId="0" applyNumberFormat="1" applyFont="1" applyBorder="1" applyAlignment="1">
      <alignment horizontal="right" vertical="center"/>
    </xf>
    <xf numFmtId="165" fontId="15" fillId="0" borderId="6" xfId="0" applyNumberFormat="1" applyFont="1" applyBorder="1" applyAlignment="1">
      <alignment horizontal="right" vertical="center"/>
    </xf>
    <xf numFmtId="165" fontId="15" fillId="0" borderId="7" xfId="0" applyNumberFormat="1" applyFont="1" applyBorder="1" applyAlignment="1">
      <alignment horizontal="right" vertical="center"/>
    </xf>
    <xf numFmtId="165" fontId="15" fillId="0" borderId="6" xfId="0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/>
    </xf>
    <xf numFmtId="165" fontId="13" fillId="7" borderId="45" xfId="0" applyNumberFormat="1" applyFont="1" applyFill="1" applyBorder="1" applyAlignment="1">
      <alignment horizontal="left" vertical="center"/>
    </xf>
    <xf numFmtId="165" fontId="13" fillId="7" borderId="45" xfId="0" applyNumberFormat="1" applyFont="1" applyFill="1" applyBorder="1" applyAlignment="1">
      <alignment horizontal="center" vertical="center"/>
    </xf>
    <xf numFmtId="165" fontId="15" fillId="7" borderId="45" xfId="0" applyNumberFormat="1" applyFont="1" applyFill="1" applyBorder="1" applyAlignment="1">
      <alignment horizontal="left" vertical="center"/>
    </xf>
    <xf numFmtId="165" fontId="15" fillId="7" borderId="45" xfId="0" applyNumberFormat="1" applyFont="1" applyFill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 vertical="center"/>
    </xf>
    <xf numFmtId="165" fontId="15" fillId="0" borderId="5" xfId="0" applyNumberFormat="1" applyFont="1" applyBorder="1" applyAlignment="1">
      <alignment horizontal="left" vertical="center"/>
    </xf>
    <xf numFmtId="165" fontId="15" fillId="0" borderId="6" xfId="0" applyNumberFormat="1" applyFont="1" applyBorder="1" applyAlignment="1">
      <alignment vertical="center"/>
    </xf>
    <xf numFmtId="165" fontId="15" fillId="0" borderId="0" xfId="0" applyNumberFormat="1" applyFont="1" applyAlignment="1">
      <alignment vertical="center"/>
    </xf>
    <xf numFmtId="165" fontId="15" fillId="0" borderId="7" xfId="0" applyNumberFormat="1" applyFont="1" applyBorder="1" applyAlignment="1">
      <alignment vertical="center"/>
    </xf>
    <xf numFmtId="165" fontId="15" fillId="0" borderId="40" xfId="0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center" vertical="center"/>
    </xf>
    <xf numFmtId="165" fontId="15" fillId="0" borderId="5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left" vertical="center" wrapText="1"/>
    </xf>
    <xf numFmtId="165" fontId="15" fillId="0" borderId="0" xfId="0" applyNumberFormat="1" applyFont="1" applyAlignment="1">
      <alignment horizontal="left" vertical="center" wrapText="1"/>
    </xf>
    <xf numFmtId="165" fontId="15" fillId="0" borderId="7" xfId="0" applyNumberFormat="1" applyFont="1" applyBorder="1" applyAlignment="1">
      <alignment horizontal="left" vertical="center" wrapText="1"/>
    </xf>
    <xf numFmtId="165" fontId="15" fillId="0" borderId="6" xfId="0" applyNumberFormat="1" applyFont="1" applyBorder="1" applyAlignment="1">
      <alignment horizontal="left" vertical="center"/>
    </xf>
    <xf numFmtId="165" fontId="15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165" fontId="13" fillId="7" borderId="45" xfId="0" applyNumberFormat="1" applyFont="1" applyFill="1" applyBorder="1" applyAlignment="1">
      <alignment horizontal="left" vertical="center" wrapText="1"/>
    </xf>
    <xf numFmtId="165" fontId="15" fillId="0" borderId="7" xfId="0" applyNumberFormat="1" applyFont="1" applyBorder="1" applyAlignment="1">
      <alignment horizontal="left" vertical="center"/>
    </xf>
    <xf numFmtId="165" fontId="15" fillId="0" borderId="14" xfId="0" applyNumberFormat="1" applyFont="1" applyBorder="1" applyAlignment="1">
      <alignment horizontal="right" vertical="center"/>
    </xf>
    <xf numFmtId="165" fontId="15" fillId="0" borderId="11" xfId="0" applyNumberFormat="1" applyFont="1" applyBorder="1" applyAlignment="1">
      <alignment horizontal="right" vertical="center"/>
    </xf>
    <xf numFmtId="165" fontId="15" fillId="0" borderId="15" xfId="0" applyNumberFormat="1" applyFont="1" applyBorder="1" applyAlignment="1">
      <alignment horizontal="right" vertical="center"/>
    </xf>
    <xf numFmtId="165" fontId="15" fillId="0" borderId="14" xfId="0" applyNumberFormat="1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65" fontId="15" fillId="0" borderId="11" xfId="0" applyNumberFormat="1" applyFont="1" applyBorder="1" applyAlignment="1">
      <alignment horizontal="center" vertical="center"/>
    </xf>
    <xf numFmtId="165" fontId="15" fillId="0" borderId="37" xfId="0" applyNumberFormat="1" applyFont="1" applyBorder="1" applyAlignment="1">
      <alignment horizontal="center" vertical="center"/>
    </xf>
    <xf numFmtId="165" fontId="15" fillId="0" borderId="22" xfId="0" applyNumberFormat="1" applyFont="1" applyBorder="1" applyAlignment="1">
      <alignment horizontal="center" vertical="center"/>
    </xf>
    <xf numFmtId="165" fontId="12" fillId="7" borderId="45" xfId="0" applyNumberFormat="1" applyFont="1" applyFill="1" applyBorder="1" applyAlignment="1">
      <alignment horizontal="center" vertical="center"/>
    </xf>
    <xf numFmtId="164" fontId="15" fillId="0" borderId="6" xfId="0" applyNumberFormat="1" applyFont="1" applyBorder="1" applyAlignment="1">
      <alignment horizontal="left" vertical="center"/>
    </xf>
    <xf numFmtId="164" fontId="15" fillId="0" borderId="0" xfId="0" applyNumberFormat="1" applyFont="1" applyAlignment="1">
      <alignment horizontal="left" vertical="center"/>
    </xf>
    <xf numFmtId="164" fontId="15" fillId="0" borderId="7" xfId="0" applyNumberFormat="1" applyFont="1" applyBorder="1" applyAlignment="1">
      <alignment horizontal="left" vertical="center"/>
    </xf>
    <xf numFmtId="165" fontId="13" fillId="7" borderId="45" xfId="0" applyNumberFormat="1" applyFont="1" applyFill="1" applyBorder="1" applyAlignment="1">
      <alignment horizontal="left" vertical="top"/>
    </xf>
    <xf numFmtId="164" fontId="15" fillId="0" borderId="2" xfId="0" applyNumberFormat="1" applyFont="1" applyBorder="1" applyAlignment="1">
      <alignment horizontal="center" vertical="center"/>
    </xf>
    <xf numFmtId="164" fontId="15" fillId="0" borderId="4" xfId="0" applyNumberFormat="1" applyFont="1" applyBorder="1" applyAlignment="1">
      <alignment horizontal="center" vertical="center"/>
    </xf>
    <xf numFmtId="164" fontId="15" fillId="0" borderId="3" xfId="0" applyNumberFormat="1" applyFont="1" applyBorder="1" applyAlignment="1">
      <alignment horizontal="center" vertical="center"/>
    </xf>
    <xf numFmtId="164" fontId="15" fillId="0" borderId="40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64" fontId="15" fillId="0" borderId="7" xfId="0" applyNumberFormat="1" applyFont="1" applyBorder="1" applyAlignment="1">
      <alignment horizontal="center" vertical="center"/>
    </xf>
    <xf numFmtId="164" fontId="15" fillId="0" borderId="42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164" fontId="15" fillId="0" borderId="7" xfId="0" applyNumberFormat="1" applyFont="1" applyBorder="1" applyAlignment="1">
      <alignment horizontal="right" vertical="center"/>
    </xf>
    <xf numFmtId="165" fontId="13" fillId="7" borderId="45" xfId="0" applyNumberFormat="1" applyFont="1" applyFill="1" applyBorder="1" applyAlignment="1">
      <alignment horizontal="center" vertical="top"/>
    </xf>
    <xf numFmtId="165" fontId="15" fillId="7" borderId="43" xfId="0" applyNumberFormat="1" applyFont="1" applyFill="1" applyBorder="1" applyAlignment="1">
      <alignment horizontal="center" vertical="center"/>
    </xf>
    <xf numFmtId="165" fontId="15" fillId="7" borderId="29" xfId="0" applyNumberFormat="1" applyFont="1" applyFill="1" applyBorder="1" applyAlignment="1">
      <alignment horizontal="center" vertical="center"/>
    </xf>
    <xf numFmtId="165" fontId="15" fillId="7" borderId="44" xfId="0" applyNumberFormat="1" applyFont="1" applyFill="1" applyBorder="1" applyAlignment="1">
      <alignment horizontal="center" vertical="center"/>
    </xf>
    <xf numFmtId="164" fontId="15" fillId="0" borderId="40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64" fontId="15" fillId="0" borderId="6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15" fillId="0" borderId="7" xfId="0" applyNumberFormat="1" applyFont="1" applyBorder="1" applyAlignment="1">
      <alignment horizontal="center" vertical="center" wrapText="1"/>
    </xf>
    <xf numFmtId="0" fontId="10" fillId="7" borderId="45" xfId="0" applyFont="1" applyFill="1" applyBorder="1" applyAlignment="1">
      <alignment horizontal="center" vertical="center"/>
    </xf>
    <xf numFmtId="165" fontId="12" fillId="7" borderId="45" xfId="0" applyNumberFormat="1" applyFont="1" applyFill="1" applyBorder="1" applyAlignment="1">
      <alignment horizontal="left" vertical="top"/>
    </xf>
    <xf numFmtId="164" fontId="15" fillId="0" borderId="8" xfId="0" applyNumberFormat="1" applyFont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64" fontId="15" fillId="0" borderId="10" xfId="0" applyNumberFormat="1" applyFont="1" applyBorder="1" applyAlignment="1">
      <alignment horizontal="center" vertical="center"/>
    </xf>
    <xf numFmtId="0" fontId="12" fillId="5" borderId="22" xfId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/>
    </xf>
    <xf numFmtId="0" fontId="12" fillId="5" borderId="37" xfId="1" applyFont="1" applyFill="1" applyBorder="1" applyAlignment="1">
      <alignment horizontal="center" vertical="center"/>
    </xf>
    <xf numFmtId="165" fontId="15" fillId="7" borderId="45" xfId="0" applyNumberFormat="1" applyFont="1" applyFill="1" applyBorder="1" applyAlignment="1">
      <alignment horizontal="center" vertical="top"/>
    </xf>
    <xf numFmtId="0" fontId="15" fillId="0" borderId="39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165" fontId="13" fillId="3" borderId="45" xfId="0" applyNumberFormat="1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7" xfId="0" applyFont="1" applyBorder="1" applyAlignment="1">
      <alignment horizontal="righ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3" fillId="7" borderId="45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22" fillId="7" borderId="45" xfId="0" applyFont="1" applyFill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13" fillId="7" borderId="29" xfId="2" applyFont="1" applyFill="1" applyBorder="1" applyAlignment="1">
      <alignment horizontal="center" vertical="center"/>
    </xf>
    <xf numFmtId="0" fontId="13" fillId="7" borderId="44" xfId="2" applyFont="1" applyFill="1" applyBorder="1" applyAlignment="1">
      <alignment horizontal="center" vertical="center"/>
    </xf>
    <xf numFmtId="9" fontId="14" fillId="7" borderId="43" xfId="2" applyNumberFormat="1" applyFont="1" applyFill="1" applyBorder="1" applyAlignment="1">
      <alignment horizontal="center" vertical="center"/>
    </xf>
    <xf numFmtId="0" fontId="14" fillId="7" borderId="29" xfId="2" applyFont="1" applyFill="1" applyBorder="1" applyAlignment="1">
      <alignment horizontal="center" vertical="center"/>
    </xf>
    <xf numFmtId="0" fontId="15" fillId="0" borderId="13" xfId="2" applyFont="1" applyBorder="1" applyAlignment="1">
      <alignment horizontal="right" vertical="center"/>
    </xf>
    <xf numFmtId="0" fontId="15" fillId="0" borderId="0" xfId="2" applyFont="1" applyAlignment="1">
      <alignment horizontal="right" vertical="center"/>
    </xf>
    <xf numFmtId="0" fontId="15" fillId="0" borderId="12" xfId="2" applyFont="1" applyBorder="1" applyAlignment="1">
      <alignment horizontal="right" vertical="center"/>
    </xf>
    <xf numFmtId="0" fontId="15" fillId="0" borderId="14" xfId="2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/>
    </xf>
    <xf numFmtId="0" fontId="15" fillId="0" borderId="15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5" fillId="0" borderId="20" xfId="2" applyFont="1" applyBorder="1" applyAlignment="1">
      <alignment horizontal="center" vertical="center"/>
    </xf>
    <xf numFmtId="165" fontId="13" fillId="7" borderId="45" xfId="2" applyNumberFormat="1" applyFont="1" applyFill="1" applyBorder="1" applyAlignment="1">
      <alignment horizontal="left" vertical="center"/>
    </xf>
    <xf numFmtId="165" fontId="13" fillId="7" borderId="45" xfId="2" applyNumberFormat="1" applyFont="1" applyFill="1" applyBorder="1" applyAlignment="1">
      <alignment horizontal="center" vertical="center"/>
    </xf>
    <xf numFmtId="165" fontId="13" fillId="7" borderId="45" xfId="2" applyNumberFormat="1" applyFont="1" applyFill="1" applyBorder="1" applyAlignment="1">
      <alignment vertical="center"/>
    </xf>
    <xf numFmtId="165" fontId="13" fillId="7" borderId="13" xfId="2" applyNumberFormat="1" applyFont="1" applyFill="1" applyBorder="1" applyAlignment="1">
      <alignment vertical="center"/>
    </xf>
    <xf numFmtId="165" fontId="13" fillId="7" borderId="0" xfId="2" applyNumberFormat="1" applyFont="1" applyFill="1" applyAlignment="1">
      <alignment vertical="center"/>
    </xf>
    <xf numFmtId="165" fontId="13" fillId="7" borderId="12" xfId="2" applyNumberFormat="1" applyFont="1" applyFill="1" applyBorder="1" applyAlignment="1">
      <alignment vertical="center"/>
    </xf>
    <xf numFmtId="165" fontId="13" fillId="7" borderId="13" xfId="2" applyNumberFormat="1" applyFont="1" applyFill="1" applyBorder="1" applyAlignment="1">
      <alignment horizontal="center" vertical="center"/>
    </xf>
    <xf numFmtId="165" fontId="13" fillId="7" borderId="0" xfId="2" applyNumberFormat="1" applyFont="1" applyFill="1" applyAlignment="1">
      <alignment horizontal="center" vertical="center"/>
    </xf>
    <xf numFmtId="165" fontId="13" fillId="7" borderId="12" xfId="2" applyNumberFormat="1" applyFont="1" applyFill="1" applyBorder="1" applyAlignment="1">
      <alignment horizontal="center" vertical="center"/>
    </xf>
    <xf numFmtId="165" fontId="13" fillId="7" borderId="13" xfId="2" applyNumberFormat="1" applyFont="1" applyFill="1" applyBorder="1" applyAlignment="1">
      <alignment horizontal="left" vertical="center"/>
    </xf>
    <xf numFmtId="165" fontId="13" fillId="7" borderId="0" xfId="2" applyNumberFormat="1" applyFont="1" applyFill="1" applyAlignment="1">
      <alignment horizontal="left" vertical="center"/>
    </xf>
    <xf numFmtId="165" fontId="13" fillId="7" borderId="12" xfId="2" applyNumberFormat="1" applyFont="1" applyFill="1" applyBorder="1" applyAlignment="1">
      <alignment horizontal="left" vertical="center"/>
    </xf>
    <xf numFmtId="0" fontId="15" fillId="0" borderId="14" xfId="2" applyFont="1" applyBorder="1" applyAlignment="1">
      <alignment horizontal="right" vertical="center"/>
    </xf>
    <xf numFmtId="0" fontId="15" fillId="0" borderId="11" xfId="2" applyFont="1" applyBorder="1" applyAlignment="1">
      <alignment horizontal="right" vertical="center"/>
    </xf>
    <xf numFmtId="0" fontId="15" fillId="0" borderId="15" xfId="2" applyFont="1" applyBorder="1" applyAlignment="1">
      <alignment horizontal="right" vertical="center"/>
    </xf>
    <xf numFmtId="0" fontId="15" fillId="0" borderId="31" xfId="2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0" fontId="15" fillId="0" borderId="33" xfId="2" applyFont="1" applyBorder="1" applyAlignment="1">
      <alignment horizontal="center" vertical="center"/>
    </xf>
    <xf numFmtId="0" fontId="15" fillId="0" borderId="22" xfId="2" applyFont="1" applyBorder="1" applyAlignment="1">
      <alignment horizontal="right" vertical="center"/>
    </xf>
    <xf numFmtId="0" fontId="15" fillId="0" borderId="1" xfId="2" applyFont="1" applyBorder="1" applyAlignment="1">
      <alignment horizontal="right" vertical="center"/>
    </xf>
    <xf numFmtId="0" fontId="15" fillId="0" borderId="5" xfId="2" applyFont="1" applyBorder="1" applyAlignment="1">
      <alignment horizontal="right" vertical="center"/>
    </xf>
    <xf numFmtId="165" fontId="15" fillId="0" borderId="0" xfId="2" applyNumberFormat="1" applyFont="1" applyAlignment="1">
      <alignment horizontal="center" vertical="center"/>
    </xf>
    <xf numFmtId="165" fontId="15" fillId="0" borderId="12" xfId="2" applyNumberFormat="1" applyFont="1" applyBorder="1" applyAlignment="1">
      <alignment horizontal="center" vertical="center"/>
    </xf>
    <xf numFmtId="165" fontId="15" fillId="0" borderId="7" xfId="2" applyNumberFormat="1" applyFont="1" applyBorder="1" applyAlignment="1">
      <alignment horizontal="center" vertical="center"/>
    </xf>
    <xf numFmtId="0" fontId="15" fillId="0" borderId="6" xfId="2" applyFont="1" applyBorder="1" applyAlignment="1">
      <alignment horizontal="right" vertical="center"/>
    </xf>
    <xf numFmtId="0" fontId="15" fillId="0" borderId="7" xfId="2" applyFont="1" applyBorder="1" applyAlignment="1">
      <alignment horizontal="right" vertical="center"/>
    </xf>
    <xf numFmtId="0" fontId="15" fillId="0" borderId="13" xfId="2" applyFont="1" applyBorder="1" applyAlignment="1">
      <alignment horizontal="left" vertical="center" wrapText="1"/>
    </xf>
    <xf numFmtId="0" fontId="15" fillId="0" borderId="0" xfId="2" applyFont="1" applyAlignment="1">
      <alignment horizontal="left" vertical="center" wrapText="1"/>
    </xf>
    <xf numFmtId="0" fontId="15" fillId="0" borderId="25" xfId="2" applyFont="1" applyBorder="1" applyAlignment="1">
      <alignment horizontal="left" vertical="center" wrapText="1"/>
    </xf>
    <xf numFmtId="0" fontId="15" fillId="0" borderId="24" xfId="2" applyFont="1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165" fontId="13" fillId="7" borderId="43" xfId="2" applyNumberFormat="1" applyFont="1" applyFill="1" applyBorder="1" applyAlignment="1">
      <alignment horizontal="right" vertical="center"/>
    </xf>
    <xf numFmtId="165" fontId="13" fillId="7" borderId="29" xfId="2" applyNumberFormat="1" applyFont="1" applyFill="1" applyBorder="1" applyAlignment="1">
      <alignment horizontal="right" vertical="center"/>
    </xf>
    <xf numFmtId="165" fontId="13" fillId="7" borderId="44" xfId="2" applyNumberFormat="1" applyFont="1" applyFill="1" applyBorder="1" applyAlignment="1">
      <alignment horizontal="right" vertical="center"/>
    </xf>
    <xf numFmtId="165" fontId="13" fillId="7" borderId="43" xfId="2" applyNumberFormat="1" applyFont="1" applyFill="1" applyBorder="1" applyAlignment="1">
      <alignment horizontal="center" vertical="center"/>
    </xf>
    <xf numFmtId="165" fontId="13" fillId="7" borderId="29" xfId="2" applyNumberFormat="1" applyFont="1" applyFill="1" applyBorder="1" applyAlignment="1">
      <alignment horizontal="center" vertical="center"/>
    </xf>
    <xf numFmtId="165" fontId="12" fillId="7" borderId="45" xfId="2" applyNumberFormat="1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15" fillId="0" borderId="16" xfId="2" applyFont="1" applyBorder="1" applyAlignment="1">
      <alignment horizontal="left" vertical="center"/>
    </xf>
    <xf numFmtId="0" fontId="15" fillId="0" borderId="17" xfId="2" applyFont="1" applyBorder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4" fillId="7" borderId="0" xfId="2" applyFont="1" applyFill="1" applyAlignment="1">
      <alignment horizontal="center" vertical="center"/>
    </xf>
    <xf numFmtId="0" fontId="4" fillId="7" borderId="0" xfId="2" applyFont="1" applyFill="1" applyAlignment="1">
      <alignment horizontal="left" vertical="center"/>
    </xf>
    <xf numFmtId="0" fontId="15" fillId="0" borderId="13" xfId="2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22" fillId="0" borderId="11" xfId="2" applyFont="1" applyBorder="1" applyAlignment="1">
      <alignment horizontal="right" vertical="center"/>
    </xf>
    <xf numFmtId="0" fontId="22" fillId="0" borderId="15" xfId="2" applyFont="1" applyBorder="1" applyAlignment="1">
      <alignment horizontal="right" vertical="center"/>
    </xf>
    <xf numFmtId="0" fontId="15" fillId="0" borderId="22" xfId="2" applyFont="1" applyBorder="1" applyAlignment="1">
      <alignment horizontal="center" vertical="center" textRotation="90"/>
    </xf>
    <xf numFmtId="0" fontId="15" fillId="0" borderId="13" xfId="2" applyFont="1" applyBorder="1" applyAlignment="1">
      <alignment horizontal="center" vertical="center" textRotation="90"/>
    </xf>
    <xf numFmtId="0" fontId="15" fillId="0" borderId="1" xfId="2" applyFont="1" applyBorder="1" applyAlignment="1">
      <alignment horizontal="center" vertical="center" textRotation="90"/>
    </xf>
    <xf numFmtId="0" fontId="15" fillId="0" borderId="0" xfId="2" applyFont="1" applyAlignment="1">
      <alignment horizontal="center" vertical="center" textRotation="90"/>
    </xf>
    <xf numFmtId="0" fontId="22" fillId="0" borderId="13" xfId="2" applyFont="1" applyBorder="1" applyAlignment="1">
      <alignment horizontal="center" vertical="center" textRotation="90"/>
    </xf>
    <xf numFmtId="165" fontId="13" fillId="3" borderId="45" xfId="2" applyNumberFormat="1" applyFont="1" applyFill="1" applyBorder="1" applyAlignment="1">
      <alignment horizontal="center" vertical="center"/>
    </xf>
    <xf numFmtId="0" fontId="13" fillId="5" borderId="13" xfId="2" applyFont="1" applyFill="1" applyBorder="1" applyAlignment="1">
      <alignment horizontal="center" vertical="center" wrapText="1"/>
    </xf>
    <xf numFmtId="0" fontId="13" fillId="5" borderId="0" xfId="2" applyFont="1" applyFill="1" applyAlignment="1">
      <alignment horizontal="center" vertical="center"/>
    </xf>
    <xf numFmtId="0" fontId="13" fillId="5" borderId="12" xfId="2" applyFont="1" applyFill="1" applyBorder="1" applyAlignment="1">
      <alignment horizontal="center" vertical="center"/>
    </xf>
    <xf numFmtId="0" fontId="7" fillId="0" borderId="13" xfId="2" applyFont="1" applyBorder="1" applyAlignment="1">
      <alignment horizontal="right" vertical="center"/>
    </xf>
    <xf numFmtId="0" fontId="7" fillId="0" borderId="0" xfId="2" applyFont="1" applyAlignment="1">
      <alignment horizontal="right" vertical="center"/>
    </xf>
    <xf numFmtId="0" fontId="7" fillId="0" borderId="12" xfId="2" applyFont="1" applyBorder="1" applyAlignment="1">
      <alignment horizontal="right" vertical="center"/>
    </xf>
    <xf numFmtId="165" fontId="5" fillId="7" borderId="45" xfId="2" applyNumberFormat="1" applyFont="1" applyFill="1" applyBorder="1" applyAlignment="1">
      <alignment horizontal="left" vertical="center"/>
    </xf>
    <xf numFmtId="165" fontId="5" fillId="7" borderId="45" xfId="2" applyNumberFormat="1" applyFont="1" applyFill="1" applyBorder="1" applyAlignment="1">
      <alignment horizontal="center" vertical="center"/>
    </xf>
    <xf numFmtId="0" fontId="7" fillId="0" borderId="14" xfId="2" applyFont="1" applyBorder="1" applyAlignment="1">
      <alignment horizontal="right" vertical="center"/>
    </xf>
    <xf numFmtId="0" fontId="7" fillId="0" borderId="11" xfId="2" applyFont="1" applyBorder="1" applyAlignment="1">
      <alignment horizontal="right" vertical="center"/>
    </xf>
    <xf numFmtId="0" fontId="7" fillId="0" borderId="15" xfId="2" applyFont="1" applyBorder="1" applyAlignment="1">
      <alignment horizontal="right" vertical="center"/>
    </xf>
    <xf numFmtId="0" fontId="6" fillId="0" borderId="19" xfId="2" applyFont="1" applyBorder="1" applyAlignment="1">
      <alignment horizontal="center" vertical="center"/>
    </xf>
    <xf numFmtId="0" fontId="6" fillId="0" borderId="21" xfId="2" applyFont="1" applyBorder="1" applyAlignment="1">
      <alignment horizontal="center" vertical="center"/>
    </xf>
    <xf numFmtId="0" fontId="6" fillId="0" borderId="20" xfId="2" applyFont="1" applyBorder="1" applyAlignment="1">
      <alignment horizontal="center" vertical="center"/>
    </xf>
    <xf numFmtId="0" fontId="4" fillId="5" borderId="13" xfId="2" applyFont="1" applyFill="1" applyBorder="1" applyAlignment="1">
      <alignment horizontal="center" vertical="center" wrapText="1"/>
    </xf>
    <xf numFmtId="0" fontId="4" fillId="5" borderId="0" xfId="2" applyFont="1" applyFill="1" applyAlignment="1">
      <alignment horizontal="center" vertical="center"/>
    </xf>
    <xf numFmtId="0" fontId="4" fillId="5" borderId="12" xfId="2" applyFont="1" applyFill="1" applyBorder="1" applyAlignment="1">
      <alignment horizontal="center" vertical="center"/>
    </xf>
    <xf numFmtId="0" fontId="5" fillId="7" borderId="29" xfId="2" applyFont="1" applyFill="1" applyBorder="1" applyAlignment="1">
      <alignment horizontal="center" vertical="center"/>
    </xf>
    <xf numFmtId="0" fontId="5" fillId="7" borderId="44" xfId="2" applyFont="1" applyFill="1" applyBorder="1" applyAlignment="1">
      <alignment horizontal="center" vertical="center"/>
    </xf>
    <xf numFmtId="9" fontId="8" fillId="7" borderId="43" xfId="2" applyNumberFormat="1" applyFont="1" applyFill="1" applyBorder="1" applyAlignment="1">
      <alignment horizontal="center" vertical="center"/>
    </xf>
    <xf numFmtId="0" fontId="8" fillId="7" borderId="29" xfId="2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</cellStyles>
  <dxfs count="0"/>
  <tableStyles count="0" defaultTableStyle="TableStyleMedium2" defaultPivotStyle="PivotStyleMedium9"/>
  <colors>
    <mruColors>
      <color rgb="FFC7E1B4"/>
      <color rgb="FFFFF3CC"/>
      <color rgb="FFDDCDC0"/>
      <color rgb="FFECBB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jpeg"/><Relationship Id="rId39" Type="http://schemas.openxmlformats.org/officeDocument/2006/relationships/image" Target="../media/image73.png"/><Relationship Id="rId21" Type="http://schemas.openxmlformats.org/officeDocument/2006/relationships/image" Target="../media/image55.jpeg"/><Relationship Id="rId34" Type="http://schemas.openxmlformats.org/officeDocument/2006/relationships/image" Target="../media/image68.jpeg"/><Relationship Id="rId42" Type="http://schemas.openxmlformats.org/officeDocument/2006/relationships/image" Target="../media/image76.png"/><Relationship Id="rId7" Type="http://schemas.openxmlformats.org/officeDocument/2006/relationships/image" Target="../media/image4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29" Type="http://schemas.openxmlformats.org/officeDocument/2006/relationships/image" Target="../media/image63.png"/><Relationship Id="rId41" Type="http://schemas.openxmlformats.org/officeDocument/2006/relationships/image" Target="../media/image75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58.jpeg"/><Relationship Id="rId32" Type="http://schemas.openxmlformats.org/officeDocument/2006/relationships/image" Target="../media/image66.jpeg"/><Relationship Id="rId37" Type="http://schemas.openxmlformats.org/officeDocument/2006/relationships/image" Target="../media/image71.png"/><Relationship Id="rId40" Type="http://schemas.openxmlformats.org/officeDocument/2006/relationships/image" Target="../media/image74.pn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23" Type="http://schemas.openxmlformats.org/officeDocument/2006/relationships/image" Target="../media/image57.gif"/><Relationship Id="rId28" Type="http://schemas.openxmlformats.org/officeDocument/2006/relationships/image" Target="../media/image62.png"/><Relationship Id="rId36" Type="http://schemas.openxmlformats.org/officeDocument/2006/relationships/image" Target="../media/image70.pn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31" Type="http://schemas.openxmlformats.org/officeDocument/2006/relationships/image" Target="../media/image65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4.jpeg"/><Relationship Id="rId35" Type="http://schemas.openxmlformats.org/officeDocument/2006/relationships/image" Target="../media/image69.jpeg"/><Relationship Id="rId43" Type="http://schemas.openxmlformats.org/officeDocument/2006/relationships/image" Target="../media/image77.png"/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jpeg"/><Relationship Id="rId33" Type="http://schemas.openxmlformats.org/officeDocument/2006/relationships/image" Target="../media/image67.jpeg"/><Relationship Id="rId38" Type="http://schemas.openxmlformats.org/officeDocument/2006/relationships/image" Target="../media/image7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0.jpeg"/><Relationship Id="rId18" Type="http://schemas.openxmlformats.org/officeDocument/2006/relationships/image" Target="../media/image95.png"/><Relationship Id="rId26" Type="http://schemas.openxmlformats.org/officeDocument/2006/relationships/image" Target="../media/image103.jpeg"/><Relationship Id="rId3" Type="http://schemas.openxmlformats.org/officeDocument/2006/relationships/image" Target="../media/image80.jpeg"/><Relationship Id="rId21" Type="http://schemas.openxmlformats.org/officeDocument/2006/relationships/image" Target="../media/image98.jpeg"/><Relationship Id="rId34" Type="http://schemas.openxmlformats.org/officeDocument/2006/relationships/image" Target="../media/image111.png"/><Relationship Id="rId7" Type="http://schemas.openxmlformats.org/officeDocument/2006/relationships/image" Target="../media/image84.png"/><Relationship Id="rId12" Type="http://schemas.openxmlformats.org/officeDocument/2006/relationships/image" Target="../media/image89.jpeg"/><Relationship Id="rId17" Type="http://schemas.openxmlformats.org/officeDocument/2006/relationships/image" Target="../media/image94.jpeg"/><Relationship Id="rId25" Type="http://schemas.openxmlformats.org/officeDocument/2006/relationships/image" Target="../media/image102.jpeg"/><Relationship Id="rId33" Type="http://schemas.openxmlformats.org/officeDocument/2006/relationships/image" Target="../media/image110.jpeg"/><Relationship Id="rId2" Type="http://schemas.openxmlformats.org/officeDocument/2006/relationships/image" Target="../media/image79.png"/><Relationship Id="rId16" Type="http://schemas.openxmlformats.org/officeDocument/2006/relationships/image" Target="../media/image93.jpeg"/><Relationship Id="rId20" Type="http://schemas.openxmlformats.org/officeDocument/2006/relationships/image" Target="../media/image97.jpeg"/><Relationship Id="rId29" Type="http://schemas.openxmlformats.org/officeDocument/2006/relationships/image" Target="../media/image106.jpg"/><Relationship Id="rId1" Type="http://schemas.openxmlformats.org/officeDocument/2006/relationships/image" Target="../media/image78.png"/><Relationship Id="rId6" Type="http://schemas.openxmlformats.org/officeDocument/2006/relationships/image" Target="../media/image83.png"/><Relationship Id="rId11" Type="http://schemas.openxmlformats.org/officeDocument/2006/relationships/image" Target="../media/image88.jpeg"/><Relationship Id="rId24" Type="http://schemas.openxmlformats.org/officeDocument/2006/relationships/image" Target="../media/image101.jpeg"/><Relationship Id="rId32" Type="http://schemas.openxmlformats.org/officeDocument/2006/relationships/image" Target="../media/image109.png"/><Relationship Id="rId5" Type="http://schemas.openxmlformats.org/officeDocument/2006/relationships/image" Target="../media/image82.png"/><Relationship Id="rId15" Type="http://schemas.openxmlformats.org/officeDocument/2006/relationships/image" Target="../media/image92.jpeg"/><Relationship Id="rId23" Type="http://schemas.openxmlformats.org/officeDocument/2006/relationships/image" Target="../media/image100.png"/><Relationship Id="rId28" Type="http://schemas.openxmlformats.org/officeDocument/2006/relationships/image" Target="../media/image105.jpg"/><Relationship Id="rId10" Type="http://schemas.openxmlformats.org/officeDocument/2006/relationships/image" Target="../media/image87.jpeg"/><Relationship Id="rId19" Type="http://schemas.openxmlformats.org/officeDocument/2006/relationships/image" Target="../media/image96.jpg"/><Relationship Id="rId31" Type="http://schemas.openxmlformats.org/officeDocument/2006/relationships/image" Target="../media/image108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91.jpeg"/><Relationship Id="rId22" Type="http://schemas.openxmlformats.org/officeDocument/2006/relationships/image" Target="../media/image99.jpeg"/><Relationship Id="rId27" Type="http://schemas.openxmlformats.org/officeDocument/2006/relationships/image" Target="../media/image104.jpeg"/><Relationship Id="rId30" Type="http://schemas.openxmlformats.org/officeDocument/2006/relationships/image" Target="../media/image107.jpg"/><Relationship Id="rId8" Type="http://schemas.openxmlformats.org/officeDocument/2006/relationships/image" Target="../media/image8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4.jpeg"/><Relationship Id="rId18" Type="http://schemas.openxmlformats.org/officeDocument/2006/relationships/image" Target="../media/image129.jpeg"/><Relationship Id="rId26" Type="http://schemas.openxmlformats.org/officeDocument/2006/relationships/image" Target="../media/image137.jpeg"/><Relationship Id="rId21" Type="http://schemas.openxmlformats.org/officeDocument/2006/relationships/image" Target="../media/image132.jpeg"/><Relationship Id="rId34" Type="http://schemas.openxmlformats.org/officeDocument/2006/relationships/image" Target="../media/image145.jpeg"/><Relationship Id="rId7" Type="http://schemas.openxmlformats.org/officeDocument/2006/relationships/image" Target="../media/image118.jpeg"/><Relationship Id="rId12" Type="http://schemas.openxmlformats.org/officeDocument/2006/relationships/image" Target="../media/image123.jpeg"/><Relationship Id="rId17" Type="http://schemas.openxmlformats.org/officeDocument/2006/relationships/image" Target="../media/image128.jpeg"/><Relationship Id="rId25" Type="http://schemas.openxmlformats.org/officeDocument/2006/relationships/image" Target="../media/image136.jpeg"/><Relationship Id="rId33" Type="http://schemas.openxmlformats.org/officeDocument/2006/relationships/image" Target="../media/image144.jpeg"/><Relationship Id="rId38" Type="http://schemas.openxmlformats.org/officeDocument/2006/relationships/image" Target="../media/image149.png"/><Relationship Id="rId2" Type="http://schemas.openxmlformats.org/officeDocument/2006/relationships/image" Target="../media/image113.png"/><Relationship Id="rId16" Type="http://schemas.openxmlformats.org/officeDocument/2006/relationships/image" Target="../media/image127.jpeg"/><Relationship Id="rId20" Type="http://schemas.openxmlformats.org/officeDocument/2006/relationships/image" Target="../media/image131.jpeg"/><Relationship Id="rId29" Type="http://schemas.openxmlformats.org/officeDocument/2006/relationships/image" Target="../media/image140.jpeg"/><Relationship Id="rId1" Type="http://schemas.openxmlformats.org/officeDocument/2006/relationships/image" Target="../media/image112.png"/><Relationship Id="rId6" Type="http://schemas.openxmlformats.org/officeDocument/2006/relationships/image" Target="../media/image117.jpeg"/><Relationship Id="rId11" Type="http://schemas.openxmlformats.org/officeDocument/2006/relationships/image" Target="../media/image122.jpeg"/><Relationship Id="rId24" Type="http://schemas.openxmlformats.org/officeDocument/2006/relationships/image" Target="../media/image135.jpeg"/><Relationship Id="rId32" Type="http://schemas.openxmlformats.org/officeDocument/2006/relationships/image" Target="../media/image143.jpeg"/><Relationship Id="rId37" Type="http://schemas.openxmlformats.org/officeDocument/2006/relationships/image" Target="../media/image148.jpeg"/><Relationship Id="rId5" Type="http://schemas.openxmlformats.org/officeDocument/2006/relationships/image" Target="../media/image116.jpeg"/><Relationship Id="rId15" Type="http://schemas.openxmlformats.org/officeDocument/2006/relationships/image" Target="../media/image126.jpeg"/><Relationship Id="rId23" Type="http://schemas.openxmlformats.org/officeDocument/2006/relationships/image" Target="../media/image134.jpeg"/><Relationship Id="rId28" Type="http://schemas.openxmlformats.org/officeDocument/2006/relationships/image" Target="../media/image139.jpeg"/><Relationship Id="rId36" Type="http://schemas.openxmlformats.org/officeDocument/2006/relationships/image" Target="../media/image147.jpeg"/><Relationship Id="rId10" Type="http://schemas.openxmlformats.org/officeDocument/2006/relationships/image" Target="../media/image121.jpeg"/><Relationship Id="rId19" Type="http://schemas.openxmlformats.org/officeDocument/2006/relationships/image" Target="../media/image130.jpeg"/><Relationship Id="rId31" Type="http://schemas.openxmlformats.org/officeDocument/2006/relationships/image" Target="../media/image142.jpeg"/><Relationship Id="rId4" Type="http://schemas.openxmlformats.org/officeDocument/2006/relationships/image" Target="../media/image115.jpeg"/><Relationship Id="rId9" Type="http://schemas.openxmlformats.org/officeDocument/2006/relationships/image" Target="../media/image120.jpeg"/><Relationship Id="rId14" Type="http://schemas.openxmlformats.org/officeDocument/2006/relationships/image" Target="../media/image125.jpeg"/><Relationship Id="rId22" Type="http://schemas.openxmlformats.org/officeDocument/2006/relationships/image" Target="../media/image133.jpeg"/><Relationship Id="rId27" Type="http://schemas.openxmlformats.org/officeDocument/2006/relationships/image" Target="../media/image138.jpeg"/><Relationship Id="rId30" Type="http://schemas.openxmlformats.org/officeDocument/2006/relationships/image" Target="../media/image141.jpeg"/><Relationship Id="rId35" Type="http://schemas.openxmlformats.org/officeDocument/2006/relationships/image" Target="../media/image146.jpeg"/><Relationship Id="rId8" Type="http://schemas.openxmlformats.org/officeDocument/2006/relationships/image" Target="../media/image119.jpeg"/><Relationship Id="rId3" Type="http://schemas.openxmlformats.org/officeDocument/2006/relationships/image" Target="../media/image114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2.jpeg"/><Relationship Id="rId18" Type="http://schemas.openxmlformats.org/officeDocument/2006/relationships/image" Target="../media/image167.jpeg"/><Relationship Id="rId26" Type="http://schemas.openxmlformats.org/officeDocument/2006/relationships/image" Target="../media/image175.jpeg"/><Relationship Id="rId39" Type="http://schemas.openxmlformats.org/officeDocument/2006/relationships/image" Target="../media/image188.jpeg"/><Relationship Id="rId21" Type="http://schemas.openxmlformats.org/officeDocument/2006/relationships/image" Target="../media/image170.jpeg"/><Relationship Id="rId34" Type="http://schemas.openxmlformats.org/officeDocument/2006/relationships/image" Target="../media/image183.jpeg"/><Relationship Id="rId42" Type="http://schemas.openxmlformats.org/officeDocument/2006/relationships/image" Target="../media/image191.png"/><Relationship Id="rId7" Type="http://schemas.openxmlformats.org/officeDocument/2006/relationships/image" Target="../media/image156.jpeg"/><Relationship Id="rId2" Type="http://schemas.openxmlformats.org/officeDocument/2006/relationships/image" Target="../media/image151.jpeg"/><Relationship Id="rId16" Type="http://schemas.openxmlformats.org/officeDocument/2006/relationships/image" Target="../media/image165.jpeg"/><Relationship Id="rId29" Type="http://schemas.openxmlformats.org/officeDocument/2006/relationships/image" Target="../media/image178.jpeg"/><Relationship Id="rId1" Type="http://schemas.openxmlformats.org/officeDocument/2006/relationships/image" Target="../media/image150.jpeg"/><Relationship Id="rId6" Type="http://schemas.openxmlformats.org/officeDocument/2006/relationships/image" Target="../media/image155.jpeg"/><Relationship Id="rId11" Type="http://schemas.openxmlformats.org/officeDocument/2006/relationships/image" Target="../media/image160.jpeg"/><Relationship Id="rId24" Type="http://schemas.openxmlformats.org/officeDocument/2006/relationships/image" Target="../media/image173.jpeg"/><Relationship Id="rId32" Type="http://schemas.openxmlformats.org/officeDocument/2006/relationships/image" Target="../media/image181.jpeg"/><Relationship Id="rId37" Type="http://schemas.openxmlformats.org/officeDocument/2006/relationships/image" Target="../media/image186.jpeg"/><Relationship Id="rId40" Type="http://schemas.openxmlformats.org/officeDocument/2006/relationships/image" Target="../media/image189.jpeg"/><Relationship Id="rId45" Type="http://schemas.microsoft.com/office/2007/relationships/hdphoto" Target="../media/hdphoto2.wdp"/><Relationship Id="rId5" Type="http://schemas.openxmlformats.org/officeDocument/2006/relationships/image" Target="../media/image154.jpeg"/><Relationship Id="rId15" Type="http://schemas.openxmlformats.org/officeDocument/2006/relationships/image" Target="../media/image164.jpeg"/><Relationship Id="rId23" Type="http://schemas.openxmlformats.org/officeDocument/2006/relationships/image" Target="../media/image172.jpeg"/><Relationship Id="rId28" Type="http://schemas.openxmlformats.org/officeDocument/2006/relationships/image" Target="../media/image177.jpeg"/><Relationship Id="rId36" Type="http://schemas.openxmlformats.org/officeDocument/2006/relationships/image" Target="../media/image185.jpeg"/><Relationship Id="rId10" Type="http://schemas.openxmlformats.org/officeDocument/2006/relationships/image" Target="../media/image159.jpeg"/><Relationship Id="rId19" Type="http://schemas.openxmlformats.org/officeDocument/2006/relationships/image" Target="../media/image168.jpeg"/><Relationship Id="rId31" Type="http://schemas.openxmlformats.org/officeDocument/2006/relationships/image" Target="../media/image180.jpeg"/><Relationship Id="rId44" Type="http://schemas.openxmlformats.org/officeDocument/2006/relationships/image" Target="../media/image192.png"/><Relationship Id="rId4" Type="http://schemas.openxmlformats.org/officeDocument/2006/relationships/image" Target="../media/image153.jpeg"/><Relationship Id="rId9" Type="http://schemas.openxmlformats.org/officeDocument/2006/relationships/image" Target="../media/image158.jpeg"/><Relationship Id="rId14" Type="http://schemas.openxmlformats.org/officeDocument/2006/relationships/image" Target="../media/image163.jpeg"/><Relationship Id="rId22" Type="http://schemas.openxmlformats.org/officeDocument/2006/relationships/image" Target="../media/image171.jpeg"/><Relationship Id="rId27" Type="http://schemas.openxmlformats.org/officeDocument/2006/relationships/image" Target="../media/image176.jpeg"/><Relationship Id="rId30" Type="http://schemas.openxmlformats.org/officeDocument/2006/relationships/image" Target="../media/image179.jpeg"/><Relationship Id="rId35" Type="http://schemas.openxmlformats.org/officeDocument/2006/relationships/image" Target="../media/image184.jpeg"/><Relationship Id="rId43" Type="http://schemas.microsoft.com/office/2007/relationships/hdphoto" Target="../media/hdphoto1.wdp"/><Relationship Id="rId8" Type="http://schemas.openxmlformats.org/officeDocument/2006/relationships/image" Target="../media/image157.jpeg"/><Relationship Id="rId3" Type="http://schemas.openxmlformats.org/officeDocument/2006/relationships/image" Target="../media/image152.jpeg"/><Relationship Id="rId12" Type="http://schemas.openxmlformats.org/officeDocument/2006/relationships/image" Target="../media/image161.jpeg"/><Relationship Id="rId17" Type="http://schemas.openxmlformats.org/officeDocument/2006/relationships/image" Target="../media/image166.jpeg"/><Relationship Id="rId25" Type="http://schemas.openxmlformats.org/officeDocument/2006/relationships/image" Target="../media/image174.jpeg"/><Relationship Id="rId33" Type="http://schemas.openxmlformats.org/officeDocument/2006/relationships/image" Target="../media/image182.jpeg"/><Relationship Id="rId38" Type="http://schemas.openxmlformats.org/officeDocument/2006/relationships/image" Target="../media/image187.jpeg"/><Relationship Id="rId46" Type="http://schemas.openxmlformats.org/officeDocument/2006/relationships/image" Target="../media/image193.png"/><Relationship Id="rId20" Type="http://schemas.openxmlformats.org/officeDocument/2006/relationships/image" Target="../media/image169.jpeg"/><Relationship Id="rId41" Type="http://schemas.openxmlformats.org/officeDocument/2006/relationships/image" Target="../media/image19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6.jpeg"/><Relationship Id="rId18" Type="http://schemas.openxmlformats.org/officeDocument/2006/relationships/image" Target="../media/image211.jpeg"/><Relationship Id="rId26" Type="http://schemas.openxmlformats.org/officeDocument/2006/relationships/image" Target="../media/image219.jpeg"/><Relationship Id="rId39" Type="http://schemas.openxmlformats.org/officeDocument/2006/relationships/image" Target="../media/image232.jpeg"/><Relationship Id="rId21" Type="http://schemas.openxmlformats.org/officeDocument/2006/relationships/image" Target="../media/image214.jpeg"/><Relationship Id="rId34" Type="http://schemas.openxmlformats.org/officeDocument/2006/relationships/image" Target="../media/image227.jpeg"/><Relationship Id="rId42" Type="http://schemas.openxmlformats.org/officeDocument/2006/relationships/image" Target="../media/image235.jpeg"/><Relationship Id="rId47" Type="http://schemas.openxmlformats.org/officeDocument/2006/relationships/image" Target="../media/image240.png"/><Relationship Id="rId7" Type="http://schemas.openxmlformats.org/officeDocument/2006/relationships/image" Target="../media/image200.jpeg"/><Relationship Id="rId2" Type="http://schemas.openxmlformats.org/officeDocument/2006/relationships/image" Target="../media/image195.jpeg"/><Relationship Id="rId16" Type="http://schemas.openxmlformats.org/officeDocument/2006/relationships/image" Target="../media/image209.jpeg"/><Relationship Id="rId29" Type="http://schemas.openxmlformats.org/officeDocument/2006/relationships/image" Target="../media/image222.jpeg"/><Relationship Id="rId1" Type="http://schemas.openxmlformats.org/officeDocument/2006/relationships/image" Target="../media/image194.jpeg"/><Relationship Id="rId6" Type="http://schemas.openxmlformats.org/officeDocument/2006/relationships/image" Target="../media/image199.jpeg"/><Relationship Id="rId11" Type="http://schemas.openxmlformats.org/officeDocument/2006/relationships/image" Target="../media/image204.jpeg"/><Relationship Id="rId24" Type="http://schemas.openxmlformats.org/officeDocument/2006/relationships/image" Target="../media/image217.jpeg"/><Relationship Id="rId32" Type="http://schemas.openxmlformats.org/officeDocument/2006/relationships/image" Target="../media/image225.jpeg"/><Relationship Id="rId37" Type="http://schemas.openxmlformats.org/officeDocument/2006/relationships/image" Target="../media/image230.jpeg"/><Relationship Id="rId40" Type="http://schemas.openxmlformats.org/officeDocument/2006/relationships/image" Target="../media/image233.jpeg"/><Relationship Id="rId45" Type="http://schemas.openxmlformats.org/officeDocument/2006/relationships/image" Target="../media/image238.jpeg"/><Relationship Id="rId5" Type="http://schemas.openxmlformats.org/officeDocument/2006/relationships/image" Target="../media/image198.jpeg"/><Relationship Id="rId15" Type="http://schemas.openxmlformats.org/officeDocument/2006/relationships/image" Target="../media/image208.jpeg"/><Relationship Id="rId23" Type="http://schemas.openxmlformats.org/officeDocument/2006/relationships/image" Target="../media/image216.jpeg"/><Relationship Id="rId28" Type="http://schemas.openxmlformats.org/officeDocument/2006/relationships/image" Target="../media/image221.jpeg"/><Relationship Id="rId36" Type="http://schemas.openxmlformats.org/officeDocument/2006/relationships/image" Target="../media/image229.jpeg"/><Relationship Id="rId10" Type="http://schemas.openxmlformats.org/officeDocument/2006/relationships/image" Target="../media/image203.jpeg"/><Relationship Id="rId19" Type="http://schemas.openxmlformats.org/officeDocument/2006/relationships/image" Target="../media/image212.jpeg"/><Relationship Id="rId31" Type="http://schemas.openxmlformats.org/officeDocument/2006/relationships/image" Target="../media/image224.jpeg"/><Relationship Id="rId44" Type="http://schemas.openxmlformats.org/officeDocument/2006/relationships/image" Target="../media/image237.jpeg"/><Relationship Id="rId4" Type="http://schemas.openxmlformats.org/officeDocument/2006/relationships/image" Target="../media/image197.jpeg"/><Relationship Id="rId9" Type="http://schemas.openxmlformats.org/officeDocument/2006/relationships/image" Target="../media/image202.jpeg"/><Relationship Id="rId14" Type="http://schemas.openxmlformats.org/officeDocument/2006/relationships/image" Target="../media/image207.jpeg"/><Relationship Id="rId22" Type="http://schemas.openxmlformats.org/officeDocument/2006/relationships/image" Target="../media/image215.jpeg"/><Relationship Id="rId27" Type="http://schemas.openxmlformats.org/officeDocument/2006/relationships/image" Target="../media/image220.jpeg"/><Relationship Id="rId30" Type="http://schemas.openxmlformats.org/officeDocument/2006/relationships/image" Target="../media/image223.jpeg"/><Relationship Id="rId35" Type="http://schemas.openxmlformats.org/officeDocument/2006/relationships/image" Target="../media/image228.jpeg"/><Relationship Id="rId43" Type="http://schemas.openxmlformats.org/officeDocument/2006/relationships/image" Target="../media/image236.jpeg"/><Relationship Id="rId8" Type="http://schemas.openxmlformats.org/officeDocument/2006/relationships/image" Target="../media/image201.jpeg"/><Relationship Id="rId3" Type="http://schemas.openxmlformats.org/officeDocument/2006/relationships/image" Target="../media/image196.jpeg"/><Relationship Id="rId12" Type="http://schemas.openxmlformats.org/officeDocument/2006/relationships/image" Target="../media/image205.jpeg"/><Relationship Id="rId17" Type="http://schemas.openxmlformats.org/officeDocument/2006/relationships/image" Target="../media/image210.jpeg"/><Relationship Id="rId25" Type="http://schemas.openxmlformats.org/officeDocument/2006/relationships/image" Target="../media/image218.jpeg"/><Relationship Id="rId33" Type="http://schemas.openxmlformats.org/officeDocument/2006/relationships/image" Target="../media/image226.jpeg"/><Relationship Id="rId38" Type="http://schemas.openxmlformats.org/officeDocument/2006/relationships/image" Target="../media/image231.jpeg"/><Relationship Id="rId46" Type="http://schemas.openxmlformats.org/officeDocument/2006/relationships/image" Target="../media/image239.jpeg"/><Relationship Id="rId20" Type="http://schemas.openxmlformats.org/officeDocument/2006/relationships/image" Target="../media/image213.jpeg"/><Relationship Id="rId41" Type="http://schemas.openxmlformats.org/officeDocument/2006/relationships/image" Target="../media/image234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3.jpeg"/><Relationship Id="rId18" Type="http://schemas.openxmlformats.org/officeDocument/2006/relationships/image" Target="../media/image258.jpeg"/><Relationship Id="rId26" Type="http://schemas.openxmlformats.org/officeDocument/2006/relationships/image" Target="../media/image266.jpeg"/><Relationship Id="rId39" Type="http://schemas.openxmlformats.org/officeDocument/2006/relationships/image" Target="../media/image279.jpeg"/><Relationship Id="rId21" Type="http://schemas.openxmlformats.org/officeDocument/2006/relationships/image" Target="../media/image261.jpeg"/><Relationship Id="rId34" Type="http://schemas.openxmlformats.org/officeDocument/2006/relationships/image" Target="../media/image274.jpeg"/><Relationship Id="rId42" Type="http://schemas.openxmlformats.org/officeDocument/2006/relationships/image" Target="../media/image282.jpeg"/><Relationship Id="rId7" Type="http://schemas.openxmlformats.org/officeDocument/2006/relationships/image" Target="../media/image247.jpeg"/><Relationship Id="rId2" Type="http://schemas.openxmlformats.org/officeDocument/2006/relationships/image" Target="../media/image242.jpeg"/><Relationship Id="rId16" Type="http://schemas.openxmlformats.org/officeDocument/2006/relationships/image" Target="../media/image256.jpeg"/><Relationship Id="rId20" Type="http://schemas.openxmlformats.org/officeDocument/2006/relationships/image" Target="../media/image260.jpeg"/><Relationship Id="rId29" Type="http://schemas.openxmlformats.org/officeDocument/2006/relationships/image" Target="../media/image269.jpeg"/><Relationship Id="rId41" Type="http://schemas.openxmlformats.org/officeDocument/2006/relationships/image" Target="../media/image281.jpeg"/><Relationship Id="rId1" Type="http://schemas.openxmlformats.org/officeDocument/2006/relationships/image" Target="../media/image241.jpeg"/><Relationship Id="rId6" Type="http://schemas.openxmlformats.org/officeDocument/2006/relationships/image" Target="../media/image246.jpeg"/><Relationship Id="rId11" Type="http://schemas.openxmlformats.org/officeDocument/2006/relationships/image" Target="../media/image251.jpeg"/><Relationship Id="rId24" Type="http://schemas.openxmlformats.org/officeDocument/2006/relationships/image" Target="../media/image264.jpeg"/><Relationship Id="rId32" Type="http://schemas.openxmlformats.org/officeDocument/2006/relationships/image" Target="../media/image272.jpeg"/><Relationship Id="rId37" Type="http://schemas.openxmlformats.org/officeDocument/2006/relationships/image" Target="../media/image277.jpeg"/><Relationship Id="rId40" Type="http://schemas.openxmlformats.org/officeDocument/2006/relationships/image" Target="../media/image280.jpeg"/><Relationship Id="rId5" Type="http://schemas.openxmlformats.org/officeDocument/2006/relationships/image" Target="../media/image245.jpeg"/><Relationship Id="rId15" Type="http://schemas.openxmlformats.org/officeDocument/2006/relationships/image" Target="../media/image255.jpeg"/><Relationship Id="rId23" Type="http://schemas.openxmlformats.org/officeDocument/2006/relationships/image" Target="../media/image263.jpeg"/><Relationship Id="rId28" Type="http://schemas.openxmlformats.org/officeDocument/2006/relationships/image" Target="../media/image268.jpeg"/><Relationship Id="rId36" Type="http://schemas.openxmlformats.org/officeDocument/2006/relationships/image" Target="../media/image276.jpeg"/><Relationship Id="rId10" Type="http://schemas.openxmlformats.org/officeDocument/2006/relationships/image" Target="../media/image250.jpeg"/><Relationship Id="rId19" Type="http://schemas.openxmlformats.org/officeDocument/2006/relationships/image" Target="../media/image259.jpeg"/><Relationship Id="rId31" Type="http://schemas.openxmlformats.org/officeDocument/2006/relationships/image" Target="../media/image271.jpeg"/><Relationship Id="rId4" Type="http://schemas.openxmlformats.org/officeDocument/2006/relationships/image" Target="../media/image244.jpeg"/><Relationship Id="rId9" Type="http://schemas.openxmlformats.org/officeDocument/2006/relationships/image" Target="../media/image249.jpeg"/><Relationship Id="rId14" Type="http://schemas.openxmlformats.org/officeDocument/2006/relationships/image" Target="../media/image254.jpeg"/><Relationship Id="rId22" Type="http://schemas.openxmlformats.org/officeDocument/2006/relationships/image" Target="../media/image262.jpeg"/><Relationship Id="rId27" Type="http://schemas.openxmlformats.org/officeDocument/2006/relationships/image" Target="../media/image267.jpeg"/><Relationship Id="rId30" Type="http://schemas.openxmlformats.org/officeDocument/2006/relationships/image" Target="../media/image270.jpeg"/><Relationship Id="rId35" Type="http://schemas.openxmlformats.org/officeDocument/2006/relationships/image" Target="../media/image275.jpeg"/><Relationship Id="rId43" Type="http://schemas.openxmlformats.org/officeDocument/2006/relationships/image" Target="../media/image283.png"/><Relationship Id="rId8" Type="http://schemas.openxmlformats.org/officeDocument/2006/relationships/image" Target="../media/image248.jpeg"/><Relationship Id="rId3" Type="http://schemas.openxmlformats.org/officeDocument/2006/relationships/image" Target="../media/image243.jpeg"/><Relationship Id="rId12" Type="http://schemas.openxmlformats.org/officeDocument/2006/relationships/image" Target="../media/image252.jpeg"/><Relationship Id="rId17" Type="http://schemas.openxmlformats.org/officeDocument/2006/relationships/image" Target="../media/image257.jpeg"/><Relationship Id="rId25" Type="http://schemas.openxmlformats.org/officeDocument/2006/relationships/image" Target="../media/image265.jpeg"/><Relationship Id="rId33" Type="http://schemas.openxmlformats.org/officeDocument/2006/relationships/image" Target="../media/image273.jpeg"/><Relationship Id="rId38" Type="http://schemas.openxmlformats.org/officeDocument/2006/relationships/image" Target="../media/image278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6.jpeg"/><Relationship Id="rId18" Type="http://schemas.openxmlformats.org/officeDocument/2006/relationships/image" Target="../media/image301.jpeg"/><Relationship Id="rId26" Type="http://schemas.openxmlformats.org/officeDocument/2006/relationships/image" Target="../media/image309.jpeg"/><Relationship Id="rId39" Type="http://schemas.openxmlformats.org/officeDocument/2006/relationships/image" Target="../media/image322.jpeg"/><Relationship Id="rId21" Type="http://schemas.openxmlformats.org/officeDocument/2006/relationships/image" Target="../media/image304.jpeg"/><Relationship Id="rId34" Type="http://schemas.openxmlformats.org/officeDocument/2006/relationships/image" Target="../media/image317.jpeg"/><Relationship Id="rId42" Type="http://schemas.openxmlformats.org/officeDocument/2006/relationships/image" Target="../media/image325.jpeg"/><Relationship Id="rId47" Type="http://schemas.openxmlformats.org/officeDocument/2006/relationships/image" Target="../media/image330.jpeg"/><Relationship Id="rId50" Type="http://schemas.openxmlformats.org/officeDocument/2006/relationships/image" Target="../media/image283.png"/><Relationship Id="rId7" Type="http://schemas.openxmlformats.org/officeDocument/2006/relationships/image" Target="../media/image290.jpeg"/><Relationship Id="rId2" Type="http://schemas.openxmlformats.org/officeDocument/2006/relationships/image" Target="../media/image285.jpeg"/><Relationship Id="rId16" Type="http://schemas.openxmlformats.org/officeDocument/2006/relationships/image" Target="../media/image299.jpeg"/><Relationship Id="rId29" Type="http://schemas.openxmlformats.org/officeDocument/2006/relationships/image" Target="../media/image312.jpeg"/><Relationship Id="rId11" Type="http://schemas.openxmlformats.org/officeDocument/2006/relationships/image" Target="../media/image294.jpeg"/><Relationship Id="rId24" Type="http://schemas.openxmlformats.org/officeDocument/2006/relationships/image" Target="../media/image307.jpeg"/><Relationship Id="rId32" Type="http://schemas.openxmlformats.org/officeDocument/2006/relationships/image" Target="../media/image315.jpeg"/><Relationship Id="rId37" Type="http://schemas.openxmlformats.org/officeDocument/2006/relationships/image" Target="../media/image320.jpeg"/><Relationship Id="rId40" Type="http://schemas.openxmlformats.org/officeDocument/2006/relationships/image" Target="../media/image323.jpeg"/><Relationship Id="rId45" Type="http://schemas.openxmlformats.org/officeDocument/2006/relationships/image" Target="../media/image328.jpeg"/><Relationship Id="rId5" Type="http://schemas.openxmlformats.org/officeDocument/2006/relationships/image" Target="../media/image288.jpeg"/><Relationship Id="rId15" Type="http://schemas.openxmlformats.org/officeDocument/2006/relationships/image" Target="../media/image298.jpeg"/><Relationship Id="rId23" Type="http://schemas.openxmlformats.org/officeDocument/2006/relationships/image" Target="../media/image306.jpeg"/><Relationship Id="rId28" Type="http://schemas.openxmlformats.org/officeDocument/2006/relationships/image" Target="../media/image311.jpeg"/><Relationship Id="rId36" Type="http://schemas.openxmlformats.org/officeDocument/2006/relationships/image" Target="../media/image319.jpeg"/><Relationship Id="rId49" Type="http://schemas.openxmlformats.org/officeDocument/2006/relationships/image" Target="../media/image332.png"/><Relationship Id="rId10" Type="http://schemas.openxmlformats.org/officeDocument/2006/relationships/image" Target="../media/image293.jpeg"/><Relationship Id="rId19" Type="http://schemas.openxmlformats.org/officeDocument/2006/relationships/image" Target="../media/image302.jpeg"/><Relationship Id="rId31" Type="http://schemas.openxmlformats.org/officeDocument/2006/relationships/image" Target="../media/image314.jpeg"/><Relationship Id="rId44" Type="http://schemas.openxmlformats.org/officeDocument/2006/relationships/image" Target="../media/image327.jpeg"/><Relationship Id="rId4" Type="http://schemas.openxmlformats.org/officeDocument/2006/relationships/image" Target="../media/image287.jpeg"/><Relationship Id="rId9" Type="http://schemas.openxmlformats.org/officeDocument/2006/relationships/image" Target="../media/image292.jpeg"/><Relationship Id="rId14" Type="http://schemas.openxmlformats.org/officeDocument/2006/relationships/image" Target="../media/image297.jpeg"/><Relationship Id="rId22" Type="http://schemas.openxmlformats.org/officeDocument/2006/relationships/image" Target="../media/image305.jpeg"/><Relationship Id="rId27" Type="http://schemas.openxmlformats.org/officeDocument/2006/relationships/image" Target="../media/image310.jpeg"/><Relationship Id="rId30" Type="http://schemas.openxmlformats.org/officeDocument/2006/relationships/image" Target="../media/image313.jpeg"/><Relationship Id="rId35" Type="http://schemas.openxmlformats.org/officeDocument/2006/relationships/image" Target="../media/image318.jpeg"/><Relationship Id="rId43" Type="http://schemas.openxmlformats.org/officeDocument/2006/relationships/image" Target="../media/image326.jpeg"/><Relationship Id="rId48" Type="http://schemas.openxmlformats.org/officeDocument/2006/relationships/image" Target="../media/image331.png"/><Relationship Id="rId8" Type="http://schemas.openxmlformats.org/officeDocument/2006/relationships/image" Target="../media/image291.jpeg"/><Relationship Id="rId3" Type="http://schemas.openxmlformats.org/officeDocument/2006/relationships/image" Target="../media/image286.jpeg"/><Relationship Id="rId12" Type="http://schemas.openxmlformats.org/officeDocument/2006/relationships/image" Target="../media/image295.jpeg"/><Relationship Id="rId17" Type="http://schemas.openxmlformats.org/officeDocument/2006/relationships/image" Target="../media/image300.jpeg"/><Relationship Id="rId25" Type="http://schemas.openxmlformats.org/officeDocument/2006/relationships/image" Target="../media/image308.jpeg"/><Relationship Id="rId33" Type="http://schemas.openxmlformats.org/officeDocument/2006/relationships/image" Target="../media/image316.jpeg"/><Relationship Id="rId38" Type="http://schemas.openxmlformats.org/officeDocument/2006/relationships/image" Target="../media/image321.jpeg"/><Relationship Id="rId46" Type="http://schemas.openxmlformats.org/officeDocument/2006/relationships/image" Target="../media/image329.jpeg"/><Relationship Id="rId20" Type="http://schemas.openxmlformats.org/officeDocument/2006/relationships/image" Target="../media/image303.jpeg"/><Relationship Id="rId41" Type="http://schemas.openxmlformats.org/officeDocument/2006/relationships/image" Target="../media/image324.jpeg"/><Relationship Id="rId1" Type="http://schemas.openxmlformats.org/officeDocument/2006/relationships/image" Target="../media/image284.jpeg"/><Relationship Id="rId6" Type="http://schemas.openxmlformats.org/officeDocument/2006/relationships/image" Target="../media/image2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24846</xdr:colOff>
      <xdr:row>21</xdr:row>
      <xdr:rowOff>16566</xdr:rowOff>
    </xdr:from>
    <xdr:to>
      <xdr:col>18</xdr:col>
      <xdr:colOff>2761</xdr:colOff>
      <xdr:row>29</xdr:row>
      <xdr:rowOff>16567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7542" y="2940327"/>
          <a:ext cx="1135575" cy="927652"/>
        </a:xfrm>
        <a:prstGeom prst="rect">
          <a:avLst/>
        </a:prstGeom>
      </xdr:spPr>
    </xdr:pic>
    <xdr:clientData/>
  </xdr:twoCellAnchor>
  <xdr:twoCellAnchor editAs="oneCell">
    <xdr:from>
      <xdr:col>23</xdr:col>
      <xdr:colOff>24850</xdr:colOff>
      <xdr:row>21</xdr:row>
      <xdr:rowOff>33131</xdr:rowOff>
    </xdr:from>
    <xdr:to>
      <xdr:col>29</xdr:col>
      <xdr:colOff>3315</xdr:colOff>
      <xdr:row>28</xdr:row>
      <xdr:rowOff>24848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6" y="2956892"/>
          <a:ext cx="1116054" cy="803413"/>
        </a:xfrm>
        <a:prstGeom prst="rect">
          <a:avLst/>
        </a:prstGeom>
      </xdr:spPr>
    </xdr:pic>
    <xdr:clientData/>
  </xdr:twoCellAnchor>
  <xdr:twoCellAnchor editAs="oneCell">
    <xdr:from>
      <xdr:col>34</xdr:col>
      <xdr:colOff>41414</xdr:colOff>
      <xdr:row>21</xdr:row>
      <xdr:rowOff>33130</xdr:rowOff>
    </xdr:from>
    <xdr:to>
      <xdr:col>40</xdr:col>
      <xdr:colOff>43882</xdr:colOff>
      <xdr:row>28</xdr:row>
      <xdr:rowOff>66261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6371" y="2956891"/>
          <a:ext cx="1088408" cy="844827"/>
        </a:xfrm>
        <a:prstGeom prst="rect">
          <a:avLst/>
        </a:prstGeom>
      </xdr:spPr>
    </xdr:pic>
    <xdr:clientData/>
  </xdr:twoCellAnchor>
  <xdr:twoCellAnchor editAs="oneCell">
    <xdr:from>
      <xdr:col>45</xdr:col>
      <xdr:colOff>99391</xdr:colOff>
      <xdr:row>20</xdr:row>
      <xdr:rowOff>74543</xdr:rowOff>
    </xdr:from>
    <xdr:to>
      <xdr:col>51</xdr:col>
      <xdr:colOff>171059</xdr:colOff>
      <xdr:row>29</xdr:row>
      <xdr:rowOff>74543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0478" y="2882347"/>
          <a:ext cx="1035326" cy="1043609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35</xdr:row>
      <xdr:rowOff>99391</xdr:rowOff>
    </xdr:from>
    <xdr:to>
      <xdr:col>17</xdr:col>
      <xdr:colOff>569657</xdr:colOff>
      <xdr:row>41</xdr:row>
      <xdr:rowOff>82826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4547152"/>
          <a:ext cx="1079092" cy="679174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41415</xdr:colOff>
      <xdr:row>34</xdr:row>
      <xdr:rowOff>49697</xdr:rowOff>
    </xdr:from>
    <xdr:to>
      <xdr:col>51</xdr:col>
      <xdr:colOff>6176</xdr:colOff>
      <xdr:row>42</xdr:row>
      <xdr:rowOff>99392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8" y="4381501"/>
          <a:ext cx="823507" cy="977348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34</xdr:row>
      <xdr:rowOff>0</xdr:rowOff>
    </xdr:from>
    <xdr:to>
      <xdr:col>61</xdr:col>
      <xdr:colOff>419371</xdr:colOff>
      <xdr:row>43</xdr:row>
      <xdr:rowOff>8283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3979" y="4331804"/>
          <a:ext cx="695916" cy="1051892"/>
        </a:xfrm>
        <a:prstGeom prst="rect">
          <a:avLst/>
        </a:prstGeom>
      </xdr:spPr>
    </xdr:pic>
    <xdr:clientData/>
  </xdr:twoCellAnchor>
  <xdr:twoCellAnchor editAs="oneCell">
    <xdr:from>
      <xdr:col>13</xdr:col>
      <xdr:colOff>72129</xdr:colOff>
      <xdr:row>48</xdr:row>
      <xdr:rowOff>10007</xdr:rowOff>
    </xdr:from>
    <xdr:to>
      <xdr:col>17</xdr:col>
      <xdr:colOff>508000</xdr:colOff>
      <xdr:row>56</xdr:row>
      <xdr:rowOff>94515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0879" y="5661507"/>
          <a:ext cx="816871" cy="973507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57977</xdr:colOff>
      <xdr:row>48</xdr:row>
      <xdr:rowOff>41414</xdr:rowOff>
    </xdr:from>
    <xdr:to>
      <xdr:col>40</xdr:col>
      <xdr:colOff>51317</xdr:colOff>
      <xdr:row>56</xdr:row>
      <xdr:rowOff>91110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99890" y="5897218"/>
          <a:ext cx="1228368" cy="977348"/>
        </a:xfrm>
        <a:prstGeom prst="rect">
          <a:avLst/>
        </a:prstGeom>
      </xdr:spPr>
    </xdr:pic>
    <xdr:clientData/>
  </xdr:twoCellAnchor>
  <xdr:twoCellAnchor editAs="oneCell">
    <xdr:from>
      <xdr:col>45</xdr:col>
      <xdr:colOff>33129</xdr:colOff>
      <xdr:row>50</xdr:row>
      <xdr:rowOff>16567</xdr:rowOff>
    </xdr:from>
    <xdr:to>
      <xdr:col>51</xdr:col>
      <xdr:colOff>183294</xdr:colOff>
      <xdr:row>53</xdr:row>
      <xdr:rowOff>107674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54216" y="6104284"/>
          <a:ext cx="1113823" cy="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91112</xdr:colOff>
      <xdr:row>62</xdr:row>
      <xdr:rowOff>99395</xdr:rowOff>
    </xdr:from>
    <xdr:to>
      <xdr:col>7</xdr:col>
      <xdr:colOff>8973</xdr:colOff>
      <xdr:row>70</xdr:row>
      <xdr:rowOff>41347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77" y="7479199"/>
          <a:ext cx="977345" cy="869606"/>
        </a:xfrm>
        <a:prstGeom prst="rect">
          <a:avLst/>
        </a:prstGeom>
      </xdr:spPr>
    </xdr:pic>
    <xdr:clientData/>
  </xdr:twoCellAnchor>
  <xdr:twoCellAnchor editAs="oneCell">
    <xdr:from>
      <xdr:col>45</xdr:col>
      <xdr:colOff>41414</xdr:colOff>
      <xdr:row>63</xdr:row>
      <xdr:rowOff>91108</xdr:rowOff>
    </xdr:from>
    <xdr:to>
      <xdr:col>51</xdr:col>
      <xdr:colOff>137929</xdr:colOff>
      <xdr:row>68</xdr:row>
      <xdr:rowOff>1824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01" y="7586869"/>
          <a:ext cx="1060173" cy="485666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49695</xdr:colOff>
      <xdr:row>63</xdr:row>
      <xdr:rowOff>107675</xdr:rowOff>
    </xdr:from>
    <xdr:to>
      <xdr:col>62</xdr:col>
      <xdr:colOff>114356</xdr:colOff>
      <xdr:row>68</xdr:row>
      <xdr:rowOff>8285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6912" y="7603436"/>
          <a:ext cx="1083881" cy="480391"/>
        </a:xfrm>
        <a:prstGeom prst="rect">
          <a:avLst/>
        </a:prstGeom>
      </xdr:spPr>
    </xdr:pic>
    <xdr:clientData/>
  </xdr:twoCellAnchor>
  <xdr:twoCellAnchor editAs="oneCell">
    <xdr:from>
      <xdr:col>24</xdr:col>
      <xdr:colOff>75909</xdr:colOff>
      <xdr:row>48</xdr:row>
      <xdr:rowOff>17520</xdr:rowOff>
    </xdr:from>
    <xdr:to>
      <xdr:col>28</xdr:col>
      <xdr:colOff>397566</xdr:colOff>
      <xdr:row>57</xdr:row>
      <xdr:rowOff>102704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692" y="5873324"/>
          <a:ext cx="752352" cy="1128793"/>
        </a:xfrm>
        <a:prstGeom prst="rect">
          <a:avLst/>
        </a:prstGeom>
      </xdr:spPr>
    </xdr:pic>
    <xdr:clientData/>
  </xdr:twoCellAnchor>
  <xdr:twoCellAnchor editAs="oneCell">
    <xdr:from>
      <xdr:col>35</xdr:col>
      <xdr:colOff>27667</xdr:colOff>
      <xdr:row>63</xdr:row>
      <xdr:rowOff>16563</xdr:rowOff>
    </xdr:from>
    <xdr:to>
      <xdr:col>40</xdr:col>
      <xdr:colOff>7364</xdr:colOff>
      <xdr:row>71</xdr:row>
      <xdr:rowOff>19291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580" y="7512324"/>
          <a:ext cx="949681" cy="930379"/>
        </a:xfrm>
        <a:prstGeom prst="rect">
          <a:avLst/>
        </a:prstGeom>
      </xdr:spPr>
    </xdr:pic>
    <xdr:clientData/>
  </xdr:twoCellAnchor>
  <xdr:twoCellAnchor editAs="oneCell">
    <xdr:from>
      <xdr:col>13</xdr:col>
      <xdr:colOff>33130</xdr:colOff>
      <xdr:row>61</xdr:row>
      <xdr:rowOff>111669</xdr:rowOff>
    </xdr:from>
    <xdr:to>
      <xdr:col>17</xdr:col>
      <xdr:colOff>550301</xdr:colOff>
      <xdr:row>71</xdr:row>
      <xdr:rowOff>99392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782" y="7375517"/>
          <a:ext cx="936823" cy="1147287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66261</xdr:colOff>
      <xdr:row>62</xdr:row>
      <xdr:rowOff>0</xdr:rowOff>
    </xdr:from>
    <xdr:to>
      <xdr:col>28</xdr:col>
      <xdr:colOff>362266</xdr:colOff>
      <xdr:row>71</xdr:row>
      <xdr:rowOff>103993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7379804"/>
          <a:ext cx="737744" cy="1147602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107675</xdr:colOff>
      <xdr:row>19</xdr:row>
      <xdr:rowOff>99390</xdr:rowOff>
    </xdr:from>
    <xdr:to>
      <xdr:col>62</xdr:col>
      <xdr:colOff>1860</xdr:colOff>
      <xdr:row>29</xdr:row>
      <xdr:rowOff>100025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849" y="2791238"/>
          <a:ext cx="803412" cy="1160199"/>
        </a:xfrm>
        <a:prstGeom prst="rect">
          <a:avLst/>
        </a:prstGeom>
      </xdr:spPr>
    </xdr:pic>
    <xdr:clientData/>
  </xdr:twoCellAnchor>
  <xdr:twoCellAnchor editAs="oneCell">
    <xdr:from>
      <xdr:col>23</xdr:col>
      <xdr:colOff>41413</xdr:colOff>
      <xdr:row>7</xdr:row>
      <xdr:rowOff>41411</xdr:rowOff>
    </xdr:from>
    <xdr:to>
      <xdr:col>29</xdr:col>
      <xdr:colOff>739</xdr:colOff>
      <xdr:row>12</xdr:row>
      <xdr:rowOff>24848</xdr:rowOff>
    </xdr:to>
    <xdr:pic>
      <xdr:nvPicPr>
        <xdr:cNvPr id="37" name="Picture 5" descr="8981f385243bd7059a574efc58dd75fc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10239" y="1441172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33130</xdr:colOff>
      <xdr:row>7</xdr:row>
      <xdr:rowOff>74542</xdr:rowOff>
    </xdr:from>
    <xdr:to>
      <xdr:col>40</xdr:col>
      <xdr:colOff>51725</xdr:colOff>
      <xdr:row>12</xdr:row>
      <xdr:rowOff>57979</xdr:rowOff>
    </xdr:to>
    <xdr:pic>
      <xdr:nvPicPr>
        <xdr:cNvPr id="38" name="Picture 5" descr="8981f385243bd7059a574efc58dd75fc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78087" y="1474303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49696</xdr:colOff>
      <xdr:row>6</xdr:row>
      <xdr:rowOff>8285</xdr:rowOff>
    </xdr:from>
    <xdr:to>
      <xdr:col>51</xdr:col>
      <xdr:colOff>1894</xdr:colOff>
      <xdr:row>13</xdr:row>
      <xdr:rowOff>99393</xdr:rowOff>
    </xdr:to>
    <xdr:pic>
      <xdr:nvPicPr>
        <xdr:cNvPr id="60" name="Picture 9" descr="e5b552f229e549cc8afd090b91b9947f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02696" y="1292089"/>
          <a:ext cx="690155" cy="902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41412</xdr:colOff>
      <xdr:row>5</xdr:row>
      <xdr:rowOff>24848</xdr:rowOff>
    </xdr:from>
    <xdr:to>
      <xdr:col>17</xdr:col>
      <xdr:colOff>569291</xdr:colOff>
      <xdr:row>11</xdr:row>
      <xdr:rowOff>93698</xdr:rowOff>
    </xdr:to>
    <xdr:pic>
      <xdr:nvPicPr>
        <xdr:cNvPr id="61" name="Picture 8" descr="582dcc1c6c51a274da004078ac47ba5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4108" y="1192696"/>
          <a:ext cx="1101587" cy="76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91110</xdr:colOff>
      <xdr:row>33</xdr:row>
      <xdr:rowOff>67090</xdr:rowOff>
    </xdr:from>
    <xdr:to>
      <xdr:col>39</xdr:col>
      <xdr:colOff>218109</xdr:colOff>
      <xdr:row>43</xdr:row>
      <xdr:rowOff>9272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023" y="4282938"/>
          <a:ext cx="579782" cy="1101747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24849</xdr:colOff>
      <xdr:row>33</xdr:row>
      <xdr:rowOff>98970</xdr:rowOff>
    </xdr:from>
    <xdr:to>
      <xdr:col>28</xdr:col>
      <xdr:colOff>209827</xdr:colOff>
      <xdr:row>43</xdr:row>
      <xdr:rowOff>1124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588" y="4314818"/>
          <a:ext cx="521804" cy="10568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36</xdr:row>
      <xdr:rowOff>8282</xdr:rowOff>
    </xdr:from>
    <xdr:to>
      <xdr:col>7</xdr:col>
      <xdr:colOff>105664</xdr:colOff>
      <xdr:row>41</xdr:row>
      <xdr:rowOff>24849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7" y="4571999"/>
          <a:ext cx="1265228" cy="596349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</xdr:colOff>
      <xdr:row>48</xdr:row>
      <xdr:rowOff>6510</xdr:rowOff>
    </xdr:from>
    <xdr:to>
      <xdr:col>7</xdr:col>
      <xdr:colOff>211</xdr:colOff>
      <xdr:row>56</xdr:row>
      <xdr:rowOff>98229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74" y="5658010"/>
          <a:ext cx="844825" cy="98071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107676</xdr:colOff>
      <xdr:row>6</xdr:row>
      <xdr:rowOff>82827</xdr:rowOff>
    </xdr:from>
    <xdr:to>
      <xdr:col>62</xdr:col>
      <xdr:colOff>74086</xdr:colOff>
      <xdr:row>12</xdr:row>
      <xdr:rowOff>61110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04893" y="1366631"/>
          <a:ext cx="985630" cy="674022"/>
        </a:xfrm>
        <a:prstGeom prst="rect">
          <a:avLst/>
        </a:prstGeom>
      </xdr:spPr>
    </xdr:pic>
    <xdr:clientData/>
  </xdr:twoCellAnchor>
  <xdr:twoCellAnchor editAs="oneCell">
    <xdr:from>
      <xdr:col>45</xdr:col>
      <xdr:colOff>66261</xdr:colOff>
      <xdr:row>76</xdr:row>
      <xdr:rowOff>74544</xdr:rowOff>
    </xdr:from>
    <xdr:to>
      <xdr:col>51</xdr:col>
      <xdr:colOff>188260</xdr:colOff>
      <xdr:row>83</xdr:row>
      <xdr:rowOff>82004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7348" y="8978348"/>
          <a:ext cx="1085022" cy="819155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76</xdr:row>
      <xdr:rowOff>49695</xdr:rowOff>
    </xdr:from>
    <xdr:to>
      <xdr:col>62</xdr:col>
      <xdr:colOff>29676</xdr:colOff>
      <xdr:row>83</xdr:row>
      <xdr:rowOff>107675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12565" y="8953499"/>
          <a:ext cx="894288" cy="869675"/>
        </a:xfrm>
        <a:prstGeom prst="rect">
          <a:avLst/>
        </a:prstGeom>
      </xdr:spPr>
    </xdr:pic>
    <xdr:clientData/>
  </xdr:twoCellAnchor>
  <xdr:twoCellAnchor editAs="oneCell">
    <xdr:from>
      <xdr:col>26</xdr:col>
      <xdr:colOff>16566</xdr:colOff>
      <xdr:row>76</xdr:row>
      <xdr:rowOff>24847</xdr:rowOff>
    </xdr:from>
    <xdr:to>
      <xdr:col>28</xdr:col>
      <xdr:colOff>412556</xdr:colOff>
      <xdr:row>83</xdr:row>
      <xdr:rowOff>74545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262" y="8928651"/>
          <a:ext cx="594772" cy="861393"/>
        </a:xfrm>
        <a:prstGeom prst="rect">
          <a:avLst/>
        </a:prstGeom>
      </xdr:spPr>
    </xdr:pic>
    <xdr:clientData/>
  </xdr:twoCellAnchor>
  <xdr:twoCellAnchor editAs="oneCell">
    <xdr:from>
      <xdr:col>36</xdr:col>
      <xdr:colOff>91107</xdr:colOff>
      <xdr:row>76</xdr:row>
      <xdr:rowOff>49697</xdr:rowOff>
    </xdr:from>
    <xdr:to>
      <xdr:col>39</xdr:col>
      <xdr:colOff>380540</xdr:colOff>
      <xdr:row>83</xdr:row>
      <xdr:rowOff>50895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7977" y="8953501"/>
          <a:ext cx="604631" cy="812893"/>
        </a:xfrm>
        <a:prstGeom prst="rect">
          <a:avLst/>
        </a:prstGeom>
      </xdr:spPr>
    </xdr:pic>
    <xdr:clientData/>
  </xdr:twoCellAnchor>
  <xdr:twoCellAnchor editAs="oneCell">
    <xdr:from>
      <xdr:col>12</xdr:col>
      <xdr:colOff>33129</xdr:colOff>
      <xdr:row>77</xdr:row>
      <xdr:rowOff>24848</xdr:rowOff>
    </xdr:from>
    <xdr:to>
      <xdr:col>17</xdr:col>
      <xdr:colOff>568628</xdr:colOff>
      <xdr:row>82</xdr:row>
      <xdr:rowOff>94345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5825" y="9044609"/>
          <a:ext cx="1101587" cy="649280"/>
        </a:xfrm>
        <a:prstGeom prst="rect">
          <a:avLst/>
        </a:prstGeom>
      </xdr:spPr>
    </xdr:pic>
    <xdr:clientData/>
  </xdr:twoCellAnchor>
  <xdr:twoCellAnchor editAs="oneCell">
    <xdr:from>
      <xdr:col>2</xdr:col>
      <xdr:colOff>49695</xdr:colOff>
      <xdr:row>76</xdr:row>
      <xdr:rowOff>99393</xdr:rowOff>
    </xdr:from>
    <xdr:to>
      <xdr:col>7</xdr:col>
      <xdr:colOff>3718</xdr:colOff>
      <xdr:row>83</xdr:row>
      <xdr:rowOff>82257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217" y="9003197"/>
          <a:ext cx="861391" cy="794559"/>
        </a:xfrm>
        <a:prstGeom prst="rect">
          <a:avLst/>
        </a:prstGeom>
      </xdr:spPr>
    </xdr:pic>
    <xdr:clientData/>
  </xdr:twoCellAnchor>
  <xdr:twoCellAnchor editAs="oneCell">
    <xdr:from>
      <xdr:col>59</xdr:col>
      <xdr:colOff>31751</xdr:colOff>
      <xdr:row>48</xdr:row>
      <xdr:rowOff>55563</xdr:rowOff>
    </xdr:from>
    <xdr:to>
      <xdr:col>61</xdr:col>
      <xdr:colOff>228586</xdr:colOff>
      <xdr:row>57</xdr:row>
      <xdr:rowOff>71438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1" y="5707063"/>
          <a:ext cx="38998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0</xdr:row>
      <xdr:rowOff>63502</xdr:rowOff>
    </xdr:from>
    <xdr:to>
      <xdr:col>15</xdr:col>
      <xdr:colOff>68580</xdr:colOff>
      <xdr:row>2</xdr:row>
      <xdr:rowOff>49300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EBED9EC-87FD-C34A-B15F-DE9D00A7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" y="63502"/>
          <a:ext cx="1521460" cy="1334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6</xdr:row>
      <xdr:rowOff>82828</xdr:rowOff>
    </xdr:from>
    <xdr:to>
      <xdr:col>7</xdr:col>
      <xdr:colOff>147361</xdr:colOff>
      <xdr:row>14</xdr:row>
      <xdr:rowOff>27861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0" y="1366632"/>
          <a:ext cx="1101588" cy="87268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6</xdr:row>
      <xdr:rowOff>49696</xdr:rowOff>
    </xdr:from>
    <xdr:to>
      <xdr:col>19</xdr:col>
      <xdr:colOff>128497</xdr:colOff>
      <xdr:row>15</xdr:row>
      <xdr:rowOff>19863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1333500"/>
          <a:ext cx="1134718" cy="1013776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57979</xdr:colOff>
      <xdr:row>6</xdr:row>
      <xdr:rowOff>24849</xdr:rowOff>
    </xdr:from>
    <xdr:to>
      <xdr:col>40</xdr:col>
      <xdr:colOff>80084</xdr:colOff>
      <xdr:row>14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42604" y="1294849"/>
          <a:ext cx="1022230" cy="864151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91107</xdr:colOff>
      <xdr:row>7</xdr:row>
      <xdr:rowOff>0</xdr:rowOff>
    </xdr:from>
    <xdr:to>
      <xdr:col>51</xdr:col>
      <xdr:colOff>143565</xdr:colOff>
      <xdr:row>14</xdr:row>
      <xdr:rowOff>72782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68" y="1399761"/>
          <a:ext cx="1002197" cy="88447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107674</xdr:colOff>
      <xdr:row>7</xdr:row>
      <xdr:rowOff>24850</xdr:rowOff>
    </xdr:from>
    <xdr:to>
      <xdr:col>62</xdr:col>
      <xdr:colOff>277890</xdr:colOff>
      <xdr:row>14</xdr:row>
      <xdr:rowOff>78768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5" y="1424611"/>
          <a:ext cx="1018761" cy="865614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21</xdr:row>
      <xdr:rowOff>1</xdr:rowOff>
    </xdr:from>
    <xdr:to>
      <xdr:col>7</xdr:col>
      <xdr:colOff>74976</xdr:colOff>
      <xdr:row>29</xdr:row>
      <xdr:rowOff>99391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239" y="2923762"/>
          <a:ext cx="971224" cy="1027042"/>
        </a:xfrm>
        <a:prstGeom prst="rect">
          <a:avLst/>
        </a:prstGeom>
      </xdr:spPr>
    </xdr:pic>
    <xdr:clientData/>
  </xdr:twoCellAnchor>
  <xdr:twoCellAnchor editAs="oneCell">
    <xdr:from>
      <xdr:col>24</xdr:col>
      <xdr:colOff>41413</xdr:colOff>
      <xdr:row>21</xdr:row>
      <xdr:rowOff>49695</xdr:rowOff>
    </xdr:from>
    <xdr:to>
      <xdr:col>29</xdr:col>
      <xdr:colOff>109168</xdr:colOff>
      <xdr:row>30</xdr:row>
      <xdr:rowOff>631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9022" y="2973456"/>
          <a:ext cx="927651" cy="989713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49698</xdr:colOff>
      <xdr:row>21</xdr:row>
      <xdr:rowOff>41415</xdr:rowOff>
    </xdr:from>
    <xdr:to>
      <xdr:col>40</xdr:col>
      <xdr:colOff>83547</xdr:colOff>
      <xdr:row>29</xdr:row>
      <xdr:rowOff>24849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2328" y="2965176"/>
          <a:ext cx="1077458" cy="911086"/>
        </a:xfrm>
        <a:prstGeom prst="rect">
          <a:avLst/>
        </a:prstGeom>
      </xdr:spPr>
    </xdr:pic>
    <xdr:clientData/>
  </xdr:twoCellAnchor>
  <xdr:twoCellAnchor editAs="oneCell">
    <xdr:from>
      <xdr:col>45</xdr:col>
      <xdr:colOff>91110</xdr:colOff>
      <xdr:row>20</xdr:row>
      <xdr:rowOff>74546</xdr:rowOff>
    </xdr:from>
    <xdr:to>
      <xdr:col>51</xdr:col>
      <xdr:colOff>130611</xdr:colOff>
      <xdr:row>29</xdr:row>
      <xdr:rowOff>66263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71" y="2882350"/>
          <a:ext cx="984408" cy="1035326"/>
        </a:xfrm>
        <a:prstGeom prst="rect">
          <a:avLst/>
        </a:prstGeom>
      </xdr:spPr>
    </xdr:pic>
    <xdr:clientData/>
  </xdr:twoCellAnchor>
  <xdr:twoCellAnchor editAs="oneCell">
    <xdr:from>
      <xdr:col>57</xdr:col>
      <xdr:colOff>24848</xdr:colOff>
      <xdr:row>21</xdr:row>
      <xdr:rowOff>8282</xdr:rowOff>
    </xdr:from>
    <xdr:to>
      <xdr:col>62</xdr:col>
      <xdr:colOff>269607</xdr:colOff>
      <xdr:row>30</xdr:row>
      <xdr:rowOff>3022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5696" y="2932043"/>
          <a:ext cx="977348" cy="103351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24846</xdr:colOff>
      <xdr:row>35</xdr:row>
      <xdr:rowOff>74543</xdr:rowOff>
    </xdr:from>
    <xdr:to>
      <xdr:col>7</xdr:col>
      <xdr:colOff>146425</xdr:colOff>
      <xdr:row>42</xdr:row>
      <xdr:rowOff>57977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11" y="4522304"/>
          <a:ext cx="1125501" cy="79513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57978</xdr:colOff>
      <xdr:row>35</xdr:row>
      <xdr:rowOff>66260</xdr:rowOff>
    </xdr:from>
    <xdr:to>
      <xdr:col>19</xdr:col>
      <xdr:colOff>120213</xdr:colOff>
      <xdr:row>42</xdr:row>
      <xdr:rowOff>79301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4" y="4514021"/>
          <a:ext cx="1159565" cy="824737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35</xdr:row>
      <xdr:rowOff>16565</xdr:rowOff>
    </xdr:from>
    <xdr:to>
      <xdr:col>29</xdr:col>
      <xdr:colOff>109170</xdr:colOff>
      <xdr:row>43</xdr:row>
      <xdr:rowOff>100967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565" y="4464326"/>
          <a:ext cx="853110" cy="1012054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35</xdr:row>
      <xdr:rowOff>74544</xdr:rowOff>
    </xdr:from>
    <xdr:to>
      <xdr:col>39</xdr:col>
      <xdr:colOff>440195</xdr:colOff>
      <xdr:row>43</xdr:row>
      <xdr:rowOff>74543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4849" y="4522305"/>
          <a:ext cx="804629" cy="927651"/>
        </a:xfrm>
        <a:prstGeom prst="rect">
          <a:avLst/>
        </a:prstGeom>
      </xdr:spPr>
    </xdr:pic>
    <xdr:clientData/>
  </xdr:twoCellAnchor>
  <xdr:twoCellAnchor editAs="oneCell">
    <xdr:from>
      <xdr:col>45</xdr:col>
      <xdr:colOff>49695</xdr:colOff>
      <xdr:row>36</xdr:row>
      <xdr:rowOff>33131</xdr:rowOff>
    </xdr:from>
    <xdr:to>
      <xdr:col>51</xdr:col>
      <xdr:colOff>151847</xdr:colOff>
      <xdr:row>43</xdr:row>
      <xdr:rowOff>45170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6" y="4596848"/>
          <a:ext cx="1051891" cy="823735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49698</xdr:colOff>
      <xdr:row>36</xdr:row>
      <xdr:rowOff>33131</xdr:rowOff>
    </xdr:from>
    <xdr:to>
      <xdr:col>62</xdr:col>
      <xdr:colOff>265599</xdr:colOff>
      <xdr:row>43</xdr:row>
      <xdr:rowOff>49697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54589" y="4596848"/>
          <a:ext cx="1064446" cy="828262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49</xdr:row>
      <xdr:rowOff>49696</xdr:rowOff>
    </xdr:from>
    <xdr:to>
      <xdr:col>29</xdr:col>
      <xdr:colOff>150583</xdr:colOff>
      <xdr:row>57</xdr:row>
      <xdr:rowOff>65248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6021457"/>
          <a:ext cx="1027044" cy="943204"/>
        </a:xfrm>
        <a:prstGeom prst="rect">
          <a:avLst/>
        </a:prstGeom>
      </xdr:spPr>
    </xdr:pic>
    <xdr:clientData/>
  </xdr:twoCellAnchor>
  <xdr:twoCellAnchor editAs="oneCell">
    <xdr:from>
      <xdr:col>35</xdr:col>
      <xdr:colOff>57979</xdr:colOff>
      <xdr:row>48</xdr:row>
      <xdr:rowOff>107675</xdr:rowOff>
    </xdr:from>
    <xdr:to>
      <xdr:col>40</xdr:col>
      <xdr:colOff>57979</xdr:colOff>
      <xdr:row>57</xdr:row>
      <xdr:rowOff>102865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6566" y="5963479"/>
          <a:ext cx="927652" cy="1038799"/>
        </a:xfrm>
        <a:prstGeom prst="rect">
          <a:avLst/>
        </a:prstGeom>
      </xdr:spPr>
    </xdr:pic>
    <xdr:clientData/>
  </xdr:twoCellAnchor>
  <xdr:twoCellAnchor editAs="oneCell">
    <xdr:from>
      <xdr:col>48</xdr:col>
      <xdr:colOff>7191</xdr:colOff>
      <xdr:row>49</xdr:row>
      <xdr:rowOff>4832</xdr:rowOff>
    </xdr:from>
    <xdr:to>
      <xdr:col>51</xdr:col>
      <xdr:colOff>24848</xdr:colOff>
      <xdr:row>58</xdr:row>
      <xdr:rowOff>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2316" y="5910332"/>
          <a:ext cx="612969" cy="995294"/>
        </a:xfrm>
        <a:prstGeom prst="rect">
          <a:avLst/>
        </a:prstGeom>
      </xdr:spPr>
    </xdr:pic>
    <xdr:clientData/>
  </xdr:twoCellAnchor>
  <xdr:twoCellAnchor editAs="oneCell">
    <xdr:from>
      <xdr:col>57</xdr:col>
      <xdr:colOff>94626</xdr:colOff>
      <xdr:row>49</xdr:row>
      <xdr:rowOff>25884</xdr:rowOff>
    </xdr:from>
    <xdr:to>
      <xdr:col>62</xdr:col>
      <xdr:colOff>292384</xdr:colOff>
      <xdr:row>57</xdr:row>
      <xdr:rowOff>95251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3689" y="5931384"/>
          <a:ext cx="905845" cy="958367"/>
        </a:xfrm>
        <a:prstGeom prst="rect">
          <a:avLst/>
        </a:prstGeom>
      </xdr:spPr>
    </xdr:pic>
    <xdr:clientData/>
  </xdr:twoCellAnchor>
  <xdr:twoCellAnchor editAs="oneCell">
    <xdr:from>
      <xdr:col>15</xdr:col>
      <xdr:colOff>5133</xdr:colOff>
      <xdr:row>62</xdr:row>
      <xdr:rowOff>16566</xdr:rowOff>
    </xdr:from>
    <xdr:to>
      <xdr:col>18</xdr:col>
      <xdr:colOff>120293</xdr:colOff>
      <xdr:row>71</xdr:row>
      <xdr:rowOff>24848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5698" y="7396370"/>
          <a:ext cx="696322" cy="1051891"/>
        </a:xfrm>
        <a:prstGeom prst="rect">
          <a:avLst/>
        </a:prstGeom>
      </xdr:spPr>
    </xdr:pic>
    <xdr:clientData/>
  </xdr:twoCellAnchor>
  <xdr:twoCellAnchor editAs="oneCell">
    <xdr:from>
      <xdr:col>56</xdr:col>
      <xdr:colOff>82826</xdr:colOff>
      <xdr:row>63</xdr:row>
      <xdr:rowOff>82824</xdr:rowOff>
    </xdr:from>
    <xdr:to>
      <xdr:col>62</xdr:col>
      <xdr:colOff>260204</xdr:colOff>
      <xdr:row>70</xdr:row>
      <xdr:rowOff>41412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7578585"/>
          <a:ext cx="1025923" cy="77028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41279</xdr:colOff>
      <xdr:row>77</xdr:row>
      <xdr:rowOff>82826</xdr:rowOff>
    </xdr:from>
    <xdr:to>
      <xdr:col>7</xdr:col>
      <xdr:colOff>144268</xdr:colOff>
      <xdr:row>84</xdr:row>
      <xdr:rowOff>66261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" y="9102587"/>
          <a:ext cx="1106911" cy="795131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49697</xdr:colOff>
      <xdr:row>78</xdr:row>
      <xdr:rowOff>41413</xdr:rowOff>
    </xdr:from>
    <xdr:to>
      <xdr:col>40</xdr:col>
      <xdr:colOff>85528</xdr:colOff>
      <xdr:row>83</xdr:row>
      <xdr:rowOff>49695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15849" y="9177130"/>
          <a:ext cx="1228527" cy="58806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78</xdr:row>
      <xdr:rowOff>82826</xdr:rowOff>
    </xdr:from>
    <xdr:to>
      <xdr:col>51</xdr:col>
      <xdr:colOff>184979</xdr:colOff>
      <xdr:row>82</xdr:row>
      <xdr:rowOff>57979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762" y="9218543"/>
          <a:ext cx="1200977" cy="438979"/>
        </a:xfrm>
        <a:prstGeom prst="rect">
          <a:avLst/>
        </a:prstGeom>
      </xdr:spPr>
    </xdr:pic>
    <xdr:clientData/>
  </xdr:twoCellAnchor>
  <xdr:twoCellAnchor editAs="oneCell">
    <xdr:from>
      <xdr:col>34</xdr:col>
      <xdr:colOff>66261</xdr:colOff>
      <xdr:row>91</xdr:row>
      <xdr:rowOff>49696</xdr:rowOff>
    </xdr:from>
    <xdr:to>
      <xdr:col>40</xdr:col>
      <xdr:colOff>91109</xdr:colOff>
      <xdr:row>97</xdr:row>
      <xdr:rowOff>92036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2413" y="10593457"/>
          <a:ext cx="1217544" cy="738079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77</xdr:row>
      <xdr:rowOff>41413</xdr:rowOff>
    </xdr:from>
    <xdr:to>
      <xdr:col>62</xdr:col>
      <xdr:colOff>209212</xdr:colOff>
      <xdr:row>84</xdr:row>
      <xdr:rowOff>90515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1653" y="9061174"/>
          <a:ext cx="803412" cy="860798"/>
        </a:xfrm>
        <a:prstGeom prst="rect">
          <a:avLst/>
        </a:prstGeom>
      </xdr:spPr>
    </xdr:pic>
    <xdr:clientData/>
  </xdr:twoCellAnchor>
  <xdr:twoCellAnchor editAs="oneCell">
    <xdr:from>
      <xdr:col>13</xdr:col>
      <xdr:colOff>66260</xdr:colOff>
      <xdr:row>78</xdr:row>
      <xdr:rowOff>57978</xdr:rowOff>
    </xdr:from>
    <xdr:to>
      <xdr:col>19</xdr:col>
      <xdr:colOff>27723</xdr:colOff>
      <xdr:row>84</xdr:row>
      <xdr:rowOff>72047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912" y="9193695"/>
          <a:ext cx="935935" cy="70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77</xdr:row>
      <xdr:rowOff>0</xdr:rowOff>
    </xdr:from>
    <xdr:to>
      <xdr:col>29</xdr:col>
      <xdr:colOff>100886</xdr:colOff>
      <xdr:row>84</xdr:row>
      <xdr:rowOff>25214</xdr:rowOff>
    </xdr:to>
    <xdr:pic>
      <xdr:nvPicPr>
        <xdr:cNvPr id="77" name="Рисунок 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33688" y="8826500"/>
          <a:ext cx="929032" cy="803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57978</xdr:colOff>
      <xdr:row>20</xdr:row>
      <xdr:rowOff>112847</xdr:rowOff>
    </xdr:from>
    <xdr:to>
      <xdr:col>19</xdr:col>
      <xdr:colOff>95365</xdr:colOff>
      <xdr:row>30</xdr:row>
      <xdr:rowOff>12163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26" y="2920651"/>
          <a:ext cx="1292087" cy="105888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50</xdr:row>
      <xdr:rowOff>8283</xdr:rowOff>
    </xdr:from>
    <xdr:to>
      <xdr:col>19</xdr:col>
      <xdr:colOff>120214</xdr:colOff>
      <xdr:row>57</xdr:row>
      <xdr:rowOff>82826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305" y="6096000"/>
          <a:ext cx="1258957" cy="886239"/>
        </a:xfrm>
        <a:prstGeom prst="rect">
          <a:avLst/>
        </a:prstGeom>
      </xdr:spPr>
    </xdr:pic>
    <xdr:clientData/>
  </xdr:twoCellAnchor>
  <xdr:twoCellAnchor editAs="oneCell">
    <xdr:from>
      <xdr:col>2</xdr:col>
      <xdr:colOff>57978</xdr:colOff>
      <xdr:row>49</xdr:row>
      <xdr:rowOff>98690</xdr:rowOff>
    </xdr:from>
    <xdr:to>
      <xdr:col>8</xdr:col>
      <xdr:colOff>100612</xdr:colOff>
      <xdr:row>57</xdr:row>
      <xdr:rowOff>57978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13" y="6768431"/>
          <a:ext cx="1091505" cy="89161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26675</xdr:colOff>
      <xdr:row>63</xdr:row>
      <xdr:rowOff>36172</xdr:rowOff>
    </xdr:from>
    <xdr:to>
      <xdr:col>7</xdr:col>
      <xdr:colOff>32095</xdr:colOff>
      <xdr:row>71</xdr:row>
      <xdr:rowOff>68001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2" y="7531933"/>
          <a:ext cx="1041782" cy="959481"/>
        </a:xfrm>
        <a:prstGeom prst="rect">
          <a:avLst/>
        </a:prstGeom>
      </xdr:spPr>
    </xdr:pic>
    <xdr:clientData/>
  </xdr:twoCellAnchor>
  <xdr:twoCellAnchor editAs="oneCell">
    <xdr:from>
      <xdr:col>25</xdr:col>
      <xdr:colOff>33340</xdr:colOff>
      <xdr:row>62</xdr:row>
      <xdr:rowOff>57979</xdr:rowOff>
    </xdr:from>
    <xdr:to>
      <xdr:col>28</xdr:col>
      <xdr:colOff>338782</xdr:colOff>
      <xdr:row>72</xdr:row>
      <xdr:rowOff>9089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78153" y="7312854"/>
          <a:ext cx="620296" cy="1062360"/>
        </a:xfrm>
        <a:prstGeom prst="rect">
          <a:avLst/>
        </a:prstGeom>
      </xdr:spPr>
    </xdr:pic>
    <xdr:clientData/>
  </xdr:twoCellAnchor>
  <xdr:twoCellAnchor editAs="oneCell">
    <xdr:from>
      <xdr:col>36</xdr:col>
      <xdr:colOff>41224</xdr:colOff>
      <xdr:row>64</xdr:row>
      <xdr:rowOff>5086</xdr:rowOff>
    </xdr:from>
    <xdr:to>
      <xdr:col>39</xdr:col>
      <xdr:colOff>269875</xdr:colOff>
      <xdr:row>72</xdr:row>
      <xdr:rowOff>23814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8099" y="7482211"/>
          <a:ext cx="530276" cy="90772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91</xdr:row>
      <xdr:rowOff>23813</xdr:rowOff>
    </xdr:from>
    <xdr:to>
      <xdr:col>8</xdr:col>
      <xdr:colOff>63500</xdr:colOff>
      <xdr:row>97</xdr:row>
      <xdr:rowOff>19329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3" y="10167938"/>
          <a:ext cx="1127125" cy="662266"/>
        </a:xfrm>
        <a:prstGeom prst="rect">
          <a:avLst/>
        </a:prstGeom>
      </xdr:spPr>
    </xdr:pic>
    <xdr:clientData/>
  </xdr:twoCellAnchor>
  <xdr:twoCellAnchor editAs="oneCell">
    <xdr:from>
      <xdr:col>13</xdr:col>
      <xdr:colOff>7938</xdr:colOff>
      <xdr:row>90</xdr:row>
      <xdr:rowOff>79374</xdr:rowOff>
    </xdr:from>
    <xdr:to>
      <xdr:col>20</xdr:col>
      <xdr:colOff>47625</xdr:colOff>
      <xdr:row>99</xdr:row>
      <xdr:rowOff>2750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89"/>
        <a:stretch/>
      </xdr:blipFill>
      <xdr:spPr>
        <a:xfrm>
          <a:off x="1397001" y="10112374"/>
          <a:ext cx="1262062" cy="923501"/>
        </a:xfrm>
        <a:prstGeom prst="rect">
          <a:avLst/>
        </a:prstGeom>
      </xdr:spPr>
    </xdr:pic>
    <xdr:clientData/>
  </xdr:twoCellAnchor>
  <xdr:twoCellAnchor editAs="oneCell">
    <xdr:from>
      <xdr:col>24</xdr:col>
      <xdr:colOff>31749</xdr:colOff>
      <xdr:row>90</xdr:row>
      <xdr:rowOff>95251</xdr:rowOff>
    </xdr:from>
    <xdr:to>
      <xdr:col>30</xdr:col>
      <xdr:colOff>37041</xdr:colOff>
      <xdr:row>97</xdr:row>
      <xdr:rowOff>18386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5437" y="10128251"/>
          <a:ext cx="1008063" cy="701010"/>
        </a:xfrm>
        <a:prstGeom prst="rect">
          <a:avLst/>
        </a:prstGeom>
      </xdr:spPr>
    </xdr:pic>
    <xdr:clientData/>
  </xdr:twoCellAnchor>
  <xdr:twoCellAnchor editAs="oneCell">
    <xdr:from>
      <xdr:col>45</xdr:col>
      <xdr:colOff>7938</xdr:colOff>
      <xdr:row>91</xdr:row>
      <xdr:rowOff>23813</xdr:rowOff>
    </xdr:from>
    <xdr:to>
      <xdr:col>52</xdr:col>
      <xdr:colOff>62630</xdr:colOff>
      <xdr:row>98</xdr:row>
      <xdr:rowOff>59624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8" y="10167938"/>
          <a:ext cx="1206500" cy="813686"/>
        </a:xfrm>
        <a:prstGeom prst="rect">
          <a:avLst/>
        </a:prstGeom>
      </xdr:spPr>
    </xdr:pic>
    <xdr:clientData/>
  </xdr:twoCellAnchor>
  <xdr:twoCellAnchor editAs="oneCell">
    <xdr:from>
      <xdr:col>57</xdr:col>
      <xdr:colOff>39688</xdr:colOff>
      <xdr:row>91</xdr:row>
      <xdr:rowOff>0</xdr:rowOff>
    </xdr:from>
    <xdr:to>
      <xdr:col>63</xdr:col>
      <xdr:colOff>32807</xdr:colOff>
      <xdr:row>97</xdr:row>
      <xdr:rowOff>103713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8"/>
        <a:stretch/>
      </xdr:blipFill>
      <xdr:spPr>
        <a:xfrm>
          <a:off x="6508751" y="10144125"/>
          <a:ext cx="1023936" cy="770463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71438</xdr:colOff>
      <xdr:row>6</xdr:row>
      <xdr:rowOff>47625</xdr:rowOff>
    </xdr:from>
    <xdr:to>
      <xdr:col>30</xdr:col>
      <xdr:colOff>29104</xdr:colOff>
      <xdr:row>14</xdr:row>
      <xdr:rowOff>21626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5126" y="1460500"/>
          <a:ext cx="960437" cy="863001"/>
        </a:xfrm>
        <a:prstGeom prst="rect">
          <a:avLst/>
        </a:prstGeom>
      </xdr:spPr>
    </xdr:pic>
    <xdr:clientData/>
  </xdr:twoCellAnchor>
  <xdr:twoCellAnchor editAs="oneCell">
    <xdr:from>
      <xdr:col>47</xdr:col>
      <xdr:colOff>79375</xdr:colOff>
      <xdr:row>63</xdr:row>
      <xdr:rowOff>55562</xdr:rowOff>
    </xdr:from>
    <xdr:to>
      <xdr:col>51</xdr:col>
      <xdr:colOff>37460</xdr:colOff>
      <xdr:row>71</xdr:row>
      <xdr:rowOff>87138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867D0DD-767F-3271-65C6-49801175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13375" y="7421562"/>
          <a:ext cx="664522" cy="9205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0</xdr:row>
      <xdr:rowOff>63502</xdr:rowOff>
    </xdr:from>
    <xdr:to>
      <xdr:col>15</xdr:col>
      <xdr:colOff>53478</xdr:colOff>
      <xdr:row>2</xdr:row>
      <xdr:rowOff>53788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BC2EEE3-A2F1-BF46-9D0B-366EDC9EF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18" y="63502"/>
          <a:ext cx="1621554" cy="1433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99392</xdr:colOff>
      <xdr:row>9</xdr:row>
      <xdr:rowOff>28407</xdr:rowOff>
    </xdr:from>
    <xdr:to>
      <xdr:col>25</xdr:col>
      <xdr:colOff>1029</xdr:colOff>
      <xdr:row>17</xdr:row>
      <xdr:rowOff>99393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6218" y="1212820"/>
          <a:ext cx="1287500" cy="998638"/>
        </a:xfrm>
        <a:prstGeom prst="rect">
          <a:avLst/>
        </a:prstGeom>
      </xdr:spPr>
    </xdr:pic>
    <xdr:clientData/>
  </xdr:twoCellAnchor>
  <xdr:twoCellAnchor editAs="oneCell">
    <xdr:from>
      <xdr:col>29</xdr:col>
      <xdr:colOff>66260</xdr:colOff>
      <xdr:row>10</xdr:row>
      <xdr:rowOff>8282</xdr:rowOff>
    </xdr:from>
    <xdr:to>
      <xdr:col>38</xdr:col>
      <xdr:colOff>344146</xdr:colOff>
      <xdr:row>17</xdr:row>
      <xdr:rowOff>74543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46782" y="1308652"/>
          <a:ext cx="1418237" cy="8779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99394</xdr:colOff>
      <xdr:row>71</xdr:row>
      <xdr:rowOff>49696</xdr:rowOff>
    </xdr:from>
    <xdr:to>
      <xdr:col>10</xdr:col>
      <xdr:colOff>140807</xdr:colOff>
      <xdr:row>77</xdr:row>
      <xdr:rowOff>70828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9" y="8025848"/>
          <a:ext cx="1167848" cy="716871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75</xdr:row>
      <xdr:rowOff>66261</xdr:rowOff>
    </xdr:from>
    <xdr:to>
      <xdr:col>10</xdr:col>
      <xdr:colOff>240955</xdr:colOff>
      <xdr:row>80</xdr:row>
      <xdr:rowOff>14024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91" y="8506239"/>
          <a:ext cx="696499" cy="527546"/>
        </a:xfrm>
        <a:prstGeom prst="rect">
          <a:avLst/>
        </a:prstGeom>
      </xdr:spPr>
    </xdr:pic>
    <xdr:clientData/>
  </xdr:twoCellAnchor>
  <xdr:twoCellAnchor editAs="oneCell">
    <xdr:from>
      <xdr:col>58</xdr:col>
      <xdr:colOff>63322</xdr:colOff>
      <xdr:row>70</xdr:row>
      <xdr:rowOff>107674</xdr:rowOff>
    </xdr:from>
    <xdr:to>
      <xdr:col>66</xdr:col>
      <xdr:colOff>162804</xdr:colOff>
      <xdr:row>80</xdr:row>
      <xdr:rowOff>82827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844" y="7967870"/>
          <a:ext cx="1010570" cy="1134718"/>
        </a:xfrm>
        <a:prstGeom prst="rect">
          <a:avLst/>
        </a:prstGeom>
      </xdr:spPr>
    </xdr:pic>
    <xdr:clientData/>
  </xdr:twoCellAnchor>
  <xdr:twoCellAnchor editAs="oneCell">
    <xdr:from>
      <xdr:col>15</xdr:col>
      <xdr:colOff>106972</xdr:colOff>
      <xdr:row>85</xdr:row>
      <xdr:rowOff>70144</xdr:rowOff>
    </xdr:from>
    <xdr:to>
      <xdr:col>24</xdr:col>
      <xdr:colOff>343633</xdr:colOff>
      <xdr:row>92</xdr:row>
      <xdr:rowOff>107674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537" y="9570296"/>
          <a:ext cx="1281851" cy="849226"/>
        </a:xfrm>
        <a:prstGeom prst="rect">
          <a:avLst/>
        </a:prstGeom>
      </xdr:spPr>
    </xdr:pic>
    <xdr:clientData/>
  </xdr:twoCellAnchor>
  <xdr:twoCellAnchor editAs="oneCell">
    <xdr:from>
      <xdr:col>29</xdr:col>
      <xdr:colOff>56527</xdr:colOff>
      <xdr:row>85</xdr:row>
      <xdr:rowOff>49061</xdr:rowOff>
    </xdr:from>
    <xdr:to>
      <xdr:col>38</xdr:col>
      <xdr:colOff>269949</xdr:colOff>
      <xdr:row>93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092" y="9549213"/>
          <a:ext cx="1348140" cy="878591"/>
        </a:xfrm>
        <a:prstGeom prst="rect">
          <a:avLst/>
        </a:prstGeom>
      </xdr:spPr>
    </xdr:pic>
    <xdr:clientData/>
  </xdr:twoCellAnchor>
  <xdr:twoCellAnchor editAs="oneCell">
    <xdr:from>
      <xdr:col>44</xdr:col>
      <xdr:colOff>76834</xdr:colOff>
      <xdr:row>85</xdr:row>
      <xdr:rowOff>27270</xdr:rowOff>
    </xdr:from>
    <xdr:to>
      <xdr:col>52</xdr:col>
      <xdr:colOff>168413</xdr:colOff>
      <xdr:row>92</xdr:row>
      <xdr:rowOff>82826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356" y="9527422"/>
          <a:ext cx="1140710" cy="86725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49696</xdr:colOff>
      <xdr:row>25</xdr:row>
      <xdr:rowOff>57978</xdr:rowOff>
    </xdr:from>
    <xdr:to>
      <xdr:col>66</xdr:col>
      <xdr:colOff>367850</xdr:colOff>
      <xdr:row>36</xdr:row>
      <xdr:rowOff>99391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8218" y="2998304"/>
          <a:ext cx="1212677" cy="1316935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41</xdr:row>
      <xdr:rowOff>24850</xdr:rowOff>
    </xdr:from>
    <xdr:to>
      <xdr:col>10</xdr:col>
      <xdr:colOff>132522</xdr:colOff>
      <xdr:row>52</xdr:row>
      <xdr:rowOff>22778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4721089"/>
          <a:ext cx="1018760" cy="12734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57980</xdr:colOff>
      <xdr:row>41</xdr:row>
      <xdr:rowOff>33130</xdr:rowOff>
    </xdr:from>
    <xdr:to>
      <xdr:col>24</xdr:col>
      <xdr:colOff>229683</xdr:colOff>
      <xdr:row>52</xdr:row>
      <xdr:rowOff>8282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0458" y="4729369"/>
          <a:ext cx="966833" cy="1250674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41</xdr:row>
      <xdr:rowOff>49696</xdr:rowOff>
    </xdr:from>
    <xdr:to>
      <xdr:col>38</xdr:col>
      <xdr:colOff>231913</xdr:colOff>
      <xdr:row>50</xdr:row>
      <xdr:rowOff>68409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6174" y="4745935"/>
          <a:ext cx="1085021" cy="1062322"/>
        </a:xfrm>
        <a:prstGeom prst="rect">
          <a:avLst/>
        </a:prstGeom>
      </xdr:spPr>
    </xdr:pic>
    <xdr:clientData/>
  </xdr:twoCellAnchor>
  <xdr:twoCellAnchor editAs="oneCell">
    <xdr:from>
      <xdr:col>44</xdr:col>
      <xdr:colOff>74544</xdr:colOff>
      <xdr:row>25</xdr:row>
      <xdr:rowOff>24848</xdr:rowOff>
    </xdr:from>
    <xdr:to>
      <xdr:col>52</xdr:col>
      <xdr:colOff>131690</xdr:colOff>
      <xdr:row>35</xdr:row>
      <xdr:rowOff>8283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79066" y="2965174"/>
          <a:ext cx="1106277" cy="1143000"/>
        </a:xfrm>
        <a:prstGeom prst="rect">
          <a:avLst/>
        </a:prstGeom>
      </xdr:spPr>
    </xdr:pic>
    <xdr:clientData/>
  </xdr:twoCellAnchor>
  <xdr:twoCellAnchor editAs="oneCell">
    <xdr:from>
      <xdr:col>43</xdr:col>
      <xdr:colOff>82827</xdr:colOff>
      <xdr:row>42</xdr:row>
      <xdr:rowOff>8283</xdr:rowOff>
    </xdr:from>
    <xdr:to>
      <xdr:col>52</xdr:col>
      <xdr:colOff>295032</xdr:colOff>
      <xdr:row>50</xdr:row>
      <xdr:rowOff>66262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1392" y="4820479"/>
          <a:ext cx="1360728" cy="985630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41</xdr:row>
      <xdr:rowOff>66264</xdr:rowOff>
    </xdr:from>
    <xdr:to>
      <xdr:col>67</xdr:col>
      <xdr:colOff>9752</xdr:colOff>
      <xdr:row>50</xdr:row>
      <xdr:rowOff>82827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4762503"/>
          <a:ext cx="1390187" cy="1060172"/>
        </a:xfrm>
        <a:prstGeom prst="rect">
          <a:avLst/>
        </a:prstGeom>
      </xdr:spPr>
    </xdr:pic>
    <xdr:clientData/>
  </xdr:twoCellAnchor>
  <xdr:twoCellAnchor editAs="oneCell">
    <xdr:from>
      <xdr:col>43</xdr:col>
      <xdr:colOff>74544</xdr:colOff>
      <xdr:row>57</xdr:row>
      <xdr:rowOff>74544</xdr:rowOff>
    </xdr:from>
    <xdr:to>
      <xdr:col>52</xdr:col>
      <xdr:colOff>300934</xdr:colOff>
      <xdr:row>64</xdr:row>
      <xdr:rowOff>133237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09" y="6526696"/>
          <a:ext cx="1374913" cy="942171"/>
        </a:xfrm>
        <a:prstGeom prst="rect">
          <a:avLst/>
        </a:prstGeom>
      </xdr:spPr>
    </xdr:pic>
    <xdr:clientData/>
  </xdr:twoCellAnchor>
  <xdr:twoCellAnchor editAs="oneCell">
    <xdr:from>
      <xdr:col>4</xdr:col>
      <xdr:colOff>41412</xdr:colOff>
      <xdr:row>85</xdr:row>
      <xdr:rowOff>16565</xdr:rowOff>
    </xdr:from>
    <xdr:to>
      <xdr:col>10</xdr:col>
      <xdr:colOff>41412</xdr:colOff>
      <xdr:row>95</xdr:row>
      <xdr:rowOff>4359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5847" y="9516717"/>
          <a:ext cx="778565" cy="1147359"/>
        </a:xfrm>
        <a:prstGeom prst="rect">
          <a:avLst/>
        </a:prstGeom>
      </xdr:spPr>
    </xdr:pic>
    <xdr:clientData/>
  </xdr:twoCellAnchor>
  <xdr:twoCellAnchor editAs="oneCell">
    <xdr:from>
      <xdr:col>50</xdr:col>
      <xdr:colOff>74543</xdr:colOff>
      <xdr:row>14</xdr:row>
      <xdr:rowOff>66261</xdr:rowOff>
    </xdr:from>
    <xdr:to>
      <xdr:col>54</xdr:col>
      <xdr:colOff>33129</xdr:colOff>
      <xdr:row>17</xdr:row>
      <xdr:rowOff>74038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40456" y="1830457"/>
          <a:ext cx="621196" cy="355646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107674</xdr:colOff>
      <xdr:row>57</xdr:row>
      <xdr:rowOff>57977</xdr:rowOff>
    </xdr:from>
    <xdr:to>
      <xdr:col>66</xdr:col>
      <xdr:colOff>400833</xdr:colOff>
      <xdr:row>65</xdr:row>
      <xdr:rowOff>19326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631" y="6510129"/>
          <a:ext cx="1475500" cy="993915"/>
        </a:xfrm>
        <a:prstGeom prst="rect">
          <a:avLst/>
        </a:prstGeom>
      </xdr:spPr>
    </xdr:pic>
    <xdr:clientData/>
  </xdr:twoCellAnchor>
  <xdr:twoCellAnchor editAs="oneCell">
    <xdr:from>
      <xdr:col>30</xdr:col>
      <xdr:colOff>74543</xdr:colOff>
      <xdr:row>71</xdr:row>
      <xdr:rowOff>17476</xdr:rowOff>
    </xdr:from>
    <xdr:to>
      <xdr:col>38</xdr:col>
      <xdr:colOff>165652</xdr:colOff>
      <xdr:row>79</xdr:row>
      <xdr:rowOff>31753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065" y="7993628"/>
          <a:ext cx="1109870" cy="941929"/>
        </a:xfrm>
        <a:prstGeom prst="rect">
          <a:avLst/>
        </a:prstGeom>
      </xdr:spPr>
    </xdr:pic>
    <xdr:clientData/>
  </xdr:twoCellAnchor>
  <xdr:twoCellAnchor editAs="oneCell">
    <xdr:from>
      <xdr:col>47</xdr:col>
      <xdr:colOff>1826</xdr:colOff>
      <xdr:row>71</xdr:row>
      <xdr:rowOff>26674</xdr:rowOff>
    </xdr:from>
    <xdr:to>
      <xdr:col>50</xdr:col>
      <xdr:colOff>19325</xdr:colOff>
      <xdr:row>78</xdr:row>
      <xdr:rowOff>65197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217" y="8002826"/>
          <a:ext cx="503413" cy="850220"/>
        </a:xfrm>
        <a:prstGeom prst="rect">
          <a:avLst/>
        </a:prstGeom>
      </xdr:spPr>
    </xdr:pic>
    <xdr:clientData/>
  </xdr:twoCellAnchor>
  <xdr:twoCellAnchor editAs="oneCell">
    <xdr:from>
      <xdr:col>59</xdr:col>
      <xdr:colOff>41412</xdr:colOff>
      <xdr:row>84</xdr:row>
      <xdr:rowOff>38997</xdr:rowOff>
    </xdr:from>
    <xdr:to>
      <xdr:col>66</xdr:col>
      <xdr:colOff>157368</xdr:colOff>
      <xdr:row>94</xdr:row>
      <xdr:rowOff>99391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51542" y="9423193"/>
          <a:ext cx="911087" cy="1219959"/>
        </a:xfrm>
        <a:prstGeom prst="rect">
          <a:avLst/>
        </a:prstGeom>
      </xdr:spPr>
    </xdr:pic>
    <xdr:clientData/>
  </xdr:twoCellAnchor>
  <xdr:twoCellAnchor editAs="oneCell">
    <xdr:from>
      <xdr:col>30</xdr:col>
      <xdr:colOff>8282</xdr:colOff>
      <xdr:row>57</xdr:row>
      <xdr:rowOff>66263</xdr:rowOff>
    </xdr:from>
    <xdr:to>
      <xdr:col>38</xdr:col>
      <xdr:colOff>298172</xdr:colOff>
      <xdr:row>64</xdr:row>
      <xdr:rowOff>130941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3304760" y="6518415"/>
          <a:ext cx="1308651" cy="948156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58</xdr:row>
      <xdr:rowOff>8282</xdr:rowOff>
    </xdr:from>
    <xdr:to>
      <xdr:col>10</xdr:col>
      <xdr:colOff>3661</xdr:colOff>
      <xdr:row>63</xdr:row>
      <xdr:rowOff>94978</xdr:rowOff>
    </xdr:to>
    <xdr:pic>
      <xdr:nvPicPr>
        <xdr:cNvPr id="33" name="Рисунок 119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3325" y="6576391"/>
          <a:ext cx="869673" cy="66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8284</xdr:colOff>
      <xdr:row>58</xdr:row>
      <xdr:rowOff>57978</xdr:rowOff>
    </xdr:from>
    <xdr:to>
      <xdr:col>24</xdr:col>
      <xdr:colOff>213279</xdr:colOff>
      <xdr:row>64</xdr:row>
      <xdr:rowOff>118718</xdr:rowOff>
    </xdr:to>
    <xdr:pic>
      <xdr:nvPicPr>
        <xdr:cNvPr id="34" name="Рисунок 118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47023" y="6626087"/>
          <a:ext cx="1000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74543</xdr:colOff>
      <xdr:row>9</xdr:row>
      <xdr:rowOff>58652</xdr:rowOff>
    </xdr:from>
    <xdr:to>
      <xdr:col>10</xdr:col>
      <xdr:colOff>273326</xdr:colOff>
      <xdr:row>17</xdr:row>
      <xdr:rowOff>45899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" y="1243065"/>
          <a:ext cx="1308653" cy="914899"/>
        </a:xfrm>
        <a:prstGeom prst="rect">
          <a:avLst/>
        </a:prstGeom>
      </xdr:spPr>
    </xdr:pic>
    <xdr:clientData/>
  </xdr:twoCellAnchor>
  <xdr:twoCellAnchor editAs="oneCell">
    <xdr:from>
      <xdr:col>44</xdr:col>
      <xdr:colOff>8284</xdr:colOff>
      <xdr:row>9</xdr:row>
      <xdr:rowOff>42671</xdr:rowOff>
    </xdr:from>
    <xdr:to>
      <xdr:col>51</xdr:col>
      <xdr:colOff>52457</xdr:colOff>
      <xdr:row>15</xdr:row>
      <xdr:rowOff>23263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458" y="1227084"/>
          <a:ext cx="993912" cy="676331"/>
        </a:xfrm>
        <a:prstGeom prst="rect">
          <a:avLst/>
        </a:prstGeom>
      </xdr:spPr>
    </xdr:pic>
    <xdr:clientData/>
  </xdr:twoCellAnchor>
  <xdr:twoCellAnchor editAs="oneCell">
    <xdr:from>
      <xdr:col>57</xdr:col>
      <xdr:colOff>41413</xdr:colOff>
      <xdr:row>10</xdr:row>
      <xdr:rowOff>16566</xdr:rowOff>
    </xdr:from>
    <xdr:to>
      <xdr:col>66</xdr:col>
      <xdr:colOff>408498</xdr:colOff>
      <xdr:row>17</xdr:row>
      <xdr:rowOff>91869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978" y="1316936"/>
          <a:ext cx="1391478" cy="886998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26</xdr:row>
      <xdr:rowOff>0</xdr:rowOff>
    </xdr:from>
    <xdr:to>
      <xdr:col>11</xdr:col>
      <xdr:colOff>6073</xdr:colOff>
      <xdr:row>35</xdr:row>
      <xdr:rowOff>74544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288196"/>
          <a:ext cx="1464247" cy="1118152"/>
        </a:xfrm>
        <a:prstGeom prst="rect">
          <a:avLst/>
        </a:prstGeom>
      </xdr:spPr>
    </xdr:pic>
    <xdr:clientData/>
  </xdr:twoCellAnchor>
  <xdr:twoCellAnchor editAs="oneCell">
    <xdr:from>
      <xdr:col>15</xdr:col>
      <xdr:colOff>74544</xdr:colOff>
      <xdr:row>25</xdr:row>
      <xdr:rowOff>16938</xdr:rowOff>
    </xdr:from>
    <xdr:to>
      <xdr:col>25</xdr:col>
      <xdr:colOff>67007</xdr:colOff>
      <xdr:row>35</xdr:row>
      <xdr:rowOff>16567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109" y="2957264"/>
          <a:ext cx="1367376" cy="1159194"/>
        </a:xfrm>
        <a:prstGeom prst="rect">
          <a:avLst/>
        </a:prstGeom>
      </xdr:spPr>
    </xdr:pic>
    <xdr:clientData/>
  </xdr:twoCellAnchor>
  <xdr:twoCellAnchor editAs="oneCell">
    <xdr:from>
      <xdr:col>31</xdr:col>
      <xdr:colOff>91110</xdr:colOff>
      <xdr:row>25</xdr:row>
      <xdr:rowOff>5762</xdr:rowOff>
    </xdr:from>
    <xdr:to>
      <xdr:col>38</xdr:col>
      <xdr:colOff>57980</xdr:colOff>
      <xdr:row>34</xdr:row>
      <xdr:rowOff>95439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588" y="2946088"/>
          <a:ext cx="894522" cy="1133286"/>
        </a:xfrm>
        <a:prstGeom prst="rect">
          <a:avLst/>
        </a:prstGeom>
      </xdr:spPr>
    </xdr:pic>
    <xdr:clientData/>
  </xdr:twoCellAnchor>
  <xdr:twoCellAnchor editAs="oneCell">
    <xdr:from>
      <xdr:col>22</xdr:col>
      <xdr:colOff>57978</xdr:colOff>
      <xdr:row>70</xdr:row>
      <xdr:rowOff>107674</xdr:rowOff>
    </xdr:from>
    <xdr:to>
      <xdr:col>24</xdr:col>
      <xdr:colOff>341685</xdr:colOff>
      <xdr:row>78</xdr:row>
      <xdr:rowOff>41412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0239" y="7967870"/>
          <a:ext cx="505349" cy="861391"/>
        </a:xfrm>
        <a:prstGeom prst="rect">
          <a:avLst/>
        </a:prstGeom>
      </xdr:spPr>
    </xdr:pic>
    <xdr:clientData/>
  </xdr:twoCellAnchor>
  <xdr:twoCellAnchor editAs="oneCell">
    <xdr:from>
      <xdr:col>15</xdr:col>
      <xdr:colOff>33132</xdr:colOff>
      <xdr:row>70</xdr:row>
      <xdr:rowOff>113199</xdr:rowOff>
    </xdr:from>
    <xdr:to>
      <xdr:col>21</xdr:col>
      <xdr:colOff>53836</xdr:colOff>
      <xdr:row>79</xdr:row>
      <xdr:rowOff>24848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B16022A-F363-9D4E-3499-BE2DC25B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958" y="8205308"/>
          <a:ext cx="716443" cy="955257"/>
        </a:xfrm>
        <a:prstGeom prst="rect">
          <a:avLst/>
        </a:prstGeom>
      </xdr:spPr>
    </xdr:pic>
    <xdr:clientData/>
  </xdr:twoCellAnchor>
  <xdr:twoCellAnchor editAs="oneCell">
    <xdr:from>
      <xdr:col>3</xdr:col>
      <xdr:colOff>86371</xdr:colOff>
      <xdr:row>1</xdr:row>
      <xdr:rowOff>127407</xdr:rowOff>
    </xdr:from>
    <xdr:to>
      <xdr:col>13</xdr:col>
      <xdr:colOff>64169</xdr:colOff>
      <xdr:row>3</xdr:row>
      <xdr:rowOff>6346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6296E7C-3F63-3F49-95CF-51637A25E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24" y="143449"/>
          <a:ext cx="1549924" cy="133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65943</xdr:colOff>
      <xdr:row>67</xdr:row>
      <xdr:rowOff>58615</xdr:rowOff>
    </xdr:from>
    <xdr:to>
      <xdr:col>19</xdr:col>
      <xdr:colOff>57192</xdr:colOff>
      <xdr:row>75</xdr:row>
      <xdr:rowOff>95251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443" y="7407519"/>
          <a:ext cx="873877" cy="974481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113366</xdr:colOff>
      <xdr:row>66</xdr:row>
      <xdr:rowOff>106039</xdr:rowOff>
    </xdr:from>
    <xdr:to>
      <xdr:col>29</xdr:col>
      <xdr:colOff>47573</xdr:colOff>
      <xdr:row>75</xdr:row>
      <xdr:rowOff>1515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924" y="7337712"/>
          <a:ext cx="883096" cy="944995"/>
        </a:xfrm>
        <a:prstGeom prst="rect">
          <a:avLst/>
        </a:prstGeom>
      </xdr:spPr>
    </xdr:pic>
    <xdr:clientData/>
  </xdr:twoCellAnchor>
  <xdr:twoCellAnchor editAs="oneCell">
    <xdr:from>
      <xdr:col>35</xdr:col>
      <xdr:colOff>8282</xdr:colOff>
      <xdr:row>23</xdr:row>
      <xdr:rowOff>33131</xdr:rowOff>
    </xdr:from>
    <xdr:to>
      <xdr:col>40</xdr:col>
      <xdr:colOff>79126</xdr:colOff>
      <xdr:row>33</xdr:row>
      <xdr:rowOff>16565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9195" y="3296479"/>
          <a:ext cx="976409" cy="1142999"/>
        </a:xfrm>
        <a:prstGeom prst="rect">
          <a:avLst/>
        </a:prstGeom>
      </xdr:spPr>
    </xdr:pic>
    <xdr:clientData/>
  </xdr:twoCellAnchor>
  <xdr:twoCellAnchor editAs="oneCell">
    <xdr:from>
      <xdr:col>34</xdr:col>
      <xdr:colOff>99391</xdr:colOff>
      <xdr:row>9</xdr:row>
      <xdr:rowOff>24849</xdr:rowOff>
    </xdr:from>
    <xdr:to>
      <xdr:col>40</xdr:col>
      <xdr:colOff>55218</xdr:colOff>
      <xdr:row>19</xdr:row>
      <xdr:rowOff>28792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48" y="1764197"/>
          <a:ext cx="977348" cy="1163508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39</xdr:row>
      <xdr:rowOff>33131</xdr:rowOff>
    </xdr:from>
    <xdr:to>
      <xdr:col>40</xdr:col>
      <xdr:colOff>38653</xdr:colOff>
      <xdr:row>48</xdr:row>
      <xdr:rowOff>25154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175" y="5218044"/>
          <a:ext cx="877956" cy="1035630"/>
        </a:xfrm>
        <a:prstGeom prst="rect">
          <a:avLst/>
        </a:prstGeom>
      </xdr:spPr>
    </xdr:pic>
    <xdr:clientData/>
  </xdr:twoCellAnchor>
  <xdr:twoCellAnchor editAs="oneCell">
    <xdr:from>
      <xdr:col>35</xdr:col>
      <xdr:colOff>57980</xdr:colOff>
      <xdr:row>53</xdr:row>
      <xdr:rowOff>16566</xdr:rowOff>
    </xdr:from>
    <xdr:to>
      <xdr:col>40</xdr:col>
      <xdr:colOff>2772</xdr:colOff>
      <xdr:row>61</xdr:row>
      <xdr:rowOff>57979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8893" y="6725479"/>
          <a:ext cx="814467" cy="969064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9</xdr:row>
      <xdr:rowOff>24848</xdr:rowOff>
    </xdr:from>
    <xdr:to>
      <xdr:col>6</xdr:col>
      <xdr:colOff>174305</xdr:colOff>
      <xdr:row>19</xdr:row>
      <xdr:rowOff>24849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1764196"/>
          <a:ext cx="406218" cy="1159566"/>
        </a:xfrm>
        <a:prstGeom prst="rect">
          <a:avLst/>
        </a:prstGeom>
      </xdr:spPr>
    </xdr:pic>
    <xdr:clientData/>
  </xdr:twoCellAnchor>
  <xdr:twoCellAnchor editAs="oneCell">
    <xdr:from>
      <xdr:col>14</xdr:col>
      <xdr:colOff>66261</xdr:colOff>
      <xdr:row>9</xdr:row>
      <xdr:rowOff>16566</xdr:rowOff>
    </xdr:from>
    <xdr:to>
      <xdr:col>18</xdr:col>
      <xdr:colOff>22088</xdr:colOff>
      <xdr:row>19</xdr:row>
      <xdr:rowOff>25623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0" y="1755914"/>
          <a:ext cx="612914" cy="1168622"/>
        </a:xfrm>
        <a:prstGeom prst="rect">
          <a:avLst/>
        </a:prstGeom>
      </xdr:spPr>
    </xdr:pic>
    <xdr:clientData/>
  </xdr:twoCellAnchor>
  <xdr:twoCellAnchor editAs="oneCell">
    <xdr:from>
      <xdr:col>24</xdr:col>
      <xdr:colOff>49696</xdr:colOff>
      <xdr:row>9</xdr:row>
      <xdr:rowOff>49695</xdr:rowOff>
    </xdr:from>
    <xdr:to>
      <xdr:col>29</xdr:col>
      <xdr:colOff>4136</xdr:colOff>
      <xdr:row>19</xdr:row>
      <xdr:rowOff>16565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479" y="1789043"/>
          <a:ext cx="760171" cy="112643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9</xdr:row>
      <xdr:rowOff>33129</xdr:rowOff>
    </xdr:from>
    <xdr:to>
      <xdr:col>53</xdr:col>
      <xdr:colOff>114522</xdr:colOff>
      <xdr:row>19</xdr:row>
      <xdr:rowOff>48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914" y="1772477"/>
          <a:ext cx="1109869" cy="1126484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9</xdr:row>
      <xdr:rowOff>41413</xdr:rowOff>
    </xdr:from>
    <xdr:to>
      <xdr:col>66</xdr:col>
      <xdr:colOff>88347</xdr:colOff>
      <xdr:row>18</xdr:row>
      <xdr:rowOff>60410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1780761"/>
          <a:ext cx="1258956" cy="106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23</xdr:row>
      <xdr:rowOff>16565</xdr:rowOff>
    </xdr:from>
    <xdr:to>
      <xdr:col>6</xdr:col>
      <xdr:colOff>153680</xdr:colOff>
      <xdr:row>33</xdr:row>
      <xdr:rowOff>8282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152" y="3279913"/>
          <a:ext cx="377311" cy="1151282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33131</xdr:colOff>
      <xdr:row>23</xdr:row>
      <xdr:rowOff>24847</xdr:rowOff>
    </xdr:from>
    <xdr:to>
      <xdr:col>17</xdr:col>
      <xdr:colOff>300137</xdr:colOff>
      <xdr:row>32</xdr:row>
      <xdr:rowOff>107674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57740" y="3288195"/>
          <a:ext cx="581745" cy="1126435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66260</xdr:colOff>
      <xdr:row>23</xdr:row>
      <xdr:rowOff>41415</xdr:rowOff>
    </xdr:from>
    <xdr:to>
      <xdr:col>29</xdr:col>
      <xdr:colOff>4151</xdr:colOff>
      <xdr:row>33</xdr:row>
      <xdr:rowOff>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3" y="3304763"/>
          <a:ext cx="740641" cy="1118152"/>
        </a:xfrm>
        <a:prstGeom prst="rect">
          <a:avLst/>
        </a:prstGeom>
      </xdr:spPr>
    </xdr:pic>
    <xdr:clientData/>
  </xdr:twoCellAnchor>
  <xdr:twoCellAnchor editAs="oneCell">
    <xdr:from>
      <xdr:col>45</xdr:col>
      <xdr:colOff>107674</xdr:colOff>
      <xdr:row>23</xdr:row>
      <xdr:rowOff>16565</xdr:rowOff>
    </xdr:from>
    <xdr:to>
      <xdr:col>54</xdr:col>
      <xdr:colOff>53261</xdr:colOff>
      <xdr:row>33</xdr:row>
      <xdr:rowOff>16566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8761" y="3279913"/>
          <a:ext cx="1141043" cy="1159566"/>
        </a:xfrm>
        <a:prstGeom prst="rect">
          <a:avLst/>
        </a:prstGeom>
      </xdr:spPr>
    </xdr:pic>
    <xdr:clientData/>
  </xdr:twoCellAnchor>
  <xdr:twoCellAnchor editAs="oneCell">
    <xdr:from>
      <xdr:col>57</xdr:col>
      <xdr:colOff>33131</xdr:colOff>
      <xdr:row>23</xdr:row>
      <xdr:rowOff>24849</xdr:rowOff>
    </xdr:from>
    <xdr:to>
      <xdr:col>67</xdr:col>
      <xdr:colOff>5523</xdr:colOff>
      <xdr:row>33</xdr:row>
      <xdr:rowOff>2682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261" y="3288197"/>
          <a:ext cx="1507436" cy="1134085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39</xdr:row>
      <xdr:rowOff>16563</xdr:rowOff>
    </xdr:from>
    <xdr:to>
      <xdr:col>6</xdr:col>
      <xdr:colOff>140805</xdr:colOff>
      <xdr:row>48</xdr:row>
      <xdr:rowOff>25679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5201476"/>
          <a:ext cx="339588" cy="1052723"/>
        </a:xfrm>
        <a:prstGeom prst="rect">
          <a:avLst/>
        </a:prstGeom>
      </xdr:spPr>
    </xdr:pic>
    <xdr:clientData/>
  </xdr:twoCellAnchor>
  <xdr:twoCellAnchor editAs="oneCell">
    <xdr:from>
      <xdr:col>14</xdr:col>
      <xdr:colOff>74545</xdr:colOff>
      <xdr:row>39</xdr:row>
      <xdr:rowOff>16565</xdr:rowOff>
    </xdr:from>
    <xdr:to>
      <xdr:col>17</xdr:col>
      <xdr:colOff>289892</xdr:colOff>
      <xdr:row>47</xdr:row>
      <xdr:rowOff>107780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9154" y="5201478"/>
          <a:ext cx="530086" cy="1018867"/>
        </a:xfrm>
        <a:prstGeom prst="rect">
          <a:avLst/>
        </a:prstGeom>
      </xdr:spPr>
    </xdr:pic>
    <xdr:clientData/>
  </xdr:twoCellAnchor>
  <xdr:twoCellAnchor editAs="oneCell">
    <xdr:from>
      <xdr:col>24</xdr:col>
      <xdr:colOff>99391</xdr:colOff>
      <xdr:row>39</xdr:row>
      <xdr:rowOff>24849</xdr:rowOff>
    </xdr:from>
    <xdr:to>
      <xdr:col>29</xdr:col>
      <xdr:colOff>1981</xdr:colOff>
      <xdr:row>48</xdr:row>
      <xdr:rowOff>16568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4174" y="5209762"/>
          <a:ext cx="697720" cy="1035326"/>
        </a:xfrm>
        <a:prstGeom prst="rect">
          <a:avLst/>
        </a:prstGeom>
      </xdr:spPr>
    </xdr:pic>
    <xdr:clientData/>
  </xdr:twoCellAnchor>
  <xdr:twoCellAnchor editAs="oneCell">
    <xdr:from>
      <xdr:col>46</xdr:col>
      <xdr:colOff>8283</xdr:colOff>
      <xdr:row>39</xdr:row>
      <xdr:rowOff>41415</xdr:rowOff>
    </xdr:from>
    <xdr:to>
      <xdr:col>53</xdr:col>
      <xdr:colOff>73750</xdr:colOff>
      <xdr:row>48</xdr:row>
      <xdr:rowOff>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6" y="5226328"/>
          <a:ext cx="1029010" cy="1002195"/>
        </a:xfrm>
        <a:prstGeom prst="rect">
          <a:avLst/>
        </a:prstGeom>
      </xdr:spPr>
    </xdr:pic>
    <xdr:clientData/>
  </xdr:twoCellAnchor>
  <xdr:twoCellAnchor editAs="oneCell">
    <xdr:from>
      <xdr:col>57</xdr:col>
      <xdr:colOff>57978</xdr:colOff>
      <xdr:row>39</xdr:row>
      <xdr:rowOff>49696</xdr:rowOff>
    </xdr:from>
    <xdr:to>
      <xdr:col>66</xdr:col>
      <xdr:colOff>30369</xdr:colOff>
      <xdr:row>48</xdr:row>
      <xdr:rowOff>20436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0" y="5234609"/>
          <a:ext cx="1209261" cy="1014347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91109</xdr:colOff>
      <xdr:row>53</xdr:row>
      <xdr:rowOff>16566</xdr:rowOff>
    </xdr:from>
    <xdr:to>
      <xdr:col>53</xdr:col>
      <xdr:colOff>88349</xdr:colOff>
      <xdr:row>62</xdr:row>
      <xdr:rowOff>14511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2196" y="6725479"/>
          <a:ext cx="1076739" cy="10415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16567</xdr:rowOff>
    </xdr:from>
    <xdr:to>
      <xdr:col>6</xdr:col>
      <xdr:colOff>157370</xdr:colOff>
      <xdr:row>62</xdr:row>
      <xdr:rowOff>15122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5" y="6725480"/>
          <a:ext cx="372718" cy="1042162"/>
        </a:xfrm>
        <a:prstGeom prst="rect">
          <a:avLst/>
        </a:prstGeom>
      </xdr:spPr>
    </xdr:pic>
    <xdr:clientData/>
  </xdr:twoCellAnchor>
  <xdr:twoCellAnchor editAs="oneCell">
    <xdr:from>
      <xdr:col>14</xdr:col>
      <xdr:colOff>66259</xdr:colOff>
      <xdr:row>53</xdr:row>
      <xdr:rowOff>24846</xdr:rowOff>
    </xdr:from>
    <xdr:to>
      <xdr:col>17</xdr:col>
      <xdr:colOff>281608</xdr:colOff>
      <xdr:row>62</xdr:row>
      <xdr:rowOff>13516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68" y="6733759"/>
          <a:ext cx="530088" cy="1032277"/>
        </a:xfrm>
        <a:prstGeom prst="rect">
          <a:avLst/>
        </a:prstGeom>
      </xdr:spPr>
    </xdr:pic>
    <xdr:clientData/>
  </xdr:twoCellAnchor>
  <xdr:twoCellAnchor editAs="oneCell">
    <xdr:from>
      <xdr:col>24</xdr:col>
      <xdr:colOff>107673</xdr:colOff>
      <xdr:row>53</xdr:row>
      <xdr:rowOff>16565</xdr:rowOff>
    </xdr:from>
    <xdr:to>
      <xdr:col>29</xdr:col>
      <xdr:colOff>3314</xdr:colOff>
      <xdr:row>62</xdr:row>
      <xdr:rowOff>21325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2456" y="6725478"/>
          <a:ext cx="712305" cy="1048367"/>
        </a:xfrm>
        <a:prstGeom prst="rect">
          <a:avLst/>
        </a:prstGeom>
      </xdr:spPr>
    </xdr:pic>
    <xdr:clientData/>
  </xdr:twoCellAnchor>
  <xdr:twoCellAnchor editAs="oneCell">
    <xdr:from>
      <xdr:col>57</xdr:col>
      <xdr:colOff>74544</xdr:colOff>
      <xdr:row>53</xdr:row>
      <xdr:rowOff>16566</xdr:rowOff>
    </xdr:from>
    <xdr:to>
      <xdr:col>66</xdr:col>
      <xdr:colOff>65696</xdr:colOff>
      <xdr:row>61</xdr:row>
      <xdr:rowOff>99392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6" y="6725479"/>
          <a:ext cx="1211456" cy="1010477"/>
        </a:xfrm>
        <a:prstGeom prst="rect">
          <a:avLst/>
        </a:prstGeom>
      </xdr:spPr>
    </xdr:pic>
    <xdr:clientData/>
  </xdr:twoCellAnchor>
  <xdr:twoCellAnchor editAs="oneCell">
    <xdr:from>
      <xdr:col>3</xdr:col>
      <xdr:colOff>49699</xdr:colOff>
      <xdr:row>67</xdr:row>
      <xdr:rowOff>24849</xdr:rowOff>
    </xdr:from>
    <xdr:to>
      <xdr:col>8</xdr:col>
      <xdr:colOff>87311</xdr:colOff>
      <xdr:row>71</xdr:row>
      <xdr:rowOff>91110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177" y="8257762"/>
          <a:ext cx="733351" cy="530086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72</xdr:row>
      <xdr:rowOff>33132</xdr:rowOff>
    </xdr:from>
    <xdr:to>
      <xdr:col>9</xdr:col>
      <xdr:colOff>74543</xdr:colOff>
      <xdr:row>77</xdr:row>
      <xdr:rowOff>1999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8845828"/>
          <a:ext cx="753717" cy="545336"/>
        </a:xfrm>
        <a:prstGeom prst="rect">
          <a:avLst/>
        </a:prstGeom>
      </xdr:spPr>
    </xdr:pic>
    <xdr:clientData/>
  </xdr:twoCellAnchor>
  <xdr:twoCellAnchor editAs="oneCell">
    <xdr:from>
      <xdr:col>37</xdr:col>
      <xdr:colOff>49697</xdr:colOff>
      <xdr:row>66</xdr:row>
      <xdr:rowOff>66260</xdr:rowOff>
    </xdr:from>
    <xdr:to>
      <xdr:col>40</xdr:col>
      <xdr:colOff>41139</xdr:colOff>
      <xdr:row>77</xdr:row>
      <xdr:rowOff>3313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42523" y="8183217"/>
          <a:ext cx="665094" cy="1209261"/>
        </a:xfrm>
        <a:prstGeom prst="rect">
          <a:avLst/>
        </a:prstGeom>
      </xdr:spPr>
    </xdr:pic>
    <xdr:clientData/>
  </xdr:twoCellAnchor>
  <xdr:twoCellAnchor editAs="oneCell">
    <xdr:from>
      <xdr:col>48</xdr:col>
      <xdr:colOff>49695</xdr:colOff>
      <xdr:row>66</xdr:row>
      <xdr:rowOff>91107</xdr:rowOff>
    </xdr:from>
    <xdr:to>
      <xdr:col>52</xdr:col>
      <xdr:colOff>67323</xdr:colOff>
      <xdr:row>76</xdr:row>
      <xdr:rowOff>107673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8652" y="8208064"/>
          <a:ext cx="633302" cy="117613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49697</xdr:colOff>
      <xdr:row>67</xdr:row>
      <xdr:rowOff>24850</xdr:rowOff>
    </xdr:from>
    <xdr:to>
      <xdr:col>66</xdr:col>
      <xdr:colOff>8103</xdr:colOff>
      <xdr:row>76</xdr:row>
      <xdr:rowOff>107674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03675" y="8257763"/>
          <a:ext cx="1079320" cy="1126433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81</xdr:row>
      <xdr:rowOff>57978</xdr:rowOff>
    </xdr:from>
    <xdr:to>
      <xdr:col>9</xdr:col>
      <xdr:colOff>99391</xdr:colOff>
      <xdr:row>88</xdr:row>
      <xdr:rowOff>76858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109" y="9814891"/>
          <a:ext cx="1068456" cy="8305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82</xdr:row>
      <xdr:rowOff>107674</xdr:rowOff>
    </xdr:from>
    <xdr:to>
      <xdr:col>20</xdr:col>
      <xdr:colOff>30449</xdr:colOff>
      <xdr:row>88</xdr:row>
      <xdr:rowOff>8282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9980544"/>
          <a:ext cx="1109948" cy="59634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24849</xdr:colOff>
      <xdr:row>82</xdr:row>
      <xdr:rowOff>74544</xdr:rowOff>
    </xdr:from>
    <xdr:to>
      <xdr:col>30</xdr:col>
      <xdr:colOff>62978</xdr:colOff>
      <xdr:row>87</xdr:row>
      <xdr:rowOff>74541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5" y="9947414"/>
          <a:ext cx="1092782" cy="579781"/>
        </a:xfrm>
        <a:prstGeom prst="rect">
          <a:avLst/>
        </a:prstGeom>
      </xdr:spPr>
    </xdr:pic>
    <xdr:clientData/>
  </xdr:twoCellAnchor>
  <xdr:twoCellAnchor editAs="oneCell">
    <xdr:from>
      <xdr:col>36</xdr:col>
      <xdr:colOff>74543</xdr:colOff>
      <xdr:row>81</xdr:row>
      <xdr:rowOff>8285</xdr:rowOff>
    </xdr:from>
    <xdr:to>
      <xdr:col>39</xdr:col>
      <xdr:colOff>307644</xdr:colOff>
      <xdr:row>90</xdr:row>
      <xdr:rowOff>143566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51413" y="9765198"/>
          <a:ext cx="547839" cy="1184411"/>
        </a:xfrm>
        <a:prstGeom prst="rect">
          <a:avLst/>
        </a:prstGeom>
      </xdr:spPr>
    </xdr:pic>
    <xdr:clientData/>
  </xdr:twoCellAnchor>
  <xdr:twoCellAnchor editAs="oneCell">
    <xdr:from>
      <xdr:col>46</xdr:col>
      <xdr:colOff>8282</xdr:colOff>
      <xdr:row>81</xdr:row>
      <xdr:rowOff>33130</xdr:rowOff>
    </xdr:from>
    <xdr:to>
      <xdr:col>53</xdr:col>
      <xdr:colOff>96631</xdr:colOff>
      <xdr:row>90</xdr:row>
      <xdr:rowOff>116122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5" y="9790043"/>
          <a:ext cx="1051892" cy="1132122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24848</xdr:colOff>
      <xdr:row>81</xdr:row>
      <xdr:rowOff>16566</xdr:rowOff>
    </xdr:from>
    <xdr:to>
      <xdr:col>66</xdr:col>
      <xdr:colOff>88347</xdr:colOff>
      <xdr:row>90</xdr:row>
      <xdr:rowOff>121042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9773479"/>
          <a:ext cx="1167847" cy="1153606"/>
        </a:xfrm>
        <a:prstGeom prst="rect">
          <a:avLst/>
        </a:prstGeom>
      </xdr:spPr>
    </xdr:pic>
    <xdr:clientData/>
  </xdr:twoCellAnchor>
  <xdr:twoCellAnchor editAs="oneCell">
    <xdr:from>
      <xdr:col>2</xdr:col>
      <xdr:colOff>1215</xdr:colOff>
      <xdr:row>1</xdr:row>
      <xdr:rowOff>88347</xdr:rowOff>
    </xdr:from>
    <xdr:to>
      <xdr:col>12</xdr:col>
      <xdr:colOff>53007</xdr:colOff>
      <xdr:row>3</xdr:row>
      <xdr:rowOff>60487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B67B43E-9291-9044-A7B5-5B4E3EA10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19" y="104912"/>
          <a:ext cx="1459836" cy="133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8</xdr:row>
      <xdr:rowOff>33132</xdr:rowOff>
    </xdr:from>
    <xdr:to>
      <xdr:col>7</xdr:col>
      <xdr:colOff>49697</xdr:colOff>
      <xdr:row>14</xdr:row>
      <xdr:rowOff>54741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548849"/>
          <a:ext cx="960782" cy="717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8</xdr:row>
      <xdr:rowOff>0</xdr:rowOff>
    </xdr:from>
    <xdr:to>
      <xdr:col>17</xdr:col>
      <xdr:colOff>66261</xdr:colOff>
      <xdr:row>14</xdr:row>
      <xdr:rowOff>55465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8153" y="1515717"/>
          <a:ext cx="977348" cy="751206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41412</xdr:colOff>
      <xdr:row>8</xdr:row>
      <xdr:rowOff>8283</xdr:rowOff>
    </xdr:from>
    <xdr:to>
      <xdr:col>27</xdr:col>
      <xdr:colOff>17855</xdr:colOff>
      <xdr:row>14</xdr:row>
      <xdr:rowOff>74542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5" y="1524000"/>
          <a:ext cx="992444" cy="762000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8</xdr:row>
      <xdr:rowOff>41414</xdr:rowOff>
    </xdr:from>
    <xdr:to>
      <xdr:col>37</xdr:col>
      <xdr:colOff>2784</xdr:colOff>
      <xdr:row>14</xdr:row>
      <xdr:rowOff>107673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1557131"/>
          <a:ext cx="980130" cy="762000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41415</xdr:colOff>
      <xdr:row>8</xdr:row>
      <xdr:rowOff>91109</xdr:rowOff>
    </xdr:from>
    <xdr:to>
      <xdr:col>46</xdr:col>
      <xdr:colOff>108029</xdr:colOff>
      <xdr:row>14</xdr:row>
      <xdr:rowOff>66259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6" y="1606826"/>
          <a:ext cx="961135" cy="670891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33131</xdr:colOff>
      <xdr:row>8</xdr:row>
      <xdr:rowOff>66262</xdr:rowOff>
    </xdr:from>
    <xdr:to>
      <xdr:col>55</xdr:col>
      <xdr:colOff>579783</xdr:colOff>
      <xdr:row>14</xdr:row>
      <xdr:rowOff>88265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6" y="1581979"/>
          <a:ext cx="944217" cy="71774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33129</xdr:colOff>
      <xdr:row>8</xdr:row>
      <xdr:rowOff>82827</xdr:rowOff>
    </xdr:from>
    <xdr:to>
      <xdr:col>65</xdr:col>
      <xdr:colOff>597968</xdr:colOff>
      <xdr:row>14</xdr:row>
      <xdr:rowOff>66260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8" y="1598544"/>
          <a:ext cx="962404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24</xdr:row>
      <xdr:rowOff>33129</xdr:rowOff>
    </xdr:from>
    <xdr:to>
      <xdr:col>7</xdr:col>
      <xdr:colOff>57979</xdr:colOff>
      <xdr:row>30</xdr:row>
      <xdr:rowOff>53883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977" y="3313042"/>
          <a:ext cx="977349" cy="7413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24849</xdr:colOff>
      <xdr:row>24</xdr:row>
      <xdr:rowOff>49697</xdr:rowOff>
    </xdr:from>
    <xdr:to>
      <xdr:col>17</xdr:col>
      <xdr:colOff>61446</xdr:colOff>
      <xdr:row>29</xdr:row>
      <xdr:rowOff>91110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8" y="3329610"/>
          <a:ext cx="989098" cy="64604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49698</xdr:colOff>
      <xdr:row>24</xdr:row>
      <xdr:rowOff>66262</xdr:rowOff>
    </xdr:from>
    <xdr:to>
      <xdr:col>27</xdr:col>
      <xdr:colOff>8783</xdr:colOff>
      <xdr:row>29</xdr:row>
      <xdr:rowOff>99391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11" y="3346175"/>
          <a:ext cx="975086" cy="637759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24</xdr:row>
      <xdr:rowOff>107675</xdr:rowOff>
    </xdr:from>
    <xdr:to>
      <xdr:col>37</xdr:col>
      <xdr:colOff>896</xdr:colOff>
      <xdr:row>30</xdr:row>
      <xdr:rowOff>16566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3" y="3387588"/>
          <a:ext cx="978243" cy="629478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33131</xdr:colOff>
      <xdr:row>24</xdr:row>
      <xdr:rowOff>91110</xdr:rowOff>
    </xdr:from>
    <xdr:to>
      <xdr:col>46</xdr:col>
      <xdr:colOff>118619</xdr:colOff>
      <xdr:row>30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2" y="3371023"/>
          <a:ext cx="980009" cy="629477"/>
        </a:xfrm>
        <a:prstGeom prst="rect">
          <a:avLst/>
        </a:prstGeom>
      </xdr:spPr>
    </xdr:pic>
    <xdr:clientData/>
  </xdr:twoCellAnchor>
  <xdr:twoCellAnchor editAs="oneCell">
    <xdr:from>
      <xdr:col>50</xdr:col>
      <xdr:colOff>16564</xdr:colOff>
      <xdr:row>24</xdr:row>
      <xdr:rowOff>107674</xdr:rowOff>
    </xdr:from>
    <xdr:to>
      <xdr:col>56</xdr:col>
      <xdr:colOff>30370</xdr:colOff>
      <xdr:row>30</xdr:row>
      <xdr:rowOff>21125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7434" y="3387587"/>
          <a:ext cx="1035327" cy="634038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33131</xdr:colOff>
      <xdr:row>24</xdr:row>
      <xdr:rowOff>49696</xdr:rowOff>
    </xdr:from>
    <xdr:to>
      <xdr:col>65</xdr:col>
      <xdr:colOff>604630</xdr:colOff>
      <xdr:row>30</xdr:row>
      <xdr:rowOff>7454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40" y="3329609"/>
          <a:ext cx="969064" cy="678345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39</xdr:row>
      <xdr:rowOff>2</xdr:rowOff>
    </xdr:from>
    <xdr:to>
      <xdr:col>7</xdr:col>
      <xdr:colOff>60173</xdr:colOff>
      <xdr:row>44</xdr:row>
      <xdr:rowOff>107673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9" y="4944719"/>
          <a:ext cx="1012671" cy="712302"/>
        </a:xfrm>
        <a:prstGeom prst="rect">
          <a:avLst/>
        </a:prstGeom>
      </xdr:spPr>
    </xdr:pic>
    <xdr:clientData/>
  </xdr:twoCellAnchor>
  <xdr:twoCellAnchor editAs="oneCell">
    <xdr:from>
      <xdr:col>11</xdr:col>
      <xdr:colOff>33130</xdr:colOff>
      <xdr:row>38</xdr:row>
      <xdr:rowOff>82825</xdr:rowOff>
    </xdr:from>
    <xdr:to>
      <xdr:col>17</xdr:col>
      <xdr:colOff>69673</xdr:colOff>
      <xdr:row>45</xdr:row>
      <xdr:rowOff>16565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869" y="4911586"/>
          <a:ext cx="989044" cy="77028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38</xdr:row>
      <xdr:rowOff>107675</xdr:rowOff>
    </xdr:from>
    <xdr:to>
      <xdr:col>26</xdr:col>
      <xdr:colOff>181408</xdr:colOff>
      <xdr:row>45</xdr:row>
      <xdr:rowOff>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9" y="4936436"/>
          <a:ext cx="959974" cy="728869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57979</xdr:colOff>
      <xdr:row>39</xdr:row>
      <xdr:rowOff>33132</xdr:rowOff>
    </xdr:from>
    <xdr:to>
      <xdr:col>36</xdr:col>
      <xdr:colOff>128137</xdr:colOff>
      <xdr:row>45</xdr:row>
      <xdr:rowOff>57979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6" y="4977849"/>
          <a:ext cx="964680" cy="745434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41414</xdr:colOff>
      <xdr:row>39</xdr:row>
      <xdr:rowOff>49696</xdr:rowOff>
    </xdr:from>
    <xdr:to>
      <xdr:col>46</xdr:col>
      <xdr:colOff>124241</xdr:colOff>
      <xdr:row>45</xdr:row>
      <xdr:rowOff>75848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5" y="4994413"/>
          <a:ext cx="977348" cy="746739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33130</xdr:colOff>
      <xdr:row>39</xdr:row>
      <xdr:rowOff>49697</xdr:rowOff>
    </xdr:from>
    <xdr:to>
      <xdr:col>56</xdr:col>
      <xdr:colOff>22295</xdr:colOff>
      <xdr:row>45</xdr:row>
      <xdr:rowOff>33131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5" y="4994414"/>
          <a:ext cx="994121" cy="704021"/>
        </a:xfrm>
        <a:prstGeom prst="rect">
          <a:avLst/>
        </a:prstGeom>
      </xdr:spPr>
    </xdr:pic>
    <xdr:clientData/>
  </xdr:twoCellAnchor>
  <xdr:twoCellAnchor editAs="oneCell">
    <xdr:from>
      <xdr:col>61</xdr:col>
      <xdr:colOff>24848</xdr:colOff>
      <xdr:row>39</xdr:row>
      <xdr:rowOff>33131</xdr:rowOff>
    </xdr:from>
    <xdr:to>
      <xdr:col>65</xdr:col>
      <xdr:colOff>620022</xdr:colOff>
      <xdr:row>45</xdr:row>
      <xdr:rowOff>24848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2457" y="4977848"/>
          <a:ext cx="992739" cy="7123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53</xdr:row>
      <xdr:rowOff>99391</xdr:rowOff>
    </xdr:from>
    <xdr:to>
      <xdr:col>7</xdr:col>
      <xdr:colOff>99393</xdr:colOff>
      <xdr:row>59</xdr:row>
      <xdr:rowOff>17334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6592956"/>
          <a:ext cx="1010479" cy="613681"/>
        </a:xfrm>
        <a:prstGeom prst="rect">
          <a:avLst/>
        </a:prstGeom>
      </xdr:spPr>
    </xdr:pic>
    <xdr:clientData/>
  </xdr:twoCellAnchor>
  <xdr:twoCellAnchor editAs="oneCell">
    <xdr:from>
      <xdr:col>33</xdr:col>
      <xdr:colOff>8282</xdr:colOff>
      <xdr:row>53</xdr:row>
      <xdr:rowOff>107675</xdr:rowOff>
    </xdr:from>
    <xdr:to>
      <xdr:col>35</xdr:col>
      <xdr:colOff>488673</xdr:colOff>
      <xdr:row>60</xdr:row>
      <xdr:rowOff>41413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2" y="6601240"/>
          <a:ext cx="662608" cy="745434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99393</xdr:colOff>
      <xdr:row>54</xdr:row>
      <xdr:rowOff>1</xdr:rowOff>
    </xdr:from>
    <xdr:to>
      <xdr:col>45</xdr:col>
      <xdr:colOff>455542</xdr:colOff>
      <xdr:row>60</xdr:row>
      <xdr:rowOff>24406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10" y="6609523"/>
          <a:ext cx="654325" cy="720145"/>
        </a:xfrm>
        <a:prstGeom prst="rect">
          <a:avLst/>
        </a:prstGeom>
      </xdr:spPr>
    </xdr:pic>
    <xdr:clientData/>
  </xdr:twoCellAnchor>
  <xdr:twoCellAnchor editAs="oneCell">
    <xdr:from>
      <xdr:col>51</xdr:col>
      <xdr:colOff>107674</xdr:colOff>
      <xdr:row>54</xdr:row>
      <xdr:rowOff>8284</xdr:rowOff>
    </xdr:from>
    <xdr:to>
      <xdr:col>55</xdr:col>
      <xdr:colOff>546652</xdr:colOff>
      <xdr:row>60</xdr:row>
      <xdr:rowOff>76026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5109" y="6617806"/>
          <a:ext cx="836543" cy="763482"/>
        </a:xfrm>
        <a:prstGeom prst="rect">
          <a:avLst/>
        </a:prstGeom>
      </xdr:spPr>
    </xdr:pic>
    <xdr:clientData/>
  </xdr:twoCellAnchor>
  <xdr:twoCellAnchor editAs="oneCell">
    <xdr:from>
      <xdr:col>61</xdr:col>
      <xdr:colOff>99391</xdr:colOff>
      <xdr:row>54</xdr:row>
      <xdr:rowOff>49694</xdr:rowOff>
    </xdr:from>
    <xdr:to>
      <xdr:col>65</xdr:col>
      <xdr:colOff>604630</xdr:colOff>
      <xdr:row>60</xdr:row>
      <xdr:rowOff>83881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6659216"/>
          <a:ext cx="902804" cy="729927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68</xdr:row>
      <xdr:rowOff>91109</xdr:rowOff>
    </xdr:from>
    <xdr:to>
      <xdr:col>7</xdr:col>
      <xdr:colOff>29728</xdr:colOff>
      <xdr:row>75</xdr:row>
      <xdr:rowOff>57979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827" y="8224631"/>
          <a:ext cx="924248" cy="778565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68</xdr:row>
      <xdr:rowOff>82827</xdr:rowOff>
    </xdr:from>
    <xdr:to>
      <xdr:col>17</xdr:col>
      <xdr:colOff>70400</xdr:colOff>
      <xdr:row>75</xdr:row>
      <xdr:rowOff>82826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8216349"/>
          <a:ext cx="956639" cy="811694"/>
        </a:xfrm>
        <a:prstGeom prst="rect">
          <a:avLst/>
        </a:prstGeom>
      </xdr:spPr>
    </xdr:pic>
    <xdr:clientData/>
  </xdr:twoCellAnchor>
  <xdr:twoCellAnchor editAs="oneCell">
    <xdr:from>
      <xdr:col>21</xdr:col>
      <xdr:colOff>16564</xdr:colOff>
      <xdr:row>69</xdr:row>
      <xdr:rowOff>24851</xdr:rowOff>
    </xdr:from>
    <xdr:to>
      <xdr:col>27</xdr:col>
      <xdr:colOff>1950</xdr:colOff>
      <xdr:row>75</xdr:row>
      <xdr:rowOff>33132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3477" y="8274329"/>
          <a:ext cx="1001387" cy="704020"/>
        </a:xfrm>
        <a:prstGeom prst="rect">
          <a:avLst/>
        </a:prstGeom>
      </xdr:spPr>
    </xdr:pic>
    <xdr:clientData/>
  </xdr:twoCellAnchor>
  <xdr:twoCellAnchor editAs="oneCell">
    <xdr:from>
      <xdr:col>31</xdr:col>
      <xdr:colOff>41413</xdr:colOff>
      <xdr:row>69</xdr:row>
      <xdr:rowOff>82826</xdr:rowOff>
    </xdr:from>
    <xdr:to>
      <xdr:col>36</xdr:col>
      <xdr:colOff>113242</xdr:colOff>
      <xdr:row>76</xdr:row>
      <xdr:rowOff>8283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332304"/>
          <a:ext cx="966351" cy="737153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69</xdr:row>
      <xdr:rowOff>66262</xdr:rowOff>
    </xdr:from>
    <xdr:to>
      <xdr:col>47</xdr:col>
      <xdr:colOff>0</xdr:colOff>
      <xdr:row>75</xdr:row>
      <xdr:rowOff>75701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1" y="8315740"/>
          <a:ext cx="993913" cy="705178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69</xdr:row>
      <xdr:rowOff>107674</xdr:rowOff>
    </xdr:from>
    <xdr:to>
      <xdr:col>56</xdr:col>
      <xdr:colOff>5523</xdr:colOff>
      <xdr:row>72</xdr:row>
      <xdr:rowOff>89091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8357152"/>
          <a:ext cx="944218" cy="329287"/>
        </a:xfrm>
        <a:prstGeom prst="rect">
          <a:avLst/>
        </a:prstGeom>
      </xdr:spPr>
    </xdr:pic>
    <xdr:clientData/>
  </xdr:twoCellAnchor>
  <xdr:twoCellAnchor editAs="oneCell">
    <xdr:from>
      <xdr:col>61</xdr:col>
      <xdr:colOff>91108</xdr:colOff>
      <xdr:row>70</xdr:row>
      <xdr:rowOff>33130</xdr:rowOff>
    </xdr:from>
    <xdr:to>
      <xdr:col>65</xdr:col>
      <xdr:colOff>588065</xdr:colOff>
      <xdr:row>73</xdr:row>
      <xdr:rowOff>48182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8717" y="8398565"/>
          <a:ext cx="894522" cy="36292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83</xdr:row>
      <xdr:rowOff>99392</xdr:rowOff>
    </xdr:from>
    <xdr:to>
      <xdr:col>7</xdr:col>
      <xdr:colOff>66642</xdr:colOff>
      <xdr:row>90</xdr:row>
      <xdr:rowOff>19327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4" y="9864588"/>
          <a:ext cx="969445" cy="753717"/>
        </a:xfrm>
        <a:prstGeom prst="rect">
          <a:avLst/>
        </a:prstGeom>
      </xdr:spPr>
    </xdr:pic>
    <xdr:clientData/>
  </xdr:twoCellAnchor>
  <xdr:twoCellAnchor editAs="oneCell">
    <xdr:from>
      <xdr:col>11</xdr:col>
      <xdr:colOff>49697</xdr:colOff>
      <xdr:row>84</xdr:row>
      <xdr:rowOff>8283</xdr:rowOff>
    </xdr:from>
    <xdr:to>
      <xdr:col>17</xdr:col>
      <xdr:colOff>74543</xdr:colOff>
      <xdr:row>88</xdr:row>
      <xdr:rowOff>65025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436" y="9889435"/>
          <a:ext cx="977347" cy="542655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41414</xdr:colOff>
      <xdr:row>84</xdr:row>
      <xdr:rowOff>49695</xdr:rowOff>
    </xdr:from>
    <xdr:to>
      <xdr:col>26</xdr:col>
      <xdr:colOff>173934</xdr:colOff>
      <xdr:row>88</xdr:row>
      <xdr:rowOff>97235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7" y="9930847"/>
          <a:ext cx="960782" cy="538975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83</xdr:row>
      <xdr:rowOff>57979</xdr:rowOff>
    </xdr:from>
    <xdr:to>
      <xdr:col>36</xdr:col>
      <xdr:colOff>108018</xdr:colOff>
      <xdr:row>90</xdr:row>
      <xdr:rowOff>69022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9823175"/>
          <a:ext cx="944562" cy="844825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74543</xdr:colOff>
      <xdr:row>83</xdr:row>
      <xdr:rowOff>24849</xdr:rowOff>
    </xdr:from>
    <xdr:to>
      <xdr:col>47</xdr:col>
      <xdr:colOff>10326</xdr:colOff>
      <xdr:row>89</xdr:row>
      <xdr:rowOff>35891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31804" y="9790045"/>
          <a:ext cx="962826" cy="728868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41413</xdr:colOff>
      <xdr:row>85</xdr:row>
      <xdr:rowOff>8283</xdr:rowOff>
    </xdr:from>
    <xdr:to>
      <xdr:col>56</xdr:col>
      <xdr:colOff>33684</xdr:colOff>
      <xdr:row>87</xdr:row>
      <xdr:rowOff>96632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8" y="10005392"/>
          <a:ext cx="997227" cy="34787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16566</xdr:colOff>
      <xdr:row>82</xdr:row>
      <xdr:rowOff>57979</xdr:rowOff>
    </xdr:from>
    <xdr:to>
      <xdr:col>65</xdr:col>
      <xdr:colOff>579783</xdr:colOff>
      <xdr:row>85</xdr:row>
      <xdr:rowOff>98476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0131" y="9707218"/>
          <a:ext cx="844826" cy="388368"/>
        </a:xfrm>
        <a:prstGeom prst="rect">
          <a:avLst/>
        </a:prstGeom>
      </xdr:spPr>
    </xdr:pic>
    <xdr:clientData/>
  </xdr:twoCellAnchor>
  <xdr:twoCellAnchor editAs="oneCell">
    <xdr:from>
      <xdr:col>62</xdr:col>
      <xdr:colOff>41413</xdr:colOff>
      <xdr:row>89</xdr:row>
      <xdr:rowOff>0</xdr:rowOff>
    </xdr:from>
    <xdr:to>
      <xdr:col>65</xdr:col>
      <xdr:colOff>455543</xdr:colOff>
      <xdr:row>92</xdr:row>
      <xdr:rowOff>98448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978" y="10460935"/>
          <a:ext cx="712304" cy="446317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41413</xdr:colOff>
      <xdr:row>53</xdr:row>
      <xdr:rowOff>107674</xdr:rowOff>
    </xdr:from>
    <xdr:to>
      <xdr:col>17</xdr:col>
      <xdr:colOff>124239</xdr:colOff>
      <xdr:row>59</xdr:row>
      <xdr:rowOff>66586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8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152" y="6601239"/>
          <a:ext cx="1035327" cy="654650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24849</xdr:colOff>
      <xdr:row>53</xdr:row>
      <xdr:rowOff>49696</xdr:rowOff>
    </xdr:from>
    <xdr:to>
      <xdr:col>28</xdr:col>
      <xdr:colOff>11044</xdr:colOff>
      <xdr:row>59</xdr:row>
      <xdr:rowOff>56954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9740" y="6543261"/>
          <a:ext cx="1118152" cy="702996"/>
        </a:xfrm>
        <a:prstGeom prst="rect">
          <a:avLst/>
        </a:prstGeom>
      </xdr:spPr>
    </xdr:pic>
    <xdr:clientData/>
  </xdr:twoCellAnchor>
  <xdr:twoCellAnchor editAs="oneCell">
    <xdr:from>
      <xdr:col>3</xdr:col>
      <xdr:colOff>1289</xdr:colOff>
      <xdr:row>0</xdr:row>
      <xdr:rowOff>0</xdr:rowOff>
    </xdr:from>
    <xdr:to>
      <xdr:col>15</xdr:col>
      <xdr:colOff>95250</xdr:colOff>
      <xdr:row>0</xdr:row>
      <xdr:rowOff>1497345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48C485-7147-B14B-A5AA-76004A5F5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03" y="0"/>
          <a:ext cx="1635279" cy="149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6</xdr:row>
      <xdr:rowOff>16567</xdr:rowOff>
    </xdr:from>
    <xdr:to>
      <xdr:col>6</xdr:col>
      <xdr:colOff>73986</xdr:colOff>
      <xdr:row>14</xdr:row>
      <xdr:rowOff>49696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300371"/>
          <a:ext cx="929854" cy="969064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6</xdr:row>
      <xdr:rowOff>24847</xdr:rowOff>
    </xdr:from>
    <xdr:to>
      <xdr:col>16</xdr:col>
      <xdr:colOff>50342</xdr:colOff>
      <xdr:row>14</xdr:row>
      <xdr:rowOff>99391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1308651"/>
          <a:ext cx="944863" cy="1010479"/>
        </a:xfrm>
        <a:prstGeom prst="rect">
          <a:avLst/>
        </a:prstGeom>
      </xdr:spPr>
    </xdr:pic>
    <xdr:clientData/>
  </xdr:twoCellAnchor>
  <xdr:twoCellAnchor editAs="oneCell">
    <xdr:from>
      <xdr:col>21</xdr:col>
      <xdr:colOff>115956</xdr:colOff>
      <xdr:row>6</xdr:row>
      <xdr:rowOff>8284</xdr:rowOff>
    </xdr:from>
    <xdr:to>
      <xdr:col>26</xdr:col>
      <xdr:colOff>226</xdr:colOff>
      <xdr:row>15</xdr:row>
      <xdr:rowOff>24848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52869" y="1292088"/>
          <a:ext cx="878183" cy="1068456"/>
        </a:xfrm>
        <a:prstGeom prst="rect">
          <a:avLst/>
        </a:prstGeom>
      </xdr:spPr>
    </xdr:pic>
    <xdr:clientData/>
  </xdr:twoCellAnchor>
  <xdr:twoCellAnchor editAs="oneCell">
    <xdr:from>
      <xdr:col>32</xdr:col>
      <xdr:colOff>1</xdr:colOff>
      <xdr:row>6</xdr:row>
      <xdr:rowOff>33132</xdr:rowOff>
    </xdr:from>
    <xdr:to>
      <xdr:col>36</xdr:col>
      <xdr:colOff>3491</xdr:colOff>
      <xdr:row>15</xdr:row>
      <xdr:rowOff>41413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4" y="1316936"/>
          <a:ext cx="881447" cy="1060173"/>
        </a:xfrm>
        <a:prstGeom prst="rect">
          <a:avLst/>
        </a:prstGeom>
      </xdr:spPr>
    </xdr:pic>
    <xdr:clientData/>
  </xdr:twoCellAnchor>
  <xdr:twoCellAnchor editAs="oneCell">
    <xdr:from>
      <xdr:col>41</xdr:col>
      <xdr:colOff>57978</xdr:colOff>
      <xdr:row>6</xdr:row>
      <xdr:rowOff>49697</xdr:rowOff>
    </xdr:from>
    <xdr:to>
      <xdr:col>45</xdr:col>
      <xdr:colOff>610766</xdr:colOff>
      <xdr:row>14</xdr:row>
      <xdr:rowOff>107674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5239" y="1333501"/>
          <a:ext cx="950353" cy="993912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49695</xdr:colOff>
      <xdr:row>6</xdr:row>
      <xdr:rowOff>91110</xdr:rowOff>
    </xdr:from>
    <xdr:to>
      <xdr:col>56</xdr:col>
      <xdr:colOff>82826</xdr:colOff>
      <xdr:row>15</xdr:row>
      <xdr:rowOff>44573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130" y="1374914"/>
          <a:ext cx="960783" cy="1005355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49695</xdr:colOff>
      <xdr:row>6</xdr:row>
      <xdr:rowOff>99392</xdr:rowOff>
    </xdr:from>
    <xdr:to>
      <xdr:col>66</xdr:col>
      <xdr:colOff>10255</xdr:colOff>
      <xdr:row>15</xdr:row>
      <xdr:rowOff>49695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4" y="1383196"/>
          <a:ext cx="954472" cy="1002195"/>
        </a:xfrm>
        <a:prstGeom prst="rect">
          <a:avLst/>
        </a:prstGeom>
      </xdr:spPr>
    </xdr:pic>
    <xdr:clientData/>
  </xdr:twoCellAnchor>
  <xdr:twoCellAnchor editAs="oneCell">
    <xdr:from>
      <xdr:col>2</xdr:col>
      <xdr:colOff>41414</xdr:colOff>
      <xdr:row>20</xdr:row>
      <xdr:rowOff>8282</xdr:rowOff>
    </xdr:from>
    <xdr:to>
      <xdr:col>6</xdr:col>
      <xdr:colOff>36201</xdr:colOff>
      <xdr:row>28</xdr:row>
      <xdr:rowOff>49694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3936" y="2824369"/>
          <a:ext cx="784395" cy="977348"/>
        </a:xfrm>
        <a:prstGeom prst="rect">
          <a:avLst/>
        </a:prstGeom>
      </xdr:spPr>
    </xdr:pic>
    <xdr:clientData/>
  </xdr:twoCellAnchor>
  <xdr:twoCellAnchor editAs="oneCell">
    <xdr:from>
      <xdr:col>11</xdr:col>
      <xdr:colOff>99393</xdr:colOff>
      <xdr:row>20</xdr:row>
      <xdr:rowOff>8284</xdr:rowOff>
    </xdr:from>
    <xdr:to>
      <xdr:col>15</xdr:col>
      <xdr:colOff>488487</xdr:colOff>
      <xdr:row>28</xdr:row>
      <xdr:rowOff>57978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6132" y="2824371"/>
          <a:ext cx="803225" cy="985630"/>
        </a:xfrm>
        <a:prstGeom prst="rect">
          <a:avLst/>
        </a:prstGeom>
      </xdr:spPr>
    </xdr:pic>
    <xdr:clientData/>
  </xdr:twoCellAnchor>
  <xdr:twoCellAnchor editAs="oneCell">
    <xdr:from>
      <xdr:col>21</xdr:col>
      <xdr:colOff>99391</xdr:colOff>
      <xdr:row>20</xdr:row>
      <xdr:rowOff>16565</xdr:rowOff>
    </xdr:from>
    <xdr:to>
      <xdr:col>25</xdr:col>
      <xdr:colOff>546653</xdr:colOff>
      <xdr:row>28</xdr:row>
      <xdr:rowOff>106191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04" y="2832652"/>
          <a:ext cx="844827" cy="1025562"/>
        </a:xfrm>
        <a:prstGeom prst="rect">
          <a:avLst/>
        </a:prstGeom>
      </xdr:spPr>
    </xdr:pic>
    <xdr:clientData/>
  </xdr:twoCellAnchor>
  <xdr:twoCellAnchor editAs="oneCell">
    <xdr:from>
      <xdr:col>32</xdr:col>
      <xdr:colOff>57980</xdr:colOff>
      <xdr:row>20</xdr:row>
      <xdr:rowOff>1</xdr:rowOff>
    </xdr:from>
    <xdr:to>
      <xdr:col>35</xdr:col>
      <xdr:colOff>468007</xdr:colOff>
      <xdr:row>28</xdr:row>
      <xdr:rowOff>99390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3" y="2816088"/>
          <a:ext cx="708202" cy="1035325"/>
        </a:xfrm>
        <a:prstGeom prst="rect">
          <a:avLst/>
        </a:prstGeom>
      </xdr:spPr>
    </xdr:pic>
    <xdr:clientData/>
  </xdr:twoCellAnchor>
  <xdr:twoCellAnchor editAs="oneCell">
    <xdr:from>
      <xdr:col>42</xdr:col>
      <xdr:colOff>49696</xdr:colOff>
      <xdr:row>20</xdr:row>
      <xdr:rowOff>8284</xdr:rowOff>
    </xdr:from>
    <xdr:to>
      <xdr:col>45</xdr:col>
      <xdr:colOff>476331</xdr:colOff>
      <xdr:row>28</xdr:row>
      <xdr:rowOff>91107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2913" y="2824371"/>
          <a:ext cx="724809" cy="101875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74544</xdr:colOff>
      <xdr:row>19</xdr:row>
      <xdr:rowOff>107677</xdr:rowOff>
    </xdr:from>
    <xdr:to>
      <xdr:col>55</xdr:col>
      <xdr:colOff>477613</xdr:colOff>
      <xdr:row>28</xdr:row>
      <xdr:rowOff>82827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7935" y="2807807"/>
          <a:ext cx="701243" cy="1027042"/>
        </a:xfrm>
        <a:prstGeom prst="rect">
          <a:avLst/>
        </a:prstGeom>
      </xdr:spPr>
    </xdr:pic>
    <xdr:clientData/>
  </xdr:twoCellAnchor>
  <xdr:twoCellAnchor editAs="oneCell">
    <xdr:from>
      <xdr:col>62</xdr:col>
      <xdr:colOff>66262</xdr:colOff>
      <xdr:row>20</xdr:row>
      <xdr:rowOff>1</xdr:rowOff>
    </xdr:from>
    <xdr:to>
      <xdr:col>65</xdr:col>
      <xdr:colOff>463432</xdr:colOff>
      <xdr:row>28</xdr:row>
      <xdr:rowOff>82825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9827" y="2816088"/>
          <a:ext cx="695344" cy="101876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34</xdr:row>
      <xdr:rowOff>2</xdr:rowOff>
    </xdr:from>
    <xdr:to>
      <xdr:col>5</xdr:col>
      <xdr:colOff>414130</xdr:colOff>
      <xdr:row>42</xdr:row>
      <xdr:rowOff>70380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805" y="4348372"/>
          <a:ext cx="704021" cy="1006312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41411</xdr:colOff>
      <xdr:row>33</xdr:row>
      <xdr:rowOff>107676</xdr:rowOff>
    </xdr:from>
    <xdr:to>
      <xdr:col>15</xdr:col>
      <xdr:colOff>447261</xdr:colOff>
      <xdr:row>42</xdr:row>
      <xdr:rowOff>75041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7" y="4340089"/>
          <a:ext cx="704023" cy="1019256"/>
        </a:xfrm>
        <a:prstGeom prst="rect">
          <a:avLst/>
        </a:prstGeom>
      </xdr:spPr>
    </xdr:pic>
    <xdr:clientData/>
  </xdr:twoCellAnchor>
  <xdr:twoCellAnchor editAs="oneCell">
    <xdr:from>
      <xdr:col>21</xdr:col>
      <xdr:colOff>82828</xdr:colOff>
      <xdr:row>34</xdr:row>
      <xdr:rowOff>16565</xdr:rowOff>
    </xdr:from>
    <xdr:to>
      <xdr:col>26</xdr:col>
      <xdr:colOff>22223</xdr:colOff>
      <xdr:row>41</xdr:row>
      <xdr:rowOff>107673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19741" y="4364935"/>
          <a:ext cx="933308" cy="911086"/>
        </a:xfrm>
        <a:prstGeom prst="rect">
          <a:avLst/>
        </a:prstGeom>
      </xdr:spPr>
    </xdr:pic>
    <xdr:clientData/>
  </xdr:twoCellAnchor>
  <xdr:twoCellAnchor editAs="oneCell">
    <xdr:from>
      <xdr:col>31</xdr:col>
      <xdr:colOff>57980</xdr:colOff>
      <xdr:row>34</xdr:row>
      <xdr:rowOff>8281</xdr:rowOff>
    </xdr:from>
    <xdr:to>
      <xdr:col>36</xdr:col>
      <xdr:colOff>8283</xdr:colOff>
      <xdr:row>41</xdr:row>
      <xdr:rowOff>107888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7" y="4356651"/>
          <a:ext cx="944216" cy="919585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33132</xdr:colOff>
      <xdr:row>34</xdr:row>
      <xdr:rowOff>16566</xdr:rowOff>
    </xdr:from>
    <xdr:to>
      <xdr:col>45</xdr:col>
      <xdr:colOff>625273</xdr:colOff>
      <xdr:row>42</xdr:row>
      <xdr:rowOff>33132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3" y="4364936"/>
          <a:ext cx="989706" cy="952500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41414</xdr:colOff>
      <xdr:row>34</xdr:row>
      <xdr:rowOff>74543</xdr:rowOff>
    </xdr:from>
    <xdr:to>
      <xdr:col>57</xdr:col>
      <xdr:colOff>3313</xdr:colOff>
      <xdr:row>41</xdr:row>
      <xdr:rowOff>88249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9" y="4422913"/>
          <a:ext cx="1002194" cy="83368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33130</xdr:colOff>
      <xdr:row>34</xdr:row>
      <xdr:rowOff>24847</xdr:rowOff>
    </xdr:from>
    <xdr:to>
      <xdr:col>66</xdr:col>
      <xdr:colOff>25943</xdr:colOff>
      <xdr:row>42</xdr:row>
      <xdr:rowOff>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9" y="4373217"/>
          <a:ext cx="986725" cy="9110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48</xdr:row>
      <xdr:rowOff>16565</xdr:rowOff>
    </xdr:from>
    <xdr:to>
      <xdr:col>6</xdr:col>
      <xdr:colOff>117338</xdr:colOff>
      <xdr:row>55</xdr:row>
      <xdr:rowOff>110434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5897217"/>
          <a:ext cx="989772" cy="911087"/>
        </a:xfrm>
        <a:prstGeom prst="rect">
          <a:avLst/>
        </a:prstGeom>
      </xdr:spPr>
    </xdr:pic>
    <xdr:clientData/>
  </xdr:twoCellAnchor>
  <xdr:twoCellAnchor editAs="oneCell">
    <xdr:from>
      <xdr:col>11</xdr:col>
      <xdr:colOff>57979</xdr:colOff>
      <xdr:row>48</xdr:row>
      <xdr:rowOff>49698</xdr:rowOff>
    </xdr:from>
    <xdr:to>
      <xdr:col>16</xdr:col>
      <xdr:colOff>29596</xdr:colOff>
      <xdr:row>55</xdr:row>
      <xdr:rowOff>99390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718" y="5930350"/>
          <a:ext cx="932400" cy="861389"/>
        </a:xfrm>
        <a:prstGeom prst="rect">
          <a:avLst/>
        </a:prstGeom>
      </xdr:spPr>
    </xdr:pic>
    <xdr:clientData/>
  </xdr:twoCellAnchor>
  <xdr:twoCellAnchor editAs="oneCell">
    <xdr:from>
      <xdr:col>21</xdr:col>
      <xdr:colOff>33130</xdr:colOff>
      <xdr:row>48</xdr:row>
      <xdr:rowOff>33131</xdr:rowOff>
    </xdr:from>
    <xdr:to>
      <xdr:col>25</xdr:col>
      <xdr:colOff>588783</xdr:colOff>
      <xdr:row>56</xdr:row>
      <xdr:rowOff>66261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0043" y="5913783"/>
          <a:ext cx="953218" cy="960783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48</xdr:row>
      <xdr:rowOff>49696</xdr:rowOff>
    </xdr:from>
    <xdr:to>
      <xdr:col>36</xdr:col>
      <xdr:colOff>25295</xdr:colOff>
      <xdr:row>56</xdr:row>
      <xdr:rowOff>57977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5930348"/>
          <a:ext cx="961230" cy="935934"/>
        </a:xfrm>
        <a:prstGeom prst="rect">
          <a:avLst/>
        </a:prstGeom>
      </xdr:spPr>
    </xdr:pic>
    <xdr:clientData/>
  </xdr:twoCellAnchor>
  <xdr:twoCellAnchor editAs="oneCell">
    <xdr:from>
      <xdr:col>41</xdr:col>
      <xdr:colOff>49696</xdr:colOff>
      <xdr:row>48</xdr:row>
      <xdr:rowOff>16567</xdr:rowOff>
    </xdr:from>
    <xdr:to>
      <xdr:col>45</xdr:col>
      <xdr:colOff>612914</xdr:colOff>
      <xdr:row>56</xdr:row>
      <xdr:rowOff>49696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6957" y="5897219"/>
          <a:ext cx="960783" cy="960782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66262</xdr:colOff>
      <xdr:row>49</xdr:row>
      <xdr:rowOff>74544</xdr:rowOff>
    </xdr:from>
    <xdr:to>
      <xdr:col>56</xdr:col>
      <xdr:colOff>108188</xdr:colOff>
      <xdr:row>54</xdr:row>
      <xdr:rowOff>107674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7" y="6071153"/>
          <a:ext cx="969578" cy="612912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49696</xdr:colOff>
      <xdr:row>49</xdr:row>
      <xdr:rowOff>57979</xdr:rowOff>
    </xdr:from>
    <xdr:to>
      <xdr:col>66</xdr:col>
      <xdr:colOff>15823</xdr:colOff>
      <xdr:row>55</xdr:row>
      <xdr:rowOff>91107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5" y="6054588"/>
          <a:ext cx="960039" cy="728868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63</xdr:row>
      <xdr:rowOff>16566</xdr:rowOff>
    </xdr:from>
    <xdr:to>
      <xdr:col>6</xdr:col>
      <xdr:colOff>103735</xdr:colOff>
      <xdr:row>70</xdr:row>
      <xdr:rowOff>8285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3" y="7537175"/>
          <a:ext cx="951322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24848</xdr:colOff>
      <xdr:row>63</xdr:row>
      <xdr:rowOff>24849</xdr:rowOff>
    </xdr:from>
    <xdr:to>
      <xdr:col>16</xdr:col>
      <xdr:colOff>55292</xdr:colOff>
      <xdr:row>69</xdr:row>
      <xdr:rowOff>8285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7" y="7545458"/>
          <a:ext cx="991227" cy="67917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49695</xdr:colOff>
      <xdr:row>63</xdr:row>
      <xdr:rowOff>16565</xdr:rowOff>
    </xdr:from>
    <xdr:to>
      <xdr:col>26</xdr:col>
      <xdr:colOff>12424</xdr:colOff>
      <xdr:row>70</xdr:row>
      <xdr:rowOff>24850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8" y="7537174"/>
          <a:ext cx="956642" cy="819979"/>
        </a:xfrm>
        <a:prstGeom prst="rect">
          <a:avLst/>
        </a:prstGeom>
      </xdr:spPr>
    </xdr:pic>
    <xdr:clientData/>
  </xdr:twoCellAnchor>
  <xdr:twoCellAnchor editAs="oneCell">
    <xdr:from>
      <xdr:col>35</xdr:col>
      <xdr:colOff>49696</xdr:colOff>
      <xdr:row>66</xdr:row>
      <xdr:rowOff>24849</xdr:rowOff>
    </xdr:from>
    <xdr:to>
      <xdr:col>35</xdr:col>
      <xdr:colOff>558006</xdr:colOff>
      <xdr:row>70</xdr:row>
      <xdr:rowOff>24848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0609" y="7893327"/>
          <a:ext cx="442049" cy="463825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62</xdr:row>
      <xdr:rowOff>8283</xdr:rowOff>
    </xdr:from>
    <xdr:to>
      <xdr:col>35</xdr:col>
      <xdr:colOff>298175</xdr:colOff>
      <xdr:row>66</xdr:row>
      <xdr:rowOff>46582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7412935"/>
          <a:ext cx="679174" cy="502125"/>
        </a:xfrm>
        <a:prstGeom prst="rect">
          <a:avLst/>
        </a:prstGeom>
      </xdr:spPr>
    </xdr:pic>
    <xdr:clientData/>
  </xdr:twoCellAnchor>
  <xdr:twoCellAnchor editAs="oneCell">
    <xdr:from>
      <xdr:col>41</xdr:col>
      <xdr:colOff>16566</xdr:colOff>
      <xdr:row>66</xdr:row>
      <xdr:rowOff>57978</xdr:rowOff>
    </xdr:from>
    <xdr:to>
      <xdr:col>45</xdr:col>
      <xdr:colOff>621197</xdr:colOff>
      <xdr:row>70</xdr:row>
      <xdr:rowOff>15013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827" y="7926456"/>
          <a:ext cx="1002196" cy="420861"/>
        </a:xfrm>
        <a:prstGeom prst="rect">
          <a:avLst/>
        </a:prstGeom>
      </xdr:spPr>
    </xdr:pic>
    <xdr:clientData/>
  </xdr:twoCellAnchor>
  <xdr:twoCellAnchor editAs="oneCell">
    <xdr:from>
      <xdr:col>41</xdr:col>
      <xdr:colOff>66262</xdr:colOff>
      <xdr:row>62</xdr:row>
      <xdr:rowOff>24848</xdr:rowOff>
    </xdr:from>
    <xdr:to>
      <xdr:col>45</xdr:col>
      <xdr:colOff>430698</xdr:colOff>
      <xdr:row>65</xdr:row>
      <xdr:rowOff>84917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3523" y="7429500"/>
          <a:ext cx="778566" cy="407939"/>
        </a:xfrm>
        <a:prstGeom prst="rect">
          <a:avLst/>
        </a:prstGeom>
      </xdr:spPr>
    </xdr:pic>
    <xdr:clientData/>
  </xdr:twoCellAnchor>
  <xdr:twoCellAnchor editAs="oneCell">
    <xdr:from>
      <xdr:col>52</xdr:col>
      <xdr:colOff>99392</xdr:colOff>
      <xdr:row>67</xdr:row>
      <xdr:rowOff>1</xdr:rowOff>
    </xdr:from>
    <xdr:to>
      <xdr:col>55</xdr:col>
      <xdr:colOff>438978</xdr:colOff>
      <xdr:row>69</xdr:row>
      <xdr:rowOff>101954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32783" y="7984436"/>
          <a:ext cx="637760" cy="333866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62</xdr:row>
      <xdr:rowOff>57978</xdr:rowOff>
    </xdr:from>
    <xdr:to>
      <xdr:col>56</xdr:col>
      <xdr:colOff>57979</xdr:colOff>
      <xdr:row>65</xdr:row>
      <xdr:rowOff>107513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7462630"/>
          <a:ext cx="919370" cy="397405"/>
        </a:xfrm>
        <a:prstGeom prst="rect">
          <a:avLst/>
        </a:prstGeom>
      </xdr:spPr>
    </xdr:pic>
    <xdr:clientData/>
  </xdr:twoCellAnchor>
  <xdr:twoCellAnchor editAs="oneCell">
    <xdr:from>
      <xdr:col>62</xdr:col>
      <xdr:colOff>24848</xdr:colOff>
      <xdr:row>61</xdr:row>
      <xdr:rowOff>49695</xdr:rowOff>
    </xdr:from>
    <xdr:to>
      <xdr:col>65</xdr:col>
      <xdr:colOff>405848</xdr:colOff>
      <xdr:row>65</xdr:row>
      <xdr:rowOff>74600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8413" y="7338391"/>
          <a:ext cx="679174" cy="488731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65</xdr:row>
      <xdr:rowOff>66261</xdr:rowOff>
    </xdr:from>
    <xdr:to>
      <xdr:col>65</xdr:col>
      <xdr:colOff>430696</xdr:colOff>
      <xdr:row>69</xdr:row>
      <xdr:rowOff>71913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7818783"/>
          <a:ext cx="546652" cy="469478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75</xdr:row>
      <xdr:rowOff>107674</xdr:rowOff>
    </xdr:from>
    <xdr:to>
      <xdr:col>5</xdr:col>
      <xdr:colOff>431270</xdr:colOff>
      <xdr:row>87</xdr:row>
      <xdr:rowOff>91107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215348" y="8912087"/>
          <a:ext cx="646618" cy="1374912"/>
        </a:xfrm>
        <a:prstGeom prst="rect">
          <a:avLst/>
        </a:prstGeom>
      </xdr:spPr>
    </xdr:pic>
    <xdr:clientData/>
  </xdr:twoCellAnchor>
  <xdr:twoCellAnchor editAs="oneCell">
    <xdr:from>
      <xdr:col>13</xdr:col>
      <xdr:colOff>57978</xdr:colOff>
      <xdr:row>75</xdr:row>
      <xdr:rowOff>91110</xdr:rowOff>
    </xdr:from>
    <xdr:to>
      <xdr:col>15</xdr:col>
      <xdr:colOff>347869</xdr:colOff>
      <xdr:row>88</xdr:row>
      <xdr:rowOff>54181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366630" y="8895523"/>
          <a:ext cx="488674" cy="1470506"/>
        </a:xfrm>
        <a:prstGeom prst="rect">
          <a:avLst/>
        </a:prstGeom>
      </xdr:spPr>
    </xdr:pic>
    <xdr:clientData/>
  </xdr:twoCellAnchor>
  <xdr:twoCellAnchor editAs="oneCell">
    <xdr:from>
      <xdr:col>22</xdr:col>
      <xdr:colOff>107674</xdr:colOff>
      <xdr:row>76</xdr:row>
      <xdr:rowOff>16566</xdr:rowOff>
    </xdr:from>
    <xdr:to>
      <xdr:col>25</xdr:col>
      <xdr:colOff>463826</xdr:colOff>
      <xdr:row>88</xdr:row>
      <xdr:rowOff>38815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0544" y="8936936"/>
          <a:ext cx="654326" cy="1413727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76</xdr:row>
      <xdr:rowOff>24848</xdr:rowOff>
    </xdr:from>
    <xdr:to>
      <xdr:col>35</xdr:col>
      <xdr:colOff>563326</xdr:colOff>
      <xdr:row>88</xdr:row>
      <xdr:rowOff>82826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8945218"/>
          <a:ext cx="745543" cy="144945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75</xdr:row>
      <xdr:rowOff>107673</xdr:rowOff>
    </xdr:from>
    <xdr:to>
      <xdr:col>45</xdr:col>
      <xdr:colOff>496957</xdr:colOff>
      <xdr:row>88</xdr:row>
      <xdr:rowOff>75205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09" y="8912086"/>
          <a:ext cx="695739" cy="1474967"/>
        </a:xfrm>
        <a:prstGeom prst="rect">
          <a:avLst/>
        </a:prstGeom>
      </xdr:spPr>
    </xdr:pic>
    <xdr:clientData/>
  </xdr:twoCellAnchor>
  <xdr:twoCellAnchor editAs="oneCell">
    <xdr:from>
      <xdr:col>52</xdr:col>
      <xdr:colOff>33131</xdr:colOff>
      <xdr:row>76</xdr:row>
      <xdr:rowOff>82826</xdr:rowOff>
    </xdr:from>
    <xdr:to>
      <xdr:col>55</xdr:col>
      <xdr:colOff>507171</xdr:colOff>
      <xdr:row>88</xdr:row>
      <xdr:rowOff>16566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522" y="9003196"/>
          <a:ext cx="772214" cy="1325218"/>
        </a:xfrm>
        <a:prstGeom prst="rect">
          <a:avLst/>
        </a:prstGeom>
      </xdr:spPr>
    </xdr:pic>
    <xdr:clientData/>
  </xdr:twoCellAnchor>
  <xdr:twoCellAnchor editAs="oneCell">
    <xdr:from>
      <xdr:col>62</xdr:col>
      <xdr:colOff>57980</xdr:colOff>
      <xdr:row>77</xdr:row>
      <xdr:rowOff>8284</xdr:rowOff>
    </xdr:from>
    <xdr:to>
      <xdr:col>65</xdr:col>
      <xdr:colOff>455544</xdr:colOff>
      <xdr:row>88</xdr:row>
      <xdr:rowOff>76105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1545" y="9044610"/>
          <a:ext cx="695738" cy="1343343"/>
        </a:xfrm>
        <a:prstGeom prst="rect">
          <a:avLst/>
        </a:prstGeom>
      </xdr:spPr>
    </xdr:pic>
    <xdr:clientData/>
  </xdr:twoCellAnchor>
  <xdr:twoCellAnchor editAs="oneCell">
    <xdr:from>
      <xdr:col>1</xdr:col>
      <xdr:colOff>72188</xdr:colOff>
      <xdr:row>0</xdr:row>
      <xdr:rowOff>0</xdr:rowOff>
    </xdr:from>
    <xdr:to>
      <xdr:col>14</xdr:col>
      <xdr:colOff>8021</xdr:colOff>
      <xdr:row>0</xdr:row>
      <xdr:rowOff>1451510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C29B13F-4AF9-3245-BFEE-3D35064A1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51" y="0"/>
          <a:ext cx="1652338" cy="145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99391</xdr:colOff>
      <xdr:row>80</xdr:row>
      <xdr:rowOff>16564</xdr:rowOff>
    </xdr:from>
    <xdr:to>
      <xdr:col>45</xdr:col>
      <xdr:colOff>418107</xdr:colOff>
      <xdr:row>90</xdr:row>
      <xdr:rowOff>87558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9417325"/>
          <a:ext cx="662609" cy="1230559"/>
        </a:xfrm>
        <a:prstGeom prst="rect">
          <a:avLst/>
        </a:prstGeom>
      </xdr:spPr>
    </xdr:pic>
    <xdr:clientData/>
  </xdr:twoCellAnchor>
  <xdr:twoCellAnchor editAs="oneCell">
    <xdr:from>
      <xdr:col>52</xdr:col>
      <xdr:colOff>82825</xdr:colOff>
      <xdr:row>80</xdr:row>
      <xdr:rowOff>2</xdr:rowOff>
    </xdr:from>
    <xdr:to>
      <xdr:col>56</xdr:col>
      <xdr:colOff>63499</xdr:colOff>
      <xdr:row>90</xdr:row>
      <xdr:rowOff>98541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9347" y="9400763"/>
          <a:ext cx="720587" cy="1258104"/>
        </a:xfrm>
        <a:prstGeom prst="rect">
          <a:avLst/>
        </a:prstGeom>
      </xdr:spPr>
    </xdr:pic>
    <xdr:clientData/>
  </xdr:twoCellAnchor>
  <xdr:twoCellAnchor editAs="oneCell">
    <xdr:from>
      <xdr:col>62</xdr:col>
      <xdr:colOff>99392</xdr:colOff>
      <xdr:row>79</xdr:row>
      <xdr:rowOff>107675</xdr:rowOff>
    </xdr:from>
    <xdr:to>
      <xdr:col>65</xdr:col>
      <xdr:colOff>80067</xdr:colOff>
      <xdr:row>90</xdr:row>
      <xdr:rowOff>80638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653" y="9392479"/>
          <a:ext cx="654326" cy="1248484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5</xdr:row>
      <xdr:rowOff>82826</xdr:rowOff>
    </xdr:from>
    <xdr:to>
      <xdr:col>5</xdr:col>
      <xdr:colOff>270271</xdr:colOff>
      <xdr:row>14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1250674"/>
          <a:ext cx="435923" cy="969065"/>
        </a:xfrm>
        <a:prstGeom prst="rect">
          <a:avLst/>
        </a:prstGeom>
      </xdr:spPr>
    </xdr:pic>
    <xdr:clientData/>
  </xdr:twoCellAnchor>
  <xdr:twoCellAnchor editAs="oneCell">
    <xdr:from>
      <xdr:col>13</xdr:col>
      <xdr:colOff>74543</xdr:colOff>
      <xdr:row>5</xdr:row>
      <xdr:rowOff>82827</xdr:rowOff>
    </xdr:from>
    <xdr:to>
      <xdr:col>15</xdr:col>
      <xdr:colOff>356152</xdr:colOff>
      <xdr:row>14</xdr:row>
      <xdr:rowOff>61251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3195" y="1250675"/>
          <a:ext cx="480392" cy="1030315"/>
        </a:xfrm>
        <a:prstGeom prst="rect">
          <a:avLst/>
        </a:prstGeom>
      </xdr:spPr>
    </xdr:pic>
    <xdr:clientData/>
  </xdr:twoCellAnchor>
  <xdr:twoCellAnchor editAs="oneCell">
    <xdr:from>
      <xdr:col>23</xdr:col>
      <xdr:colOff>57979</xdr:colOff>
      <xdr:row>5</xdr:row>
      <xdr:rowOff>74542</xdr:rowOff>
    </xdr:from>
    <xdr:to>
      <xdr:col>25</xdr:col>
      <xdr:colOff>337286</xdr:colOff>
      <xdr:row>14</xdr:row>
      <xdr:rowOff>91109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5" y="1242390"/>
          <a:ext cx="478090" cy="1068458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49695</xdr:colOff>
      <xdr:row>5</xdr:row>
      <xdr:rowOff>74542</xdr:rowOff>
    </xdr:from>
    <xdr:to>
      <xdr:col>35</xdr:col>
      <xdr:colOff>372718</xdr:colOff>
      <xdr:row>14</xdr:row>
      <xdr:rowOff>50224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652" y="1242390"/>
          <a:ext cx="405848" cy="1027573"/>
        </a:xfrm>
        <a:prstGeom prst="rect">
          <a:avLst/>
        </a:prstGeom>
      </xdr:spPr>
    </xdr:pic>
    <xdr:clientData/>
  </xdr:twoCellAnchor>
  <xdr:twoCellAnchor editAs="oneCell">
    <xdr:from>
      <xdr:col>44</xdr:col>
      <xdr:colOff>33130</xdr:colOff>
      <xdr:row>5</xdr:row>
      <xdr:rowOff>57979</xdr:rowOff>
    </xdr:from>
    <xdr:to>
      <xdr:col>45</xdr:col>
      <xdr:colOff>421622</xdr:colOff>
      <xdr:row>14</xdr:row>
      <xdr:rowOff>66261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4826" y="1225827"/>
          <a:ext cx="485233" cy="1060173"/>
        </a:xfrm>
        <a:prstGeom prst="rect">
          <a:avLst/>
        </a:prstGeom>
      </xdr:spPr>
    </xdr:pic>
    <xdr:clientData/>
  </xdr:twoCellAnchor>
  <xdr:twoCellAnchor editAs="oneCell">
    <xdr:from>
      <xdr:col>53</xdr:col>
      <xdr:colOff>49696</xdr:colOff>
      <xdr:row>5</xdr:row>
      <xdr:rowOff>41413</xdr:rowOff>
    </xdr:from>
    <xdr:to>
      <xdr:col>55</xdr:col>
      <xdr:colOff>366846</xdr:colOff>
      <xdr:row>14</xdr:row>
      <xdr:rowOff>91109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174" y="1209261"/>
          <a:ext cx="515933" cy="1101587"/>
        </a:xfrm>
        <a:prstGeom prst="rect">
          <a:avLst/>
        </a:prstGeom>
      </xdr:spPr>
    </xdr:pic>
    <xdr:clientData/>
  </xdr:twoCellAnchor>
  <xdr:twoCellAnchor editAs="oneCell">
    <xdr:from>
      <xdr:col>63</xdr:col>
      <xdr:colOff>74544</xdr:colOff>
      <xdr:row>5</xdr:row>
      <xdr:rowOff>33132</xdr:rowOff>
    </xdr:from>
    <xdr:to>
      <xdr:col>64</xdr:col>
      <xdr:colOff>458194</xdr:colOff>
      <xdr:row>14</xdr:row>
      <xdr:rowOff>55801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3761" y="1200980"/>
          <a:ext cx="480391" cy="1074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19</xdr:row>
      <xdr:rowOff>41413</xdr:rowOff>
    </xdr:from>
    <xdr:to>
      <xdr:col>6</xdr:col>
      <xdr:colOff>1930</xdr:colOff>
      <xdr:row>27</xdr:row>
      <xdr:rowOff>49581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196" y="2741543"/>
          <a:ext cx="670891" cy="944104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19</xdr:row>
      <xdr:rowOff>33131</xdr:rowOff>
    </xdr:from>
    <xdr:to>
      <xdr:col>15</xdr:col>
      <xdr:colOff>456869</xdr:colOff>
      <xdr:row>27</xdr:row>
      <xdr:rowOff>80476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2733261"/>
          <a:ext cx="679173" cy="983281"/>
        </a:xfrm>
        <a:prstGeom prst="rect">
          <a:avLst/>
        </a:prstGeom>
      </xdr:spPr>
    </xdr:pic>
    <xdr:clientData/>
  </xdr:twoCellAnchor>
  <xdr:twoCellAnchor editAs="oneCell">
    <xdr:from>
      <xdr:col>23</xdr:col>
      <xdr:colOff>8283</xdr:colOff>
      <xdr:row>19</xdr:row>
      <xdr:rowOff>49697</xdr:rowOff>
    </xdr:from>
    <xdr:to>
      <xdr:col>25</xdr:col>
      <xdr:colOff>449921</xdr:colOff>
      <xdr:row>27</xdr:row>
      <xdr:rowOff>49695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7109" y="2749827"/>
          <a:ext cx="672238" cy="935934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19</xdr:row>
      <xdr:rowOff>33132</xdr:rowOff>
    </xdr:from>
    <xdr:to>
      <xdr:col>36</xdr:col>
      <xdr:colOff>6016</xdr:colOff>
      <xdr:row>27</xdr:row>
      <xdr:rowOff>99392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2733262"/>
          <a:ext cx="711482" cy="100219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19</xdr:row>
      <xdr:rowOff>8284</xdr:rowOff>
    </xdr:from>
    <xdr:to>
      <xdr:col>46</xdr:col>
      <xdr:colOff>22087</xdr:colOff>
      <xdr:row>27</xdr:row>
      <xdr:rowOff>62710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5" y="2708414"/>
          <a:ext cx="695738" cy="990362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19</xdr:row>
      <xdr:rowOff>8282</xdr:rowOff>
    </xdr:from>
    <xdr:to>
      <xdr:col>56</xdr:col>
      <xdr:colOff>46935</xdr:colOff>
      <xdr:row>27</xdr:row>
      <xdr:rowOff>78237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4" y="2708412"/>
          <a:ext cx="712306" cy="1005891"/>
        </a:xfrm>
        <a:prstGeom prst="rect">
          <a:avLst/>
        </a:prstGeom>
      </xdr:spPr>
    </xdr:pic>
    <xdr:clientData/>
  </xdr:twoCellAnchor>
  <xdr:twoCellAnchor editAs="oneCell">
    <xdr:from>
      <xdr:col>62</xdr:col>
      <xdr:colOff>66259</xdr:colOff>
      <xdr:row>19</xdr:row>
      <xdr:rowOff>8283</xdr:rowOff>
    </xdr:from>
    <xdr:to>
      <xdr:col>65</xdr:col>
      <xdr:colOff>96631</xdr:colOff>
      <xdr:row>27</xdr:row>
      <xdr:rowOff>68606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09520" y="2708413"/>
          <a:ext cx="704023" cy="996259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31</xdr:row>
      <xdr:rowOff>99390</xdr:rowOff>
    </xdr:from>
    <xdr:to>
      <xdr:col>5</xdr:col>
      <xdr:colOff>338161</xdr:colOff>
      <xdr:row>42</xdr:row>
      <xdr:rowOff>82825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4099890"/>
          <a:ext cx="437552" cy="1283805"/>
        </a:xfrm>
        <a:prstGeom prst="rect">
          <a:avLst/>
        </a:prstGeom>
      </xdr:spPr>
    </xdr:pic>
    <xdr:clientData/>
  </xdr:twoCellAnchor>
  <xdr:twoCellAnchor editAs="oneCell">
    <xdr:from>
      <xdr:col>14</xdr:col>
      <xdr:colOff>8282</xdr:colOff>
      <xdr:row>31</xdr:row>
      <xdr:rowOff>57979</xdr:rowOff>
    </xdr:from>
    <xdr:to>
      <xdr:col>15</xdr:col>
      <xdr:colOff>398218</xdr:colOff>
      <xdr:row>42</xdr:row>
      <xdr:rowOff>91109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2891" y="4058479"/>
          <a:ext cx="456197" cy="1333500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31</xdr:row>
      <xdr:rowOff>66261</xdr:rowOff>
    </xdr:from>
    <xdr:to>
      <xdr:col>25</xdr:col>
      <xdr:colOff>343849</xdr:colOff>
      <xdr:row>42</xdr:row>
      <xdr:rowOff>82826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8218" y="4066761"/>
          <a:ext cx="443240" cy="1316935"/>
        </a:xfrm>
        <a:prstGeom prst="rect">
          <a:avLst/>
        </a:prstGeom>
      </xdr:spPr>
    </xdr:pic>
    <xdr:clientData/>
  </xdr:twoCellAnchor>
  <xdr:twoCellAnchor editAs="oneCell">
    <xdr:from>
      <xdr:col>34</xdr:col>
      <xdr:colOff>33129</xdr:colOff>
      <xdr:row>31</xdr:row>
      <xdr:rowOff>41414</xdr:rowOff>
    </xdr:from>
    <xdr:to>
      <xdr:col>35</xdr:col>
      <xdr:colOff>398326</xdr:colOff>
      <xdr:row>42</xdr:row>
      <xdr:rowOff>82826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8086" y="4041914"/>
          <a:ext cx="431457" cy="1341782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31</xdr:row>
      <xdr:rowOff>33130</xdr:rowOff>
    </xdr:from>
    <xdr:to>
      <xdr:col>45</xdr:col>
      <xdr:colOff>368876</xdr:colOff>
      <xdr:row>42</xdr:row>
      <xdr:rowOff>107673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21696" y="4033630"/>
          <a:ext cx="451700" cy="1374913"/>
        </a:xfrm>
        <a:prstGeom prst="rect">
          <a:avLst/>
        </a:prstGeom>
      </xdr:spPr>
    </xdr:pic>
    <xdr:clientData/>
  </xdr:twoCellAnchor>
  <xdr:twoCellAnchor editAs="oneCell">
    <xdr:from>
      <xdr:col>54</xdr:col>
      <xdr:colOff>16563</xdr:colOff>
      <xdr:row>31</xdr:row>
      <xdr:rowOff>24849</xdr:rowOff>
    </xdr:from>
    <xdr:to>
      <xdr:col>56</xdr:col>
      <xdr:colOff>3116</xdr:colOff>
      <xdr:row>42</xdr:row>
      <xdr:rowOff>108977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4998" y="4025349"/>
          <a:ext cx="455545" cy="1384498"/>
        </a:xfrm>
        <a:prstGeom prst="rect">
          <a:avLst/>
        </a:prstGeom>
      </xdr:spPr>
    </xdr:pic>
    <xdr:clientData/>
  </xdr:twoCellAnchor>
  <xdr:twoCellAnchor editAs="oneCell">
    <xdr:from>
      <xdr:col>64</xdr:col>
      <xdr:colOff>24848</xdr:colOff>
      <xdr:row>31</xdr:row>
      <xdr:rowOff>8282</xdr:rowOff>
    </xdr:from>
    <xdr:to>
      <xdr:col>65</xdr:col>
      <xdr:colOff>28209</xdr:colOff>
      <xdr:row>42</xdr:row>
      <xdr:rowOff>99390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22" y="4008782"/>
          <a:ext cx="445100" cy="1391478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48</xdr:row>
      <xdr:rowOff>8285</xdr:rowOff>
    </xdr:from>
    <xdr:to>
      <xdr:col>5</xdr:col>
      <xdr:colOff>430696</xdr:colOff>
      <xdr:row>58</xdr:row>
      <xdr:rowOff>60464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1" y="5905502"/>
          <a:ext cx="637761" cy="1211745"/>
        </a:xfrm>
        <a:prstGeom prst="rect">
          <a:avLst/>
        </a:prstGeom>
      </xdr:spPr>
    </xdr:pic>
    <xdr:clientData/>
  </xdr:twoCellAnchor>
  <xdr:twoCellAnchor editAs="oneCell">
    <xdr:from>
      <xdr:col>13</xdr:col>
      <xdr:colOff>8283</xdr:colOff>
      <xdr:row>48</xdr:row>
      <xdr:rowOff>2</xdr:rowOff>
    </xdr:from>
    <xdr:to>
      <xdr:col>15</xdr:col>
      <xdr:colOff>456307</xdr:colOff>
      <xdr:row>58</xdr:row>
      <xdr:rowOff>74544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935" y="5897219"/>
          <a:ext cx="653102" cy="1234108"/>
        </a:xfrm>
        <a:prstGeom prst="rect">
          <a:avLst/>
        </a:prstGeom>
      </xdr:spPr>
    </xdr:pic>
    <xdr:clientData/>
  </xdr:twoCellAnchor>
  <xdr:twoCellAnchor editAs="oneCell">
    <xdr:from>
      <xdr:col>22</xdr:col>
      <xdr:colOff>82825</xdr:colOff>
      <xdr:row>48</xdr:row>
      <xdr:rowOff>0</xdr:rowOff>
    </xdr:from>
    <xdr:to>
      <xdr:col>25</xdr:col>
      <xdr:colOff>409159</xdr:colOff>
      <xdr:row>58</xdr:row>
      <xdr:rowOff>82247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5695" y="5897217"/>
          <a:ext cx="662609" cy="1241813"/>
        </a:xfrm>
        <a:prstGeom prst="rect">
          <a:avLst/>
        </a:prstGeom>
      </xdr:spPr>
    </xdr:pic>
    <xdr:clientData/>
  </xdr:twoCellAnchor>
  <xdr:twoCellAnchor editAs="oneCell">
    <xdr:from>
      <xdr:col>33</xdr:col>
      <xdr:colOff>24848</xdr:colOff>
      <xdr:row>47</xdr:row>
      <xdr:rowOff>107674</xdr:rowOff>
    </xdr:from>
    <xdr:to>
      <xdr:col>36</xdr:col>
      <xdr:colOff>4445</xdr:colOff>
      <xdr:row>58</xdr:row>
      <xdr:rowOff>74544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3848" y="5888935"/>
          <a:ext cx="653257" cy="1242391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47</xdr:row>
      <xdr:rowOff>99392</xdr:rowOff>
    </xdr:from>
    <xdr:to>
      <xdr:col>45</xdr:col>
      <xdr:colOff>418810</xdr:colOff>
      <xdr:row>58</xdr:row>
      <xdr:rowOff>91109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5880653"/>
          <a:ext cx="665300" cy="1267238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24848</xdr:colOff>
      <xdr:row>48</xdr:row>
      <xdr:rowOff>16566</xdr:rowOff>
    </xdr:from>
    <xdr:to>
      <xdr:col>56</xdr:col>
      <xdr:colOff>41556</xdr:colOff>
      <xdr:row>58</xdr:row>
      <xdr:rowOff>66260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326" y="5913783"/>
          <a:ext cx="640667" cy="1209260"/>
        </a:xfrm>
        <a:prstGeom prst="rect">
          <a:avLst/>
        </a:prstGeom>
      </xdr:spPr>
    </xdr:pic>
    <xdr:clientData/>
  </xdr:twoCellAnchor>
  <xdr:twoCellAnchor editAs="oneCell">
    <xdr:from>
      <xdr:col>63</xdr:col>
      <xdr:colOff>8283</xdr:colOff>
      <xdr:row>47</xdr:row>
      <xdr:rowOff>107674</xdr:rowOff>
    </xdr:from>
    <xdr:to>
      <xdr:col>65</xdr:col>
      <xdr:colOff>55218</xdr:colOff>
      <xdr:row>59</xdr:row>
      <xdr:rowOff>2162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0" y="5888935"/>
          <a:ext cx="604630" cy="1282653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63</xdr:row>
      <xdr:rowOff>99391</xdr:rowOff>
    </xdr:from>
    <xdr:to>
      <xdr:col>5</xdr:col>
      <xdr:colOff>421288</xdr:colOff>
      <xdr:row>74</xdr:row>
      <xdr:rowOff>82827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7636565"/>
          <a:ext cx="595222" cy="125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57977</xdr:colOff>
      <xdr:row>64</xdr:row>
      <xdr:rowOff>8282</xdr:rowOff>
    </xdr:from>
    <xdr:to>
      <xdr:col>15</xdr:col>
      <xdr:colOff>456206</xdr:colOff>
      <xdr:row>74</xdr:row>
      <xdr:rowOff>90596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3" y="7661412"/>
          <a:ext cx="704022" cy="1241879"/>
        </a:xfrm>
        <a:prstGeom prst="rect">
          <a:avLst/>
        </a:prstGeom>
      </xdr:spPr>
    </xdr:pic>
    <xdr:clientData/>
  </xdr:twoCellAnchor>
  <xdr:twoCellAnchor editAs="oneCell">
    <xdr:from>
      <xdr:col>23</xdr:col>
      <xdr:colOff>57980</xdr:colOff>
      <xdr:row>64</xdr:row>
      <xdr:rowOff>8284</xdr:rowOff>
    </xdr:from>
    <xdr:to>
      <xdr:col>25</xdr:col>
      <xdr:colOff>406211</xdr:colOff>
      <xdr:row>74</xdr:row>
      <xdr:rowOff>66261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6" y="7661414"/>
          <a:ext cx="530450" cy="1217542"/>
        </a:xfrm>
        <a:prstGeom prst="rect">
          <a:avLst/>
        </a:prstGeom>
      </xdr:spPr>
    </xdr:pic>
    <xdr:clientData/>
  </xdr:twoCellAnchor>
  <xdr:twoCellAnchor editAs="oneCell">
    <xdr:from>
      <xdr:col>32</xdr:col>
      <xdr:colOff>74546</xdr:colOff>
      <xdr:row>64</xdr:row>
      <xdr:rowOff>8284</xdr:rowOff>
    </xdr:from>
    <xdr:to>
      <xdr:col>36</xdr:col>
      <xdr:colOff>6841</xdr:colOff>
      <xdr:row>74</xdr:row>
      <xdr:rowOff>92663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87589" y="7661414"/>
          <a:ext cx="737152" cy="1243944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64</xdr:row>
      <xdr:rowOff>8284</xdr:rowOff>
    </xdr:from>
    <xdr:to>
      <xdr:col>46</xdr:col>
      <xdr:colOff>73317</xdr:colOff>
      <xdr:row>74</xdr:row>
      <xdr:rowOff>74544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7661414"/>
          <a:ext cx="771816" cy="1225825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74543</xdr:colOff>
      <xdr:row>64</xdr:row>
      <xdr:rowOff>8284</xdr:rowOff>
    </xdr:from>
    <xdr:to>
      <xdr:col>56</xdr:col>
      <xdr:colOff>63692</xdr:colOff>
      <xdr:row>74</xdr:row>
      <xdr:rowOff>74544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5" y="7661414"/>
          <a:ext cx="729062" cy="1225825"/>
        </a:xfrm>
        <a:prstGeom prst="rect">
          <a:avLst/>
        </a:prstGeom>
      </xdr:spPr>
    </xdr:pic>
    <xdr:clientData/>
  </xdr:twoCellAnchor>
  <xdr:twoCellAnchor editAs="oneCell">
    <xdr:from>
      <xdr:col>63</xdr:col>
      <xdr:colOff>91109</xdr:colOff>
      <xdr:row>63</xdr:row>
      <xdr:rowOff>107673</xdr:rowOff>
    </xdr:from>
    <xdr:to>
      <xdr:col>65</xdr:col>
      <xdr:colOff>38653</xdr:colOff>
      <xdr:row>74</xdr:row>
      <xdr:rowOff>80872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0326" y="7644847"/>
          <a:ext cx="505239" cy="1248720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79</xdr:row>
      <xdr:rowOff>99391</xdr:rowOff>
    </xdr:from>
    <xdr:to>
      <xdr:col>5</xdr:col>
      <xdr:colOff>401047</xdr:colOff>
      <xdr:row>91</xdr:row>
      <xdr:rowOff>91109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9384195"/>
          <a:ext cx="550134" cy="1383196"/>
        </a:xfrm>
        <a:prstGeom prst="rect">
          <a:avLst/>
        </a:prstGeom>
      </xdr:spPr>
    </xdr:pic>
    <xdr:clientData/>
  </xdr:twoCellAnchor>
  <xdr:twoCellAnchor editAs="oneCell">
    <xdr:from>
      <xdr:col>13</xdr:col>
      <xdr:colOff>41414</xdr:colOff>
      <xdr:row>79</xdr:row>
      <xdr:rowOff>107675</xdr:rowOff>
    </xdr:from>
    <xdr:to>
      <xdr:col>15</xdr:col>
      <xdr:colOff>357579</xdr:colOff>
      <xdr:row>91</xdr:row>
      <xdr:rowOff>91109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0066" y="9392479"/>
          <a:ext cx="514948" cy="1374912"/>
        </a:xfrm>
        <a:prstGeom prst="rect">
          <a:avLst/>
        </a:prstGeom>
      </xdr:spPr>
    </xdr:pic>
    <xdr:clientData/>
  </xdr:twoCellAnchor>
  <xdr:twoCellAnchor editAs="oneCell">
    <xdr:from>
      <xdr:col>23</xdr:col>
      <xdr:colOff>82825</xdr:colOff>
      <xdr:row>79</xdr:row>
      <xdr:rowOff>99393</xdr:rowOff>
    </xdr:from>
    <xdr:to>
      <xdr:col>25</xdr:col>
      <xdr:colOff>339991</xdr:colOff>
      <xdr:row>91</xdr:row>
      <xdr:rowOff>66261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1651" y="9384197"/>
          <a:ext cx="455949" cy="1358346"/>
        </a:xfrm>
        <a:prstGeom prst="rect">
          <a:avLst/>
        </a:prstGeom>
      </xdr:spPr>
    </xdr:pic>
    <xdr:clientData/>
  </xdr:twoCellAnchor>
  <xdr:twoCellAnchor editAs="oneCell">
    <xdr:from>
      <xdr:col>32</xdr:col>
      <xdr:colOff>57978</xdr:colOff>
      <xdr:row>80</xdr:row>
      <xdr:rowOff>8284</xdr:rowOff>
    </xdr:from>
    <xdr:to>
      <xdr:col>35</xdr:col>
      <xdr:colOff>447261</xdr:colOff>
      <xdr:row>90</xdr:row>
      <xdr:rowOff>99396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1" y="9409045"/>
          <a:ext cx="687458" cy="1250677"/>
        </a:xfrm>
        <a:prstGeom prst="rect">
          <a:avLst/>
        </a:prstGeom>
      </xdr:spPr>
    </xdr:pic>
    <xdr:clientData/>
  </xdr:twoCellAnchor>
  <xdr:twoCellAnchor editAs="oneCell">
    <xdr:from>
      <xdr:col>2</xdr:col>
      <xdr:colOff>62987</xdr:colOff>
      <xdr:row>0</xdr:row>
      <xdr:rowOff>91620</xdr:rowOff>
    </xdr:from>
    <xdr:to>
      <xdr:col>15</xdr:col>
      <xdr:colOff>65852</xdr:colOff>
      <xdr:row>1</xdr:row>
      <xdr:rowOff>27301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286C8-A21C-9F44-A8EE-531DAF0E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" y="91620"/>
          <a:ext cx="1696198" cy="147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82827</xdr:colOff>
      <xdr:row>7</xdr:row>
      <xdr:rowOff>8284</xdr:rowOff>
    </xdr:from>
    <xdr:to>
      <xdr:col>5</xdr:col>
      <xdr:colOff>410259</xdr:colOff>
      <xdr:row>15</xdr:row>
      <xdr:rowOff>82826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5" y="1408045"/>
          <a:ext cx="509650" cy="1035325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16567</xdr:colOff>
      <xdr:row>7</xdr:row>
      <xdr:rowOff>0</xdr:rowOff>
    </xdr:from>
    <xdr:to>
      <xdr:col>15</xdr:col>
      <xdr:colOff>338292</xdr:colOff>
      <xdr:row>15</xdr:row>
      <xdr:rowOff>74544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25219" y="1399761"/>
          <a:ext cx="520508" cy="103532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24848</xdr:colOff>
      <xdr:row>6</xdr:row>
      <xdr:rowOff>99392</xdr:rowOff>
    </xdr:from>
    <xdr:to>
      <xdr:col>25</xdr:col>
      <xdr:colOff>366604</xdr:colOff>
      <xdr:row>15</xdr:row>
      <xdr:rowOff>82827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4" y="1383196"/>
          <a:ext cx="540539" cy="1060174"/>
        </a:xfrm>
        <a:prstGeom prst="rect">
          <a:avLst/>
        </a:prstGeom>
      </xdr:spPr>
    </xdr:pic>
    <xdr:clientData/>
  </xdr:twoCellAnchor>
  <xdr:twoCellAnchor editAs="oneCell">
    <xdr:from>
      <xdr:col>33</xdr:col>
      <xdr:colOff>1</xdr:colOff>
      <xdr:row>6</xdr:row>
      <xdr:rowOff>99392</xdr:rowOff>
    </xdr:from>
    <xdr:to>
      <xdr:col>35</xdr:col>
      <xdr:colOff>347869</xdr:colOff>
      <xdr:row>16</xdr:row>
      <xdr:rowOff>2207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1" y="1383196"/>
          <a:ext cx="546651" cy="108998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6</xdr:row>
      <xdr:rowOff>107674</xdr:rowOff>
    </xdr:from>
    <xdr:to>
      <xdr:col>45</xdr:col>
      <xdr:colOff>323022</xdr:colOff>
      <xdr:row>15</xdr:row>
      <xdr:rowOff>85644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1391478"/>
          <a:ext cx="521804" cy="1054709"/>
        </a:xfrm>
        <a:prstGeom prst="rect">
          <a:avLst/>
        </a:prstGeom>
      </xdr:spPr>
    </xdr:pic>
    <xdr:clientData/>
  </xdr:twoCellAnchor>
  <xdr:twoCellAnchor editAs="oneCell">
    <xdr:from>
      <xdr:col>53</xdr:col>
      <xdr:colOff>107672</xdr:colOff>
      <xdr:row>6</xdr:row>
      <xdr:rowOff>107675</xdr:rowOff>
    </xdr:from>
    <xdr:to>
      <xdr:col>55</xdr:col>
      <xdr:colOff>240196</xdr:colOff>
      <xdr:row>15</xdr:row>
      <xdr:rowOff>60635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020" y="1391479"/>
          <a:ext cx="347871" cy="1029699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6</xdr:row>
      <xdr:rowOff>99392</xdr:rowOff>
    </xdr:from>
    <xdr:to>
      <xdr:col>65</xdr:col>
      <xdr:colOff>420272</xdr:colOff>
      <xdr:row>15</xdr:row>
      <xdr:rowOff>82827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1383196"/>
          <a:ext cx="536227" cy="1060174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21</xdr:row>
      <xdr:rowOff>1</xdr:rowOff>
    </xdr:from>
    <xdr:to>
      <xdr:col>5</xdr:col>
      <xdr:colOff>399515</xdr:colOff>
      <xdr:row>29</xdr:row>
      <xdr:rowOff>99392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" y="2956892"/>
          <a:ext cx="498907" cy="1035325"/>
        </a:xfrm>
        <a:prstGeom prst="rect">
          <a:avLst/>
        </a:prstGeom>
      </xdr:spPr>
    </xdr:pic>
    <xdr:clientData/>
  </xdr:twoCellAnchor>
  <xdr:twoCellAnchor editAs="oneCell">
    <xdr:from>
      <xdr:col>23</xdr:col>
      <xdr:colOff>49696</xdr:colOff>
      <xdr:row>20</xdr:row>
      <xdr:rowOff>49697</xdr:rowOff>
    </xdr:from>
    <xdr:to>
      <xdr:col>25</xdr:col>
      <xdr:colOff>406246</xdr:colOff>
      <xdr:row>29</xdr:row>
      <xdr:rowOff>82827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8522" y="2890632"/>
          <a:ext cx="538769" cy="1085021"/>
        </a:xfrm>
        <a:prstGeom prst="rect">
          <a:avLst/>
        </a:prstGeom>
      </xdr:spPr>
    </xdr:pic>
    <xdr:clientData/>
  </xdr:twoCellAnchor>
  <xdr:twoCellAnchor editAs="oneCell">
    <xdr:from>
      <xdr:col>33</xdr:col>
      <xdr:colOff>41413</xdr:colOff>
      <xdr:row>19</xdr:row>
      <xdr:rowOff>107674</xdr:rowOff>
    </xdr:from>
    <xdr:to>
      <xdr:col>35</xdr:col>
      <xdr:colOff>476763</xdr:colOff>
      <xdr:row>30</xdr:row>
      <xdr:rowOff>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0413" y="2832652"/>
          <a:ext cx="617568" cy="1176132"/>
        </a:xfrm>
        <a:prstGeom prst="rect">
          <a:avLst/>
        </a:prstGeom>
      </xdr:spPr>
    </xdr:pic>
    <xdr:clientData/>
  </xdr:twoCellAnchor>
  <xdr:twoCellAnchor editAs="oneCell">
    <xdr:from>
      <xdr:col>42</xdr:col>
      <xdr:colOff>83227</xdr:colOff>
      <xdr:row>19</xdr:row>
      <xdr:rowOff>49697</xdr:rowOff>
    </xdr:from>
    <xdr:to>
      <xdr:col>45</xdr:col>
      <xdr:colOff>356152</xdr:colOff>
      <xdr:row>29</xdr:row>
      <xdr:rowOff>34789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6444" y="2774675"/>
          <a:ext cx="587664" cy="1152940"/>
        </a:xfrm>
        <a:prstGeom prst="rect">
          <a:avLst/>
        </a:prstGeom>
      </xdr:spPr>
    </xdr:pic>
    <xdr:clientData/>
  </xdr:twoCellAnchor>
  <xdr:twoCellAnchor editAs="oneCell">
    <xdr:from>
      <xdr:col>53</xdr:col>
      <xdr:colOff>51114</xdr:colOff>
      <xdr:row>20</xdr:row>
      <xdr:rowOff>16565</xdr:rowOff>
    </xdr:from>
    <xdr:to>
      <xdr:col>55</xdr:col>
      <xdr:colOff>347869</xdr:colOff>
      <xdr:row>29</xdr:row>
      <xdr:rowOff>54325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462" y="2857500"/>
          <a:ext cx="495538" cy="1089651"/>
        </a:xfrm>
        <a:prstGeom prst="rect">
          <a:avLst/>
        </a:prstGeom>
      </xdr:spPr>
    </xdr:pic>
    <xdr:clientData/>
  </xdr:twoCellAnchor>
  <xdr:twoCellAnchor editAs="oneCell">
    <xdr:from>
      <xdr:col>62</xdr:col>
      <xdr:colOff>106707</xdr:colOff>
      <xdr:row>19</xdr:row>
      <xdr:rowOff>107674</xdr:rowOff>
    </xdr:from>
    <xdr:to>
      <xdr:col>65</xdr:col>
      <xdr:colOff>347870</xdr:colOff>
      <xdr:row>29</xdr:row>
      <xdr:rowOff>72808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72" y="2832652"/>
          <a:ext cx="555902" cy="1132982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34</xdr:row>
      <xdr:rowOff>16566</xdr:rowOff>
    </xdr:from>
    <xdr:to>
      <xdr:col>5</xdr:col>
      <xdr:colOff>554936</xdr:colOff>
      <xdr:row>43</xdr:row>
      <xdr:rowOff>34675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57" y="4389783"/>
          <a:ext cx="853109" cy="1070001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33</xdr:row>
      <xdr:rowOff>91109</xdr:rowOff>
    </xdr:from>
    <xdr:to>
      <xdr:col>15</xdr:col>
      <xdr:colOff>596348</xdr:colOff>
      <xdr:row>42</xdr:row>
      <xdr:rowOff>104876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978" y="4348370"/>
          <a:ext cx="869675" cy="1065658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24847</xdr:colOff>
      <xdr:row>33</xdr:row>
      <xdr:rowOff>99392</xdr:rowOff>
    </xdr:from>
    <xdr:to>
      <xdr:col>25</xdr:col>
      <xdr:colOff>404031</xdr:colOff>
      <xdr:row>43</xdr:row>
      <xdr:rowOff>82825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3" y="4356653"/>
          <a:ext cx="561403" cy="1151282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24847</xdr:colOff>
      <xdr:row>35</xdr:row>
      <xdr:rowOff>74543</xdr:rowOff>
    </xdr:from>
    <xdr:to>
      <xdr:col>36</xdr:col>
      <xdr:colOff>6985</xdr:colOff>
      <xdr:row>42</xdr:row>
      <xdr:rowOff>107675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0" y="4563717"/>
          <a:ext cx="804877" cy="853109"/>
        </a:xfrm>
        <a:prstGeom prst="rect">
          <a:avLst/>
        </a:prstGeom>
      </xdr:spPr>
    </xdr:pic>
    <xdr:clientData/>
  </xdr:twoCellAnchor>
  <xdr:twoCellAnchor editAs="oneCell">
    <xdr:from>
      <xdr:col>42</xdr:col>
      <xdr:colOff>16566</xdr:colOff>
      <xdr:row>34</xdr:row>
      <xdr:rowOff>97442</xdr:rowOff>
    </xdr:from>
    <xdr:to>
      <xdr:col>45</xdr:col>
      <xdr:colOff>542135</xdr:colOff>
      <xdr:row>43</xdr:row>
      <xdr:rowOff>24847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783" y="4470659"/>
          <a:ext cx="807178" cy="979297"/>
        </a:xfrm>
        <a:prstGeom prst="rect">
          <a:avLst/>
        </a:prstGeom>
      </xdr:spPr>
    </xdr:pic>
    <xdr:clientData/>
  </xdr:twoCellAnchor>
  <xdr:twoCellAnchor editAs="oneCell">
    <xdr:from>
      <xdr:col>52</xdr:col>
      <xdr:colOff>46509</xdr:colOff>
      <xdr:row>35</xdr:row>
      <xdr:rowOff>0</xdr:rowOff>
    </xdr:from>
    <xdr:to>
      <xdr:col>55</xdr:col>
      <xdr:colOff>463826</xdr:colOff>
      <xdr:row>43</xdr:row>
      <xdr:rowOff>75085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900" y="4489174"/>
          <a:ext cx="715491" cy="101102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16565</xdr:colOff>
      <xdr:row>35</xdr:row>
      <xdr:rowOff>42586</xdr:rowOff>
    </xdr:from>
    <xdr:to>
      <xdr:col>65</xdr:col>
      <xdr:colOff>545961</xdr:colOff>
      <xdr:row>42</xdr:row>
      <xdr:rowOff>91110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130" y="4531760"/>
          <a:ext cx="811004" cy="86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80284</xdr:colOff>
      <xdr:row>47</xdr:row>
      <xdr:rowOff>41413</xdr:rowOff>
    </xdr:from>
    <xdr:to>
      <xdr:col>5</xdr:col>
      <xdr:colOff>457746</xdr:colOff>
      <xdr:row>58</xdr:row>
      <xdr:rowOff>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06" y="5830956"/>
          <a:ext cx="675636" cy="1234110"/>
        </a:xfrm>
        <a:prstGeom prst="rect">
          <a:avLst/>
        </a:prstGeom>
      </xdr:spPr>
    </xdr:pic>
    <xdr:clientData/>
  </xdr:twoCellAnchor>
  <xdr:twoCellAnchor editAs="oneCell">
    <xdr:from>
      <xdr:col>13</xdr:col>
      <xdr:colOff>7615</xdr:colOff>
      <xdr:row>47</xdr:row>
      <xdr:rowOff>16567</xdr:rowOff>
    </xdr:from>
    <xdr:to>
      <xdr:col>15</xdr:col>
      <xdr:colOff>356152</xdr:colOff>
      <xdr:row>57</xdr:row>
      <xdr:rowOff>100634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67" y="5806110"/>
          <a:ext cx="547320" cy="1243633"/>
        </a:xfrm>
        <a:prstGeom prst="rect">
          <a:avLst/>
        </a:prstGeom>
      </xdr:spPr>
    </xdr:pic>
    <xdr:clientData/>
  </xdr:twoCellAnchor>
  <xdr:twoCellAnchor editAs="oneCell">
    <xdr:from>
      <xdr:col>22</xdr:col>
      <xdr:colOff>77305</xdr:colOff>
      <xdr:row>47</xdr:row>
      <xdr:rowOff>99393</xdr:rowOff>
    </xdr:from>
    <xdr:to>
      <xdr:col>25</xdr:col>
      <xdr:colOff>438978</xdr:colOff>
      <xdr:row>57</xdr:row>
      <xdr:rowOff>70993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175" y="5888936"/>
          <a:ext cx="659847" cy="113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8283</xdr:colOff>
      <xdr:row>47</xdr:row>
      <xdr:rowOff>49696</xdr:rowOff>
    </xdr:from>
    <xdr:to>
      <xdr:col>35</xdr:col>
      <xdr:colOff>364434</xdr:colOff>
      <xdr:row>57</xdr:row>
      <xdr:rowOff>76540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3" y="5839239"/>
          <a:ext cx="554934" cy="1186410"/>
        </a:xfrm>
        <a:prstGeom prst="rect">
          <a:avLst/>
        </a:prstGeom>
      </xdr:spPr>
    </xdr:pic>
    <xdr:clientData/>
  </xdr:twoCellAnchor>
  <xdr:twoCellAnchor editAs="oneCell">
    <xdr:from>
      <xdr:col>43</xdr:col>
      <xdr:colOff>61521</xdr:colOff>
      <xdr:row>48</xdr:row>
      <xdr:rowOff>8284</xdr:rowOff>
    </xdr:from>
    <xdr:to>
      <xdr:col>45</xdr:col>
      <xdr:colOff>324054</xdr:colOff>
      <xdr:row>57</xdr:row>
      <xdr:rowOff>74543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695" y="5913784"/>
          <a:ext cx="461315" cy="110986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47</xdr:row>
      <xdr:rowOff>107041</xdr:rowOff>
    </xdr:from>
    <xdr:to>
      <xdr:col>55</xdr:col>
      <xdr:colOff>488674</xdr:colOff>
      <xdr:row>57</xdr:row>
      <xdr:rowOff>100215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933" y="5896584"/>
          <a:ext cx="712306" cy="1152740"/>
        </a:xfrm>
        <a:prstGeom prst="rect">
          <a:avLst/>
        </a:prstGeom>
      </xdr:spPr>
    </xdr:pic>
    <xdr:clientData/>
  </xdr:twoCellAnchor>
  <xdr:twoCellAnchor editAs="oneCell">
    <xdr:from>
      <xdr:col>63</xdr:col>
      <xdr:colOff>86397</xdr:colOff>
      <xdr:row>48</xdr:row>
      <xdr:rowOff>0</xdr:rowOff>
    </xdr:from>
    <xdr:to>
      <xdr:col>65</xdr:col>
      <xdr:colOff>309649</xdr:colOff>
      <xdr:row>57</xdr:row>
      <xdr:rowOff>107674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19" y="5905500"/>
          <a:ext cx="422034" cy="115128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63</xdr:row>
      <xdr:rowOff>8282</xdr:rowOff>
    </xdr:from>
    <xdr:to>
      <xdr:col>5</xdr:col>
      <xdr:colOff>617701</xdr:colOff>
      <xdr:row>70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7553739"/>
          <a:ext cx="965570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82827</xdr:colOff>
      <xdr:row>63</xdr:row>
      <xdr:rowOff>0</xdr:rowOff>
    </xdr:from>
    <xdr:to>
      <xdr:col>16</xdr:col>
      <xdr:colOff>55217</xdr:colOff>
      <xdr:row>70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6" y="7545457"/>
          <a:ext cx="960782" cy="799429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24848</xdr:colOff>
      <xdr:row>62</xdr:row>
      <xdr:rowOff>34845</xdr:rowOff>
    </xdr:from>
    <xdr:to>
      <xdr:col>26</xdr:col>
      <xdr:colOff>5962</xdr:colOff>
      <xdr:row>69</xdr:row>
      <xdr:rowOff>82826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35" y="7464345"/>
          <a:ext cx="1118592" cy="859678"/>
        </a:xfrm>
        <a:prstGeom prst="rect">
          <a:avLst/>
        </a:prstGeom>
      </xdr:spPr>
    </xdr:pic>
    <xdr:clientData/>
  </xdr:twoCellAnchor>
  <xdr:twoCellAnchor editAs="oneCell">
    <xdr:from>
      <xdr:col>31</xdr:col>
      <xdr:colOff>66260</xdr:colOff>
      <xdr:row>63</xdr:row>
      <xdr:rowOff>66260</xdr:rowOff>
    </xdr:from>
    <xdr:to>
      <xdr:col>36</xdr:col>
      <xdr:colOff>96631</xdr:colOff>
      <xdr:row>71</xdr:row>
      <xdr:rowOff>83964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347" y="7611717"/>
          <a:ext cx="969066" cy="821117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74544</xdr:colOff>
      <xdr:row>63</xdr:row>
      <xdr:rowOff>57978</xdr:rowOff>
    </xdr:from>
    <xdr:to>
      <xdr:col>46</xdr:col>
      <xdr:colOff>30370</xdr:colOff>
      <xdr:row>71</xdr:row>
      <xdr:rowOff>75997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805" y="7603435"/>
          <a:ext cx="927652" cy="821432"/>
        </a:xfrm>
        <a:prstGeom prst="rect">
          <a:avLst/>
        </a:prstGeom>
      </xdr:spPr>
    </xdr:pic>
    <xdr:clientData/>
  </xdr:twoCellAnchor>
  <xdr:twoCellAnchor editAs="oneCell">
    <xdr:from>
      <xdr:col>61</xdr:col>
      <xdr:colOff>91108</xdr:colOff>
      <xdr:row>64</xdr:row>
      <xdr:rowOff>24848</xdr:rowOff>
    </xdr:from>
    <xdr:to>
      <xdr:col>65</xdr:col>
      <xdr:colOff>579782</xdr:colOff>
      <xdr:row>71</xdr:row>
      <xdr:rowOff>95190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717" y="7686261"/>
          <a:ext cx="886239" cy="757799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76</xdr:row>
      <xdr:rowOff>57979</xdr:rowOff>
    </xdr:from>
    <xdr:to>
      <xdr:col>6</xdr:col>
      <xdr:colOff>20936</xdr:colOff>
      <xdr:row>84</xdr:row>
      <xdr:rowOff>8284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9003196"/>
          <a:ext cx="912696" cy="877957"/>
        </a:xfrm>
        <a:prstGeom prst="rect">
          <a:avLst/>
        </a:prstGeom>
      </xdr:spPr>
    </xdr:pic>
    <xdr:clientData/>
  </xdr:twoCellAnchor>
  <xdr:twoCellAnchor editAs="oneCell">
    <xdr:from>
      <xdr:col>11</xdr:col>
      <xdr:colOff>98320</xdr:colOff>
      <xdr:row>76</xdr:row>
      <xdr:rowOff>16566</xdr:rowOff>
    </xdr:from>
    <xdr:to>
      <xdr:col>16</xdr:col>
      <xdr:colOff>13804</xdr:colOff>
      <xdr:row>83</xdr:row>
      <xdr:rowOff>90278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059" y="8961783"/>
          <a:ext cx="920441" cy="885407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76</xdr:row>
      <xdr:rowOff>56127</xdr:rowOff>
    </xdr:from>
    <xdr:to>
      <xdr:col>26</xdr:col>
      <xdr:colOff>30370</xdr:colOff>
      <xdr:row>83</xdr:row>
      <xdr:rowOff>69085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609" y="9001344"/>
          <a:ext cx="985630" cy="824653"/>
        </a:xfrm>
        <a:prstGeom prst="rect">
          <a:avLst/>
        </a:prstGeom>
      </xdr:spPr>
    </xdr:pic>
    <xdr:clientData/>
  </xdr:twoCellAnchor>
  <xdr:twoCellAnchor editAs="oneCell">
    <xdr:from>
      <xdr:col>31</xdr:col>
      <xdr:colOff>83504</xdr:colOff>
      <xdr:row>76</xdr:row>
      <xdr:rowOff>99392</xdr:rowOff>
    </xdr:from>
    <xdr:to>
      <xdr:col>36</xdr:col>
      <xdr:colOff>55219</xdr:colOff>
      <xdr:row>84</xdr:row>
      <xdr:rowOff>74748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591" y="9044609"/>
          <a:ext cx="910410" cy="903008"/>
        </a:xfrm>
        <a:prstGeom prst="rect">
          <a:avLst/>
        </a:prstGeom>
      </xdr:spPr>
    </xdr:pic>
    <xdr:clientData/>
  </xdr:twoCellAnchor>
  <xdr:twoCellAnchor editAs="oneCell">
    <xdr:from>
      <xdr:col>42</xdr:col>
      <xdr:colOff>8284</xdr:colOff>
      <xdr:row>76</xdr:row>
      <xdr:rowOff>30707</xdr:rowOff>
    </xdr:from>
    <xdr:to>
      <xdr:col>46</xdr:col>
      <xdr:colOff>21560</xdr:colOff>
      <xdr:row>84</xdr:row>
      <xdr:rowOff>99393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8975924"/>
          <a:ext cx="869146" cy="996338"/>
        </a:xfrm>
        <a:prstGeom prst="rect">
          <a:avLst/>
        </a:prstGeom>
      </xdr:spPr>
    </xdr:pic>
    <xdr:clientData/>
  </xdr:twoCellAnchor>
  <xdr:twoCellAnchor editAs="oneCell">
    <xdr:from>
      <xdr:col>51</xdr:col>
      <xdr:colOff>74544</xdr:colOff>
      <xdr:row>77</xdr:row>
      <xdr:rowOff>0</xdr:rowOff>
    </xdr:from>
    <xdr:to>
      <xdr:col>55</xdr:col>
      <xdr:colOff>571501</xdr:colOff>
      <xdr:row>84</xdr:row>
      <xdr:rowOff>73789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979" y="9061174"/>
          <a:ext cx="894522" cy="885486"/>
        </a:xfrm>
        <a:prstGeom prst="rect">
          <a:avLst/>
        </a:prstGeom>
      </xdr:spPr>
    </xdr:pic>
    <xdr:clientData/>
  </xdr:twoCellAnchor>
  <xdr:twoCellAnchor editAs="oneCell">
    <xdr:from>
      <xdr:col>61</xdr:col>
      <xdr:colOff>57979</xdr:colOff>
      <xdr:row>77</xdr:row>
      <xdr:rowOff>33131</xdr:rowOff>
    </xdr:from>
    <xdr:to>
      <xdr:col>65</xdr:col>
      <xdr:colOff>563218</xdr:colOff>
      <xdr:row>84</xdr:row>
      <xdr:rowOff>93855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588" y="9094305"/>
          <a:ext cx="902804" cy="872421"/>
        </a:xfrm>
        <a:prstGeom prst="rect">
          <a:avLst/>
        </a:prstGeom>
      </xdr:spPr>
    </xdr:pic>
    <xdr:clientData/>
  </xdr:twoCellAnchor>
  <xdr:twoCellAnchor editAs="oneCell">
    <xdr:from>
      <xdr:col>2</xdr:col>
      <xdr:colOff>95606</xdr:colOff>
      <xdr:row>90</xdr:row>
      <xdr:rowOff>16564</xdr:rowOff>
    </xdr:from>
    <xdr:to>
      <xdr:col>5</xdr:col>
      <xdr:colOff>397565</xdr:colOff>
      <xdr:row>97</xdr:row>
      <xdr:rowOff>18039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8" y="10386390"/>
          <a:ext cx="600133" cy="1083736"/>
        </a:xfrm>
        <a:prstGeom prst="rect">
          <a:avLst/>
        </a:prstGeom>
      </xdr:spPr>
    </xdr:pic>
    <xdr:clientData/>
  </xdr:twoCellAnchor>
  <xdr:twoCellAnchor editAs="oneCell">
    <xdr:from>
      <xdr:col>13</xdr:col>
      <xdr:colOff>17302</xdr:colOff>
      <xdr:row>89</xdr:row>
      <xdr:rowOff>115957</xdr:rowOff>
    </xdr:from>
    <xdr:to>
      <xdr:col>15</xdr:col>
      <xdr:colOff>306457</xdr:colOff>
      <xdr:row>96</xdr:row>
      <xdr:rowOff>93395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54" y="10361544"/>
          <a:ext cx="487938" cy="1040373"/>
        </a:xfrm>
        <a:prstGeom prst="rect">
          <a:avLst/>
        </a:prstGeom>
      </xdr:spPr>
    </xdr:pic>
    <xdr:clientData/>
  </xdr:twoCellAnchor>
  <xdr:twoCellAnchor editAs="oneCell">
    <xdr:from>
      <xdr:col>23</xdr:col>
      <xdr:colOff>69548</xdr:colOff>
      <xdr:row>89</xdr:row>
      <xdr:rowOff>107674</xdr:rowOff>
    </xdr:from>
    <xdr:to>
      <xdr:col>25</xdr:col>
      <xdr:colOff>203202</xdr:colOff>
      <xdr:row>96</xdr:row>
      <xdr:rowOff>96630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74" y="10353261"/>
          <a:ext cx="349003" cy="1051891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24848</xdr:colOff>
      <xdr:row>89</xdr:row>
      <xdr:rowOff>119580</xdr:rowOff>
    </xdr:from>
    <xdr:to>
      <xdr:col>35</xdr:col>
      <xdr:colOff>372717</xdr:colOff>
      <xdr:row>96</xdr:row>
      <xdr:rowOff>112679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1" y="10365167"/>
          <a:ext cx="662609" cy="1056034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90</xdr:row>
      <xdr:rowOff>113476</xdr:rowOff>
    </xdr:from>
    <xdr:to>
      <xdr:col>46</xdr:col>
      <xdr:colOff>46934</xdr:colOff>
      <xdr:row>96</xdr:row>
      <xdr:rowOff>54501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391" y="10599259"/>
          <a:ext cx="985630" cy="865917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49696</xdr:colOff>
      <xdr:row>91</xdr:row>
      <xdr:rowOff>9053</xdr:rowOff>
    </xdr:from>
    <xdr:to>
      <xdr:col>56</xdr:col>
      <xdr:colOff>35893</xdr:colOff>
      <xdr:row>96</xdr:row>
      <xdr:rowOff>92896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131" y="10619075"/>
          <a:ext cx="969066" cy="851365"/>
        </a:xfrm>
        <a:prstGeom prst="rect">
          <a:avLst/>
        </a:prstGeom>
      </xdr:spPr>
    </xdr:pic>
    <xdr:clientData/>
  </xdr:twoCellAnchor>
  <xdr:twoCellAnchor editAs="oneCell">
    <xdr:from>
      <xdr:col>61</xdr:col>
      <xdr:colOff>82825</xdr:colOff>
      <xdr:row>91</xdr:row>
      <xdr:rowOff>1</xdr:rowOff>
    </xdr:from>
    <xdr:to>
      <xdr:col>65</xdr:col>
      <xdr:colOff>609171</xdr:colOff>
      <xdr:row>96</xdr:row>
      <xdr:rowOff>44174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34" y="10610023"/>
          <a:ext cx="923911" cy="811695"/>
        </a:xfrm>
        <a:prstGeom prst="rect">
          <a:avLst/>
        </a:prstGeom>
      </xdr:spPr>
    </xdr:pic>
    <xdr:clientData/>
  </xdr:twoCellAnchor>
  <xdr:twoCellAnchor editAs="oneCell">
    <xdr:from>
      <xdr:col>51</xdr:col>
      <xdr:colOff>57979</xdr:colOff>
      <xdr:row>63</xdr:row>
      <xdr:rowOff>82825</xdr:rowOff>
    </xdr:from>
    <xdr:to>
      <xdr:col>56</xdr:col>
      <xdr:colOff>44173</xdr:colOff>
      <xdr:row>71</xdr:row>
      <xdr:rowOff>44091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01C58DF-85FA-72F7-6D1C-3E2646CD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375414" y="7628282"/>
          <a:ext cx="969063" cy="7646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16567</xdr:colOff>
      <xdr:row>21</xdr:row>
      <xdr:rowOff>33130</xdr:rowOff>
    </xdr:from>
    <xdr:to>
      <xdr:col>16</xdr:col>
      <xdr:colOff>25724</xdr:colOff>
      <xdr:row>27</xdr:row>
      <xdr:rowOff>103855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3A13962-8008-9B61-EE15-4F136E5C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93306" y="2990021"/>
          <a:ext cx="1014114" cy="774747"/>
        </a:xfrm>
        <a:prstGeom prst="rect">
          <a:avLst/>
        </a:prstGeom>
      </xdr:spPr>
    </xdr:pic>
    <xdr:clientData/>
  </xdr:twoCellAnchor>
  <xdr:twoCellAnchor editAs="oneCell">
    <xdr:from>
      <xdr:col>2</xdr:col>
      <xdr:colOff>105200</xdr:colOff>
      <xdr:row>0</xdr:row>
      <xdr:rowOff>119093</xdr:rowOff>
    </xdr:from>
    <xdr:to>
      <xdr:col>13</xdr:col>
      <xdr:colOff>95074</xdr:colOff>
      <xdr:row>2</xdr:row>
      <xdr:rowOff>34637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F31C917-1944-DA41-8C9C-78D71FC27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745" y="119093"/>
          <a:ext cx="1583147" cy="147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BO319"/>
  <sheetViews>
    <sheetView showGridLines="0" view="pageBreakPreview" topLeftCell="A61" zoomScaleSheetLayoutView="100" workbookViewId="0">
      <selection activeCell="B1" sqref="B1:BN1"/>
    </sheetView>
  </sheetViews>
  <sheetFormatPr defaultColWidth="9.109375" defaultRowHeight="13.8" x14ac:dyDescent="0.3"/>
  <cols>
    <col min="1" max="1" width="0.33203125" style="2" customWidth="1"/>
    <col min="2" max="5" width="1.6640625" style="87" customWidth="1"/>
    <col min="6" max="6" width="2.33203125" style="87" customWidth="1"/>
    <col min="7" max="7" width="6.109375" style="87" customWidth="1"/>
    <col min="8" max="11" width="1.6640625" style="87" customWidth="1"/>
    <col min="12" max="12" width="0.33203125" style="87" customWidth="1"/>
    <col min="13" max="17" width="1.6640625" style="87" customWidth="1"/>
    <col min="18" max="18" width="8.33203125" style="87" customWidth="1"/>
    <col min="19" max="21" width="1.6640625" style="87" customWidth="1"/>
    <col min="22" max="22" width="2" style="87" customWidth="1"/>
    <col min="23" max="23" width="0.109375" style="87" customWidth="1"/>
    <col min="24" max="28" width="1.6640625" style="87" customWidth="1"/>
    <col min="29" max="29" width="8.44140625" style="87" customWidth="1"/>
    <col min="30" max="33" width="1.6640625" style="87" customWidth="1"/>
    <col min="34" max="34" width="0.33203125" style="87" customWidth="1"/>
    <col min="35" max="39" width="1.6640625" style="87" customWidth="1"/>
    <col min="40" max="40" width="7.33203125" style="87" customWidth="1"/>
    <col min="41" max="41" width="2.109375" style="87" customWidth="1"/>
    <col min="42" max="44" width="1.6640625" style="87" customWidth="1"/>
    <col min="45" max="45" width="0.33203125" style="87" customWidth="1"/>
    <col min="46" max="50" width="1.6640625" style="87" customWidth="1"/>
    <col min="51" max="51" width="5.77734375" style="87" customWidth="1"/>
    <col min="52" max="52" width="2.77734375" style="87" customWidth="1"/>
    <col min="53" max="55" width="1.6640625" style="87" customWidth="1"/>
    <col min="56" max="56" width="0.33203125" style="87" customWidth="1"/>
    <col min="57" max="61" width="1.6640625" style="87" customWidth="1"/>
    <col min="62" max="62" width="6.6640625" style="87" customWidth="1"/>
    <col min="63" max="63" width="2" style="87" customWidth="1"/>
    <col min="64" max="66" width="1.6640625" style="87" customWidth="1"/>
    <col min="67" max="67" width="0.33203125" style="87" customWidth="1"/>
    <col min="68" max="16384" width="9.109375" style="2"/>
  </cols>
  <sheetData>
    <row r="1" spans="1:66" ht="103.2" customHeight="1" x14ac:dyDescent="0.3">
      <c r="A1" s="1"/>
      <c r="B1" s="282" t="s">
        <v>839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4"/>
    </row>
    <row r="2" spans="1:66" ht="3" customHeight="1" x14ac:dyDescent="0.3">
      <c r="A2" s="1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1"/>
    </row>
    <row r="3" spans="1:66" ht="18" customHeight="1" x14ac:dyDescent="0.3">
      <c r="B3" s="241">
        <v>1.4</v>
      </c>
      <c r="C3" s="242"/>
      <c r="D3" s="242"/>
      <c r="E3" s="242"/>
      <c r="F3" s="242"/>
      <c r="G3" s="242"/>
      <c r="H3" s="242"/>
      <c r="I3" s="242"/>
      <c r="J3" s="242"/>
      <c r="K3" s="242"/>
      <c r="L3" s="88"/>
      <c r="M3" s="260" t="s">
        <v>95</v>
      </c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1"/>
    </row>
    <row r="4" spans="1:66" ht="1.5" customHeigh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</row>
    <row r="5" spans="1:66" ht="9" customHeight="1" x14ac:dyDescent="0.3">
      <c r="B5" s="285"/>
      <c r="C5" s="286"/>
      <c r="D5" s="286"/>
      <c r="E5" s="286"/>
      <c r="F5" s="286"/>
      <c r="G5" s="286"/>
      <c r="H5" s="286"/>
      <c r="I5" s="286"/>
      <c r="J5" s="286"/>
      <c r="K5" s="287"/>
      <c r="L5" s="90"/>
      <c r="M5" s="254" t="s">
        <v>0</v>
      </c>
      <c r="N5" s="255"/>
      <c r="O5" s="256"/>
      <c r="P5" s="257" t="s">
        <v>2</v>
      </c>
      <c r="Q5" s="258"/>
      <c r="R5" s="258"/>
      <c r="S5" s="258"/>
      <c r="T5" s="258"/>
      <c r="U5" s="258"/>
      <c r="V5" s="259"/>
      <c r="W5" s="91"/>
      <c r="X5" s="254" t="s">
        <v>1</v>
      </c>
      <c r="Y5" s="255"/>
      <c r="Z5" s="256"/>
      <c r="AA5" s="238" t="s">
        <v>2</v>
      </c>
      <c r="AB5" s="239"/>
      <c r="AC5" s="239"/>
      <c r="AD5" s="239"/>
      <c r="AE5" s="239"/>
      <c r="AF5" s="239"/>
      <c r="AG5" s="240"/>
      <c r="AH5" s="92"/>
      <c r="AI5" s="254" t="s">
        <v>49</v>
      </c>
      <c r="AJ5" s="255"/>
      <c r="AK5" s="256"/>
      <c r="AL5" s="238" t="s">
        <v>2</v>
      </c>
      <c r="AM5" s="239"/>
      <c r="AN5" s="239"/>
      <c r="AO5" s="239"/>
      <c r="AP5" s="239"/>
      <c r="AQ5" s="239"/>
      <c r="AR5" s="240"/>
      <c r="AS5" s="92"/>
      <c r="AT5" s="254" t="s">
        <v>6</v>
      </c>
      <c r="AU5" s="255"/>
      <c r="AV5" s="256"/>
      <c r="AW5" s="238" t="s">
        <v>2</v>
      </c>
      <c r="AX5" s="239"/>
      <c r="AY5" s="239"/>
      <c r="AZ5" s="239"/>
      <c r="BA5" s="239"/>
      <c r="BB5" s="239"/>
      <c r="BC5" s="240"/>
      <c r="BD5" s="92"/>
      <c r="BE5" s="254" t="s">
        <v>621</v>
      </c>
      <c r="BF5" s="255"/>
      <c r="BG5" s="256"/>
      <c r="BH5" s="238" t="s">
        <v>7</v>
      </c>
      <c r="BI5" s="239"/>
      <c r="BJ5" s="239"/>
      <c r="BK5" s="239"/>
      <c r="BL5" s="239"/>
      <c r="BM5" s="239"/>
      <c r="BN5" s="240"/>
    </row>
    <row r="6" spans="1:66" ht="9" customHeight="1" x14ac:dyDescent="0.3">
      <c r="B6" s="262" t="s">
        <v>341</v>
      </c>
      <c r="C6" s="262"/>
      <c r="D6" s="262"/>
      <c r="E6" s="262"/>
      <c r="F6" s="262"/>
      <c r="G6" s="262"/>
      <c r="H6" s="262"/>
      <c r="I6" s="262"/>
      <c r="J6" s="262"/>
      <c r="K6" s="262"/>
      <c r="L6" s="90"/>
      <c r="M6" s="248"/>
      <c r="N6" s="249"/>
      <c r="O6" s="249"/>
      <c r="P6" s="249"/>
      <c r="Q6" s="249"/>
      <c r="R6" s="249"/>
      <c r="S6" s="249"/>
      <c r="T6" s="249"/>
      <c r="U6" s="249"/>
      <c r="V6" s="250"/>
      <c r="W6" s="91"/>
      <c r="X6" s="251" t="s">
        <v>5</v>
      </c>
      <c r="Y6" s="252"/>
      <c r="Z6" s="252"/>
      <c r="AA6" s="252"/>
      <c r="AB6" s="252"/>
      <c r="AC6" s="252"/>
      <c r="AD6" s="252"/>
      <c r="AE6" s="252"/>
      <c r="AF6" s="252"/>
      <c r="AG6" s="253"/>
      <c r="AH6" s="92"/>
      <c r="AI6" s="251" t="s">
        <v>5</v>
      </c>
      <c r="AJ6" s="252"/>
      <c r="AK6" s="252"/>
      <c r="AL6" s="252"/>
      <c r="AM6" s="252"/>
      <c r="AN6" s="252"/>
      <c r="AO6" s="252"/>
      <c r="AP6" s="252"/>
      <c r="AQ6" s="252"/>
      <c r="AR6" s="253"/>
      <c r="AS6" s="92"/>
      <c r="AT6" s="251" t="s">
        <v>143</v>
      </c>
      <c r="AU6" s="252"/>
      <c r="AV6" s="252"/>
      <c r="AW6" s="252"/>
      <c r="AX6" s="252"/>
      <c r="AY6" s="252"/>
      <c r="AZ6" s="252"/>
      <c r="BA6" s="252"/>
      <c r="BB6" s="252"/>
      <c r="BC6" s="253"/>
      <c r="BD6" s="92"/>
      <c r="BE6" s="251" t="s">
        <v>747</v>
      </c>
      <c r="BF6" s="252"/>
      <c r="BG6" s="252"/>
      <c r="BH6" s="252"/>
      <c r="BI6" s="252"/>
      <c r="BJ6" s="252"/>
      <c r="BK6" s="252"/>
      <c r="BL6" s="252"/>
      <c r="BM6" s="252"/>
      <c r="BN6" s="253"/>
    </row>
    <row r="7" spans="1:66" ht="9" customHeight="1" x14ac:dyDescent="0.3"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90"/>
      <c r="M7" s="93"/>
      <c r="N7" s="91"/>
      <c r="O7" s="91"/>
      <c r="P7" s="91"/>
      <c r="Q7" s="91"/>
      <c r="R7" s="91"/>
      <c r="S7" s="91"/>
      <c r="T7" s="91"/>
      <c r="U7" s="91"/>
      <c r="V7" s="94"/>
      <c r="W7" s="91"/>
      <c r="X7" s="95"/>
      <c r="Y7" s="91"/>
      <c r="Z7" s="91"/>
      <c r="AA7" s="91"/>
      <c r="AB7" s="91"/>
      <c r="AC7" s="91"/>
      <c r="AD7" s="91"/>
      <c r="AE7" s="91"/>
      <c r="AF7" s="91"/>
      <c r="AG7" s="96"/>
      <c r="AH7" s="92"/>
      <c r="AI7" s="95"/>
      <c r="AJ7" s="91"/>
      <c r="AK7" s="91"/>
      <c r="AL7" s="91"/>
      <c r="AM7" s="91"/>
      <c r="AN7" s="91"/>
      <c r="AO7" s="91"/>
      <c r="AP7" s="91"/>
      <c r="AQ7" s="91"/>
      <c r="AR7" s="96"/>
      <c r="AS7" s="92"/>
      <c r="AT7" s="97"/>
      <c r="AU7" s="92"/>
      <c r="AV7" s="92"/>
      <c r="AW7" s="92"/>
      <c r="AX7" s="92"/>
      <c r="AY7" s="92"/>
      <c r="AZ7" s="92"/>
      <c r="BA7" s="92"/>
      <c r="BB7" s="92"/>
      <c r="BC7" s="98"/>
      <c r="BD7" s="92"/>
      <c r="BE7" s="97"/>
      <c r="BF7" s="92"/>
      <c r="BG7" s="92"/>
      <c r="BH7" s="92"/>
      <c r="BI7" s="92"/>
      <c r="BJ7" s="92"/>
      <c r="BK7" s="92"/>
      <c r="BL7" s="92"/>
      <c r="BM7" s="92"/>
      <c r="BN7" s="98"/>
    </row>
    <row r="8" spans="1:66" ht="9" customHeight="1" x14ac:dyDescent="0.3"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90"/>
      <c r="M8" s="93"/>
      <c r="N8" s="91"/>
      <c r="O8" s="91"/>
      <c r="P8" s="91"/>
      <c r="Q8" s="91"/>
      <c r="R8" s="91"/>
      <c r="S8" s="91"/>
      <c r="T8" s="91"/>
      <c r="U8" s="91"/>
      <c r="V8" s="94"/>
      <c r="W8" s="91"/>
      <c r="X8" s="95"/>
      <c r="Y8" s="91"/>
      <c r="Z8" s="91"/>
      <c r="AA8" s="91"/>
      <c r="AB8" s="91"/>
      <c r="AC8" s="91"/>
      <c r="AD8" s="91"/>
      <c r="AE8" s="91"/>
      <c r="AF8" s="91"/>
      <c r="AG8" s="96"/>
      <c r="AH8" s="92"/>
      <c r="AI8" s="95"/>
      <c r="AJ8" s="91"/>
      <c r="AK8" s="91"/>
      <c r="AL8" s="91"/>
      <c r="AM8" s="91"/>
      <c r="AN8" s="91"/>
      <c r="AO8" s="91"/>
      <c r="AP8" s="91"/>
      <c r="AQ8" s="91"/>
      <c r="AR8" s="96"/>
      <c r="AS8" s="92"/>
      <c r="AT8" s="97"/>
      <c r="AU8" s="92"/>
      <c r="AV8" s="92"/>
      <c r="AW8" s="92"/>
      <c r="AX8" s="92"/>
      <c r="AY8" s="92"/>
      <c r="AZ8" s="92"/>
      <c r="BA8" s="92"/>
      <c r="BB8" s="92"/>
      <c r="BC8" s="98"/>
      <c r="BD8" s="92"/>
      <c r="BE8" s="97"/>
      <c r="BF8" s="92"/>
      <c r="BG8" s="92"/>
      <c r="BH8" s="92"/>
      <c r="BI8" s="92"/>
      <c r="BJ8" s="92"/>
      <c r="BK8" s="92"/>
      <c r="BL8" s="92"/>
      <c r="BM8" s="92"/>
      <c r="BN8" s="98"/>
    </row>
    <row r="9" spans="1:66" ht="9" customHeight="1" x14ac:dyDescent="0.3">
      <c r="B9" s="262"/>
      <c r="C9" s="262"/>
      <c r="D9" s="262"/>
      <c r="E9" s="262"/>
      <c r="F9" s="262"/>
      <c r="G9" s="262"/>
      <c r="H9" s="262"/>
      <c r="I9" s="262"/>
      <c r="J9" s="262"/>
      <c r="K9" s="262"/>
      <c r="L9" s="90"/>
      <c r="M9" s="93"/>
      <c r="N9" s="91"/>
      <c r="O9" s="91"/>
      <c r="P9" s="91"/>
      <c r="Q9" s="91"/>
      <c r="R9" s="91"/>
      <c r="S9" s="91"/>
      <c r="T9" s="91"/>
      <c r="U9" s="91"/>
      <c r="V9" s="94"/>
      <c r="W9" s="91"/>
      <c r="X9" s="95"/>
      <c r="Y9" s="91"/>
      <c r="Z9" s="91"/>
      <c r="AA9" s="91"/>
      <c r="AB9" s="91"/>
      <c r="AC9" s="91"/>
      <c r="AD9" s="91"/>
      <c r="AE9" s="91"/>
      <c r="AF9" s="91"/>
      <c r="AG9" s="96"/>
      <c r="AH9" s="92"/>
      <c r="AI9" s="95"/>
      <c r="AJ9" s="91"/>
      <c r="AK9" s="91"/>
      <c r="AL9" s="91"/>
      <c r="AM9" s="91"/>
      <c r="AN9" s="91"/>
      <c r="AO9" s="91"/>
      <c r="AP9" s="91"/>
      <c r="AQ9" s="91"/>
      <c r="AR9" s="96"/>
      <c r="AS9" s="92"/>
      <c r="AT9" s="97"/>
      <c r="AU9" s="92"/>
      <c r="AV9" s="92"/>
      <c r="AW9" s="92"/>
      <c r="AX9" s="92"/>
      <c r="AY9" s="92"/>
      <c r="AZ9" s="92"/>
      <c r="BA9" s="92"/>
      <c r="BB9" s="92"/>
      <c r="BC9" s="98"/>
      <c r="BD9" s="92"/>
      <c r="BE9" s="97"/>
      <c r="BF9" s="92"/>
      <c r="BG9" s="92"/>
      <c r="BH9" s="92"/>
      <c r="BI9" s="92"/>
      <c r="BJ9" s="92"/>
      <c r="BK9" s="92"/>
      <c r="BL9" s="92"/>
      <c r="BM9" s="92"/>
      <c r="BN9" s="98"/>
    </row>
    <row r="10" spans="1:66" ht="9" customHeight="1" x14ac:dyDescent="0.3">
      <c r="B10" s="262"/>
      <c r="C10" s="262"/>
      <c r="D10" s="262"/>
      <c r="E10" s="262"/>
      <c r="F10" s="262"/>
      <c r="G10" s="262"/>
      <c r="H10" s="262"/>
      <c r="I10" s="262"/>
      <c r="J10" s="262"/>
      <c r="K10" s="262"/>
      <c r="L10" s="90"/>
      <c r="M10" s="93"/>
      <c r="N10" s="91"/>
      <c r="O10" s="91"/>
      <c r="P10" s="91"/>
      <c r="Q10" s="91"/>
      <c r="R10" s="91"/>
      <c r="S10" s="91"/>
      <c r="T10" s="91"/>
      <c r="U10" s="91"/>
      <c r="V10" s="94"/>
      <c r="W10" s="91"/>
      <c r="X10" s="95"/>
      <c r="Y10" s="91"/>
      <c r="Z10" s="91"/>
      <c r="AA10" s="91"/>
      <c r="AB10" s="91"/>
      <c r="AC10" s="91"/>
      <c r="AD10" s="91"/>
      <c r="AE10" s="91"/>
      <c r="AF10" s="91"/>
      <c r="AG10" s="96"/>
      <c r="AH10" s="92"/>
      <c r="AI10" s="95"/>
      <c r="AJ10" s="91"/>
      <c r="AK10" s="91"/>
      <c r="AL10" s="91"/>
      <c r="AM10" s="91"/>
      <c r="AN10" s="91"/>
      <c r="AO10" s="91"/>
      <c r="AP10" s="91"/>
      <c r="AQ10" s="91"/>
      <c r="AR10" s="96"/>
      <c r="AS10" s="92"/>
      <c r="AT10" s="97"/>
      <c r="AU10" s="92"/>
      <c r="AV10" s="92"/>
      <c r="AW10" s="92"/>
      <c r="AX10" s="92"/>
      <c r="AY10" s="92"/>
      <c r="AZ10" s="92"/>
      <c r="BA10" s="92"/>
      <c r="BB10" s="92"/>
      <c r="BC10" s="98"/>
      <c r="BD10" s="92"/>
      <c r="BE10" s="97"/>
      <c r="BF10" s="92"/>
      <c r="BG10" s="92"/>
      <c r="BH10" s="92"/>
      <c r="BI10" s="92"/>
      <c r="BJ10" s="92"/>
      <c r="BK10" s="92"/>
      <c r="BL10" s="92"/>
      <c r="BM10" s="92"/>
      <c r="BN10" s="98"/>
    </row>
    <row r="11" spans="1:66" ht="9" customHeight="1" x14ac:dyDescent="0.3"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90"/>
      <c r="M11" s="93"/>
      <c r="N11" s="91"/>
      <c r="O11" s="91"/>
      <c r="P11" s="91"/>
      <c r="Q11" s="91"/>
      <c r="R11" s="91"/>
      <c r="S11" s="91"/>
      <c r="T11" s="91"/>
      <c r="U11" s="91"/>
      <c r="V11" s="94"/>
      <c r="W11" s="91"/>
      <c r="X11" s="95"/>
      <c r="Y11" s="91"/>
      <c r="Z11" s="91"/>
      <c r="AA11" s="91"/>
      <c r="AB11" s="91"/>
      <c r="AC11" s="91"/>
      <c r="AD11" s="91"/>
      <c r="AE11" s="91"/>
      <c r="AF11" s="91"/>
      <c r="AG11" s="96"/>
      <c r="AH11" s="92"/>
      <c r="AI11" s="95"/>
      <c r="AJ11" s="91"/>
      <c r="AK11" s="91"/>
      <c r="AL11" s="91"/>
      <c r="AM11" s="91"/>
      <c r="AN11" s="91"/>
      <c r="AO11" s="91"/>
      <c r="AP11" s="91"/>
      <c r="AQ11" s="91"/>
      <c r="AR11" s="96"/>
      <c r="AS11" s="92"/>
      <c r="AT11" s="97"/>
      <c r="AU11" s="92"/>
      <c r="AV11" s="92"/>
      <c r="AW11" s="92"/>
      <c r="AX11" s="92"/>
      <c r="AY11" s="92"/>
      <c r="AZ11" s="92"/>
      <c r="BA11" s="92"/>
      <c r="BB11" s="92"/>
      <c r="BC11" s="98"/>
      <c r="BD11" s="92"/>
      <c r="BE11" s="97"/>
      <c r="BF11" s="92"/>
      <c r="BG11" s="92"/>
      <c r="BH11" s="92"/>
      <c r="BI11" s="92"/>
      <c r="BJ11" s="92"/>
      <c r="BK11" s="92"/>
      <c r="BL11" s="92"/>
      <c r="BM11" s="92"/>
      <c r="BN11" s="98"/>
    </row>
    <row r="12" spans="1:66" ht="9" customHeight="1" x14ac:dyDescent="0.3">
      <c r="B12" s="262"/>
      <c r="C12" s="262"/>
      <c r="D12" s="262"/>
      <c r="E12" s="262"/>
      <c r="F12" s="262"/>
      <c r="G12" s="262"/>
      <c r="H12" s="262"/>
      <c r="I12" s="262"/>
      <c r="J12" s="262"/>
      <c r="K12" s="262"/>
      <c r="L12" s="90"/>
      <c r="M12" s="93"/>
      <c r="N12" s="91"/>
      <c r="O12" s="91"/>
      <c r="P12" s="91"/>
      <c r="Q12" s="91"/>
      <c r="R12" s="91"/>
      <c r="S12" s="91"/>
      <c r="T12" s="91"/>
      <c r="U12" s="91"/>
      <c r="V12" s="94"/>
      <c r="W12" s="91"/>
      <c r="X12" s="95"/>
      <c r="Y12" s="91"/>
      <c r="Z12" s="91"/>
      <c r="AA12" s="91"/>
      <c r="AB12" s="91"/>
      <c r="AC12" s="91"/>
      <c r="AD12" s="91"/>
      <c r="AE12" s="91"/>
      <c r="AF12" s="91"/>
      <c r="AG12" s="96"/>
      <c r="AH12" s="92"/>
      <c r="AI12" s="95"/>
      <c r="AJ12" s="91"/>
      <c r="AK12" s="91"/>
      <c r="AL12" s="91"/>
      <c r="AM12" s="91"/>
      <c r="AN12" s="91"/>
      <c r="AO12" s="91"/>
      <c r="AP12" s="91"/>
      <c r="AQ12" s="91"/>
      <c r="AR12" s="96"/>
      <c r="AS12" s="92"/>
      <c r="AT12" s="97"/>
      <c r="AU12" s="92"/>
      <c r="AV12" s="92"/>
      <c r="AW12" s="92"/>
      <c r="AX12" s="92"/>
      <c r="AY12" s="92"/>
      <c r="AZ12" s="92"/>
      <c r="BA12" s="92"/>
      <c r="BB12" s="92"/>
      <c r="BC12" s="98"/>
      <c r="BD12" s="92"/>
      <c r="BE12" s="97"/>
      <c r="BF12" s="92"/>
      <c r="BG12" s="92"/>
      <c r="BH12" s="92"/>
      <c r="BI12" s="92"/>
      <c r="BJ12" s="92"/>
      <c r="BK12" s="92"/>
      <c r="BL12" s="92"/>
      <c r="BM12" s="92"/>
      <c r="BN12" s="98"/>
    </row>
    <row r="13" spans="1:66" ht="9" customHeight="1" x14ac:dyDescent="0.3"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90"/>
      <c r="M13" s="93"/>
      <c r="N13" s="91"/>
      <c r="O13" s="91"/>
      <c r="P13" s="91"/>
      <c r="Q13" s="91"/>
      <c r="R13" s="91"/>
      <c r="S13" s="91"/>
      <c r="T13" s="91"/>
      <c r="U13" s="91"/>
      <c r="V13" s="94"/>
      <c r="W13" s="91"/>
      <c r="X13" s="95"/>
      <c r="Y13" s="91"/>
      <c r="Z13" s="91"/>
      <c r="AA13" s="91"/>
      <c r="AB13" s="91"/>
      <c r="AC13" s="91"/>
      <c r="AD13" s="91"/>
      <c r="AE13" s="91"/>
      <c r="AF13" s="91"/>
      <c r="AG13" s="96"/>
      <c r="AH13" s="92"/>
      <c r="AI13" s="95"/>
      <c r="AJ13" s="91"/>
      <c r="AK13" s="91"/>
      <c r="AL13" s="91"/>
      <c r="AM13" s="91"/>
      <c r="AN13" s="91"/>
      <c r="AO13" s="91"/>
      <c r="AP13" s="91"/>
      <c r="AQ13" s="91"/>
      <c r="AR13" s="96"/>
      <c r="AS13" s="92"/>
      <c r="AT13" s="97"/>
      <c r="AU13" s="92"/>
      <c r="AV13" s="92"/>
      <c r="AW13" s="92"/>
      <c r="AX13" s="92"/>
      <c r="AY13" s="92"/>
      <c r="AZ13" s="92"/>
      <c r="BA13" s="92"/>
      <c r="BB13" s="92"/>
      <c r="BC13" s="98"/>
      <c r="BD13" s="92"/>
      <c r="BE13" s="97"/>
      <c r="BF13" s="92"/>
      <c r="BG13" s="92"/>
      <c r="BH13" s="92"/>
      <c r="BI13" s="92"/>
      <c r="BJ13" s="92"/>
      <c r="BK13" s="92"/>
      <c r="BL13" s="92"/>
      <c r="BM13" s="92"/>
      <c r="BN13" s="98"/>
    </row>
    <row r="14" spans="1:66" ht="9" customHeight="1" x14ac:dyDescent="0.3"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90"/>
      <c r="M14" s="99"/>
      <c r="N14" s="92"/>
      <c r="O14" s="92"/>
      <c r="P14" s="92"/>
      <c r="Q14" s="92"/>
      <c r="R14" s="92"/>
      <c r="S14" s="243" t="s">
        <v>3</v>
      </c>
      <c r="T14" s="244"/>
      <c r="U14" s="244" t="s">
        <v>4</v>
      </c>
      <c r="V14" s="297"/>
      <c r="W14" s="91"/>
      <c r="X14" s="97"/>
      <c r="Y14" s="92"/>
      <c r="Z14" s="92"/>
      <c r="AA14" s="92"/>
      <c r="AB14" s="92"/>
      <c r="AC14" s="92"/>
      <c r="AD14" s="92"/>
      <c r="AE14" s="92"/>
      <c r="AF14" s="92"/>
      <c r="AG14" s="98"/>
      <c r="AH14" s="92"/>
      <c r="AI14" s="97"/>
      <c r="AJ14" s="92"/>
      <c r="AK14" s="92"/>
      <c r="AL14" s="92"/>
      <c r="AM14" s="92"/>
      <c r="AN14" s="92"/>
      <c r="AO14" s="92"/>
      <c r="AP14" s="92"/>
      <c r="AQ14" s="92"/>
      <c r="AR14" s="98"/>
      <c r="AS14" s="92"/>
      <c r="AT14" s="97"/>
      <c r="AU14" s="92"/>
      <c r="AV14" s="92"/>
      <c r="AW14" s="92"/>
      <c r="AX14" s="92"/>
      <c r="AY14" s="92"/>
      <c r="AZ14" s="92"/>
      <c r="BA14" s="92"/>
      <c r="BB14" s="92"/>
      <c r="BC14" s="98"/>
      <c r="BD14" s="92"/>
      <c r="BE14" s="97"/>
      <c r="BF14" s="92"/>
      <c r="BG14" s="92"/>
      <c r="BH14" s="92"/>
      <c r="BI14" s="92"/>
      <c r="BJ14" s="92"/>
      <c r="BK14" s="92"/>
      <c r="BL14" s="92"/>
      <c r="BM14" s="92"/>
      <c r="BN14" s="98"/>
    </row>
    <row r="15" spans="1:66" ht="9" customHeight="1" x14ac:dyDescent="0.3">
      <c r="B15" s="288"/>
      <c r="C15" s="289"/>
      <c r="D15" s="289"/>
      <c r="E15" s="289"/>
      <c r="F15" s="289"/>
      <c r="G15" s="289"/>
      <c r="H15" s="289"/>
      <c r="I15" s="289"/>
      <c r="J15" s="289"/>
      <c r="K15" s="290"/>
      <c r="L15" s="90"/>
      <c r="M15" s="246" t="s">
        <v>96</v>
      </c>
      <c r="N15" s="246"/>
      <c r="O15" s="246"/>
      <c r="P15" s="246"/>
      <c r="Q15" s="246"/>
      <c r="R15" s="246"/>
      <c r="S15" s="247">
        <v>2800</v>
      </c>
      <c r="T15" s="247"/>
      <c r="U15" s="247"/>
      <c r="V15" s="247"/>
      <c r="W15" s="91"/>
      <c r="X15" s="95"/>
      <c r="Y15" s="91"/>
      <c r="Z15" s="91"/>
      <c r="AA15" s="91"/>
      <c r="AB15" s="91"/>
      <c r="AC15" s="91"/>
      <c r="AD15" s="92"/>
      <c r="AE15" s="92"/>
      <c r="AF15" s="92"/>
      <c r="AG15" s="98"/>
      <c r="AH15" s="92"/>
      <c r="AI15" s="95"/>
      <c r="AJ15" s="91"/>
      <c r="AK15" s="91"/>
      <c r="AL15" s="91"/>
      <c r="AM15" s="91"/>
      <c r="AN15" s="91"/>
      <c r="AO15" s="92"/>
      <c r="AP15" s="92"/>
      <c r="AQ15" s="92"/>
      <c r="AR15" s="98"/>
      <c r="AS15" s="92"/>
      <c r="AT15" s="97" t="s">
        <v>578</v>
      </c>
      <c r="AU15" s="92"/>
      <c r="AV15" s="92"/>
      <c r="AW15" s="92"/>
      <c r="AX15" s="92"/>
      <c r="AY15" s="92"/>
      <c r="AZ15" s="243" t="s">
        <v>3</v>
      </c>
      <c r="BA15" s="244"/>
      <c r="BB15" s="244" t="s">
        <v>4</v>
      </c>
      <c r="BC15" s="245"/>
      <c r="BD15" s="92"/>
      <c r="BE15" s="97"/>
      <c r="BF15" s="92"/>
      <c r="BG15" s="92"/>
      <c r="BH15" s="92"/>
      <c r="BI15" s="92"/>
      <c r="BJ15" s="92"/>
      <c r="BK15" s="92"/>
      <c r="BL15" s="92"/>
      <c r="BM15" s="92"/>
      <c r="BN15" s="98"/>
    </row>
    <row r="16" spans="1:66" ht="9" customHeight="1" x14ac:dyDescent="0.3">
      <c r="B16" s="291"/>
      <c r="C16" s="292"/>
      <c r="D16" s="292"/>
      <c r="E16" s="292"/>
      <c r="F16" s="292"/>
      <c r="G16" s="292"/>
      <c r="H16" s="292"/>
      <c r="I16" s="292"/>
      <c r="J16" s="292"/>
      <c r="K16" s="293"/>
      <c r="L16" s="90"/>
      <c r="M16" s="246" t="s">
        <v>770</v>
      </c>
      <c r="N16" s="246"/>
      <c r="O16" s="246"/>
      <c r="P16" s="246"/>
      <c r="Q16" s="246"/>
      <c r="R16" s="246"/>
      <c r="S16" s="247">
        <v>4760</v>
      </c>
      <c r="T16" s="247"/>
      <c r="U16" s="247"/>
      <c r="V16" s="247"/>
      <c r="W16" s="91"/>
      <c r="X16" s="97"/>
      <c r="Y16" s="92"/>
      <c r="Z16" s="92"/>
      <c r="AA16" s="92"/>
      <c r="AB16" s="92"/>
      <c r="AC16" s="92"/>
      <c r="AD16" s="243" t="s">
        <v>3</v>
      </c>
      <c r="AE16" s="244"/>
      <c r="AF16" s="244" t="s">
        <v>4</v>
      </c>
      <c r="AG16" s="245"/>
      <c r="AH16" s="92"/>
      <c r="AI16" s="97"/>
      <c r="AJ16" s="92"/>
      <c r="AK16" s="92"/>
      <c r="AL16" s="92"/>
      <c r="AM16" s="92"/>
      <c r="AN16" s="92"/>
      <c r="AO16" s="243" t="s">
        <v>3</v>
      </c>
      <c r="AP16" s="244"/>
      <c r="AQ16" s="244" t="s">
        <v>4</v>
      </c>
      <c r="AR16" s="245"/>
      <c r="AS16" s="92"/>
      <c r="AT16" s="246" t="s">
        <v>96</v>
      </c>
      <c r="AU16" s="246"/>
      <c r="AV16" s="246"/>
      <c r="AW16" s="246"/>
      <c r="AX16" s="246"/>
      <c r="AY16" s="246"/>
      <c r="AZ16" s="247">
        <v>9660</v>
      </c>
      <c r="BA16" s="247"/>
      <c r="BB16" s="247"/>
      <c r="BC16" s="247"/>
      <c r="BD16" s="92"/>
      <c r="BE16" s="97"/>
      <c r="BF16" s="92"/>
      <c r="BG16" s="92"/>
      <c r="BH16" s="92"/>
      <c r="BI16" s="92"/>
      <c r="BJ16" s="92"/>
      <c r="BK16" s="92"/>
      <c r="BL16" s="92"/>
      <c r="BM16" s="92"/>
      <c r="BN16" s="98"/>
    </row>
    <row r="17" spans="2:67" ht="9" customHeight="1" x14ac:dyDescent="0.3">
      <c r="B17" s="294"/>
      <c r="C17" s="295"/>
      <c r="D17" s="295"/>
      <c r="E17" s="295"/>
      <c r="F17" s="295"/>
      <c r="G17" s="295"/>
      <c r="H17" s="295"/>
      <c r="I17" s="295"/>
      <c r="J17" s="295"/>
      <c r="K17" s="296"/>
      <c r="L17" s="90"/>
      <c r="M17" s="246" t="s">
        <v>771</v>
      </c>
      <c r="N17" s="246"/>
      <c r="O17" s="246"/>
      <c r="P17" s="246"/>
      <c r="Q17" s="246"/>
      <c r="R17" s="246"/>
      <c r="S17" s="247">
        <v>5880</v>
      </c>
      <c r="T17" s="247"/>
      <c r="U17" s="247"/>
      <c r="V17" s="247"/>
      <c r="W17" s="101"/>
      <c r="X17" s="246" t="s">
        <v>761</v>
      </c>
      <c r="Y17" s="246"/>
      <c r="Z17" s="246"/>
      <c r="AA17" s="246"/>
      <c r="AB17" s="246"/>
      <c r="AC17" s="246"/>
      <c r="AD17" s="247">
        <v>12460</v>
      </c>
      <c r="AE17" s="247"/>
      <c r="AF17" s="247"/>
      <c r="AG17" s="247"/>
      <c r="AH17" s="102"/>
      <c r="AI17" s="246" t="s">
        <v>762</v>
      </c>
      <c r="AJ17" s="246"/>
      <c r="AK17" s="246"/>
      <c r="AL17" s="246"/>
      <c r="AM17" s="246"/>
      <c r="AN17" s="246"/>
      <c r="AO17" s="247">
        <v>15400</v>
      </c>
      <c r="AP17" s="247"/>
      <c r="AQ17" s="247"/>
      <c r="AR17" s="247"/>
      <c r="AS17" s="102"/>
      <c r="AT17" s="246" t="s">
        <v>763</v>
      </c>
      <c r="AU17" s="246"/>
      <c r="AV17" s="246"/>
      <c r="AW17" s="246"/>
      <c r="AX17" s="246"/>
      <c r="AY17" s="246"/>
      <c r="AZ17" s="247">
        <v>12320</v>
      </c>
      <c r="BA17" s="247"/>
      <c r="BB17" s="247"/>
      <c r="BC17" s="247"/>
      <c r="BD17" s="102"/>
      <c r="BE17" s="246" t="s">
        <v>8</v>
      </c>
      <c r="BF17" s="246"/>
      <c r="BG17" s="246"/>
      <c r="BH17" s="246"/>
      <c r="BI17" s="246"/>
      <c r="BJ17" s="246"/>
      <c r="BK17" s="247"/>
      <c r="BL17" s="247"/>
      <c r="BM17" s="247"/>
      <c r="BN17" s="247"/>
    </row>
    <row r="18" spans="2:67" ht="1.95" customHeight="1" x14ac:dyDescent="0.3"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</row>
    <row r="19" spans="2:67" ht="9" customHeight="1" x14ac:dyDescent="0.3">
      <c r="B19" s="262" t="s">
        <v>837</v>
      </c>
      <c r="C19" s="262"/>
      <c r="D19" s="262"/>
      <c r="E19" s="262"/>
      <c r="F19" s="262"/>
      <c r="G19" s="262"/>
      <c r="H19" s="262"/>
      <c r="I19" s="262"/>
      <c r="J19" s="262"/>
      <c r="K19" s="262"/>
      <c r="L19" s="92"/>
      <c r="M19" s="254" t="s">
        <v>21</v>
      </c>
      <c r="N19" s="255"/>
      <c r="O19" s="256"/>
      <c r="P19" s="238" t="s">
        <v>580</v>
      </c>
      <c r="Q19" s="239"/>
      <c r="R19" s="239"/>
      <c r="S19" s="239"/>
      <c r="T19" s="239"/>
      <c r="U19" s="239"/>
      <c r="V19" s="240"/>
      <c r="W19" s="92"/>
      <c r="X19" s="254" t="s">
        <v>24</v>
      </c>
      <c r="Y19" s="255"/>
      <c r="Z19" s="256"/>
      <c r="AA19" s="238" t="s">
        <v>580</v>
      </c>
      <c r="AB19" s="239"/>
      <c r="AC19" s="239"/>
      <c r="AD19" s="239"/>
      <c r="AE19" s="239"/>
      <c r="AF19" s="239"/>
      <c r="AG19" s="240"/>
      <c r="AH19" s="92"/>
      <c r="AI19" s="254" t="s">
        <v>23</v>
      </c>
      <c r="AJ19" s="255"/>
      <c r="AK19" s="256"/>
      <c r="AL19" s="238" t="s">
        <v>580</v>
      </c>
      <c r="AM19" s="239"/>
      <c r="AN19" s="239"/>
      <c r="AO19" s="239"/>
      <c r="AP19" s="239"/>
      <c r="AQ19" s="239"/>
      <c r="AR19" s="240"/>
      <c r="AS19" s="92"/>
      <c r="AT19" s="254" t="s">
        <v>17</v>
      </c>
      <c r="AU19" s="255"/>
      <c r="AV19" s="256"/>
      <c r="AW19" s="238" t="s">
        <v>624</v>
      </c>
      <c r="AX19" s="239"/>
      <c r="AY19" s="239"/>
      <c r="AZ19" s="239"/>
      <c r="BA19" s="239"/>
      <c r="BB19" s="239"/>
      <c r="BC19" s="240"/>
      <c r="BD19" s="92"/>
      <c r="BE19" s="254" t="s">
        <v>18</v>
      </c>
      <c r="BF19" s="255"/>
      <c r="BG19" s="256"/>
      <c r="BH19" s="238" t="s">
        <v>625</v>
      </c>
      <c r="BI19" s="239"/>
      <c r="BJ19" s="239"/>
      <c r="BK19" s="239"/>
      <c r="BL19" s="239"/>
      <c r="BM19" s="239"/>
      <c r="BN19" s="240"/>
    </row>
    <row r="20" spans="2:67" ht="9" customHeight="1" x14ac:dyDescent="0.3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92"/>
      <c r="M20" s="251" t="s">
        <v>581</v>
      </c>
      <c r="N20" s="252"/>
      <c r="O20" s="252"/>
      <c r="P20" s="252"/>
      <c r="Q20" s="252"/>
      <c r="R20" s="252"/>
      <c r="S20" s="252"/>
      <c r="T20" s="252"/>
      <c r="U20" s="252"/>
      <c r="V20" s="253"/>
      <c r="W20" s="92"/>
      <c r="X20" s="251" t="s">
        <v>582</v>
      </c>
      <c r="Y20" s="252"/>
      <c r="Z20" s="252"/>
      <c r="AA20" s="252"/>
      <c r="AB20" s="252"/>
      <c r="AC20" s="252"/>
      <c r="AD20" s="252"/>
      <c r="AE20" s="252"/>
      <c r="AF20" s="252"/>
      <c r="AG20" s="253"/>
      <c r="AH20" s="92"/>
      <c r="AI20" s="251" t="s">
        <v>582</v>
      </c>
      <c r="AJ20" s="252"/>
      <c r="AK20" s="252"/>
      <c r="AL20" s="252"/>
      <c r="AM20" s="252"/>
      <c r="AN20" s="252"/>
      <c r="AO20" s="252"/>
      <c r="AP20" s="252"/>
      <c r="AQ20" s="252"/>
      <c r="AR20" s="253"/>
      <c r="AS20" s="92"/>
      <c r="AT20" s="251" t="s">
        <v>622</v>
      </c>
      <c r="AU20" s="252"/>
      <c r="AV20" s="252"/>
      <c r="AW20" s="252"/>
      <c r="AX20" s="252"/>
      <c r="AY20" s="252"/>
      <c r="AZ20" s="252"/>
      <c r="BA20" s="252"/>
      <c r="BB20" s="252"/>
      <c r="BC20" s="253"/>
      <c r="BD20" s="92"/>
      <c r="BE20" s="251" t="s">
        <v>584</v>
      </c>
      <c r="BF20" s="252"/>
      <c r="BG20" s="252"/>
      <c r="BH20" s="252"/>
      <c r="BI20" s="252"/>
      <c r="BJ20" s="252"/>
      <c r="BK20" s="252"/>
      <c r="BL20" s="252"/>
      <c r="BM20" s="252"/>
      <c r="BN20" s="253"/>
    </row>
    <row r="21" spans="2:67" ht="9" customHeight="1" x14ac:dyDescent="0.3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92"/>
      <c r="M21" s="251" t="s">
        <v>579</v>
      </c>
      <c r="N21" s="252"/>
      <c r="O21" s="252"/>
      <c r="P21" s="252"/>
      <c r="Q21" s="252"/>
      <c r="R21" s="252"/>
      <c r="S21" s="252"/>
      <c r="T21" s="252"/>
      <c r="U21" s="252"/>
      <c r="V21" s="253"/>
      <c r="W21" s="92"/>
      <c r="X21" s="251" t="s">
        <v>583</v>
      </c>
      <c r="Y21" s="252"/>
      <c r="Z21" s="252"/>
      <c r="AA21" s="252"/>
      <c r="AB21" s="252"/>
      <c r="AC21" s="252"/>
      <c r="AD21" s="252"/>
      <c r="AE21" s="252"/>
      <c r="AF21" s="252"/>
      <c r="AG21" s="253"/>
      <c r="AH21" s="92"/>
      <c r="AI21" s="251" t="s">
        <v>583</v>
      </c>
      <c r="AJ21" s="252"/>
      <c r="AK21" s="252"/>
      <c r="AL21" s="252"/>
      <c r="AM21" s="252"/>
      <c r="AN21" s="252"/>
      <c r="AO21" s="252"/>
      <c r="AP21" s="252"/>
      <c r="AQ21" s="252"/>
      <c r="AR21" s="253"/>
      <c r="AS21" s="92"/>
      <c r="AT21" s="97"/>
      <c r="AU21" s="92"/>
      <c r="AV21" s="92"/>
      <c r="AW21" s="92"/>
      <c r="AX21" s="92"/>
      <c r="AY21" s="92"/>
      <c r="AZ21" s="92"/>
      <c r="BA21" s="92"/>
      <c r="BB21" s="92"/>
      <c r="BC21" s="98"/>
      <c r="BD21" s="92"/>
      <c r="BE21" s="97"/>
      <c r="BF21" s="92"/>
      <c r="BG21" s="92"/>
      <c r="BH21" s="92"/>
      <c r="BI21" s="92"/>
      <c r="BJ21" s="92"/>
      <c r="BK21" s="92"/>
      <c r="BL21" s="92"/>
      <c r="BM21" s="92"/>
      <c r="BN21" s="98"/>
    </row>
    <row r="22" spans="2:67" ht="9" customHeight="1" x14ac:dyDescent="0.3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92"/>
      <c r="M22" s="97"/>
      <c r="N22" s="92"/>
      <c r="O22" s="92"/>
      <c r="P22" s="92"/>
      <c r="Q22" s="92"/>
      <c r="R22" s="92"/>
      <c r="S22" s="92"/>
      <c r="T22" s="92"/>
      <c r="U22" s="92"/>
      <c r="V22" s="98"/>
      <c r="W22" s="92"/>
      <c r="X22" s="97"/>
      <c r="Y22" s="92"/>
      <c r="Z22" s="92"/>
      <c r="AA22" s="92"/>
      <c r="AB22" s="92"/>
      <c r="AC22" s="92"/>
      <c r="AD22" s="92"/>
      <c r="AE22" s="92"/>
      <c r="AF22" s="92"/>
      <c r="AG22" s="98"/>
      <c r="AH22" s="92"/>
      <c r="AI22" s="97"/>
      <c r="AJ22" s="92"/>
      <c r="AK22" s="92"/>
      <c r="AL22" s="92"/>
      <c r="AM22" s="92"/>
      <c r="AN22" s="92"/>
      <c r="AO22" s="92"/>
      <c r="AP22" s="92"/>
      <c r="AQ22" s="92"/>
      <c r="AR22" s="98"/>
      <c r="AS22" s="92"/>
      <c r="AT22" s="97"/>
      <c r="AU22" s="92"/>
      <c r="AV22" s="92"/>
      <c r="AW22" s="92"/>
      <c r="AX22" s="92"/>
      <c r="AY22" s="92"/>
      <c r="AZ22" s="92"/>
      <c r="BA22" s="92"/>
      <c r="BB22" s="92"/>
      <c r="BC22" s="98"/>
      <c r="BD22" s="92"/>
      <c r="BE22" s="97"/>
      <c r="BF22" s="92"/>
      <c r="BG22" s="92"/>
      <c r="BH22" s="92"/>
      <c r="BI22" s="92"/>
      <c r="BJ22" s="92"/>
      <c r="BK22" s="92"/>
      <c r="BL22" s="92"/>
      <c r="BM22" s="92"/>
      <c r="BN22" s="98"/>
    </row>
    <row r="23" spans="2:67" ht="9" customHeight="1" x14ac:dyDescent="0.3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92"/>
      <c r="M23" s="97"/>
      <c r="N23" s="92"/>
      <c r="O23" s="92"/>
      <c r="P23" s="92"/>
      <c r="Q23" s="92"/>
      <c r="R23" s="92"/>
      <c r="S23" s="92"/>
      <c r="T23" s="92"/>
      <c r="U23" s="92"/>
      <c r="V23" s="98"/>
      <c r="W23" s="92"/>
      <c r="X23" s="97"/>
      <c r="Y23" s="92"/>
      <c r="Z23" s="92"/>
      <c r="AA23" s="92"/>
      <c r="AB23" s="92"/>
      <c r="AC23" s="92"/>
      <c r="AD23" s="92"/>
      <c r="AE23" s="92"/>
      <c r="AF23" s="92"/>
      <c r="AG23" s="98"/>
      <c r="AH23" s="92"/>
      <c r="AI23" s="97"/>
      <c r="AJ23" s="92"/>
      <c r="AK23" s="92"/>
      <c r="AL23" s="92"/>
      <c r="AM23" s="92"/>
      <c r="AN23" s="92"/>
      <c r="AO23" s="92"/>
      <c r="AP23" s="92"/>
      <c r="AQ23" s="92"/>
      <c r="AR23" s="98"/>
      <c r="AS23" s="92"/>
      <c r="AT23" s="97"/>
      <c r="AU23" s="92"/>
      <c r="AV23" s="92"/>
      <c r="AW23" s="92"/>
      <c r="AX23" s="92"/>
      <c r="AY23" s="92"/>
      <c r="AZ23" s="92"/>
      <c r="BA23" s="92"/>
      <c r="BB23" s="92"/>
      <c r="BC23" s="98"/>
      <c r="BD23" s="92"/>
      <c r="BE23" s="97"/>
      <c r="BF23" s="92"/>
      <c r="BG23" s="92"/>
      <c r="BH23" s="92"/>
      <c r="BI23" s="92"/>
      <c r="BJ23" s="92"/>
      <c r="BK23" s="92"/>
      <c r="BL23" s="92"/>
      <c r="BM23" s="92"/>
      <c r="BN23" s="98"/>
    </row>
    <row r="24" spans="2:67" ht="9" customHeight="1" x14ac:dyDescent="0.3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92"/>
      <c r="M24" s="97"/>
      <c r="N24" s="92"/>
      <c r="O24" s="92"/>
      <c r="P24" s="92"/>
      <c r="Q24" s="92"/>
      <c r="R24" s="92"/>
      <c r="S24" s="92"/>
      <c r="T24" s="92"/>
      <c r="U24" s="92"/>
      <c r="V24" s="98"/>
      <c r="W24" s="92"/>
      <c r="X24" s="97"/>
      <c r="Y24" s="92"/>
      <c r="Z24" s="92"/>
      <c r="AA24" s="92"/>
      <c r="AB24" s="92"/>
      <c r="AC24" s="92"/>
      <c r="AD24" s="92"/>
      <c r="AE24" s="92"/>
      <c r="AF24" s="92"/>
      <c r="AG24" s="98"/>
      <c r="AH24" s="92"/>
      <c r="AI24" s="97"/>
      <c r="AJ24" s="92"/>
      <c r="AK24" s="92"/>
      <c r="AL24" s="92"/>
      <c r="AM24" s="92"/>
      <c r="AN24" s="92"/>
      <c r="AO24" s="92"/>
      <c r="AP24" s="92"/>
      <c r="AQ24" s="92"/>
      <c r="AR24" s="98"/>
      <c r="AS24" s="92"/>
      <c r="AT24" s="97"/>
      <c r="AU24" s="92"/>
      <c r="AV24" s="92"/>
      <c r="AW24" s="92"/>
      <c r="AX24" s="92"/>
      <c r="AY24" s="92"/>
      <c r="AZ24" s="92"/>
      <c r="BA24" s="92"/>
      <c r="BB24" s="92"/>
      <c r="BC24" s="98"/>
      <c r="BD24" s="92"/>
      <c r="BE24" s="97"/>
      <c r="BF24" s="92"/>
      <c r="BG24" s="92"/>
      <c r="BH24" s="92"/>
      <c r="BI24" s="92"/>
      <c r="BJ24" s="92"/>
      <c r="BK24" s="92"/>
      <c r="BL24" s="92"/>
      <c r="BM24" s="92"/>
      <c r="BN24" s="98"/>
    </row>
    <row r="25" spans="2:67" ht="9" customHeight="1" x14ac:dyDescent="0.3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92"/>
      <c r="M25" s="97"/>
      <c r="N25" s="92"/>
      <c r="O25" s="92"/>
      <c r="P25" s="92"/>
      <c r="Q25" s="92"/>
      <c r="R25" s="92"/>
      <c r="S25" s="92"/>
      <c r="T25" s="92"/>
      <c r="U25" s="92"/>
      <c r="V25" s="98"/>
      <c r="W25" s="92"/>
      <c r="X25" s="97"/>
      <c r="Y25" s="92"/>
      <c r="Z25" s="92"/>
      <c r="AA25" s="92"/>
      <c r="AB25" s="92"/>
      <c r="AC25" s="92"/>
      <c r="AD25" s="92"/>
      <c r="AE25" s="92"/>
      <c r="AF25" s="92"/>
      <c r="AG25" s="98"/>
      <c r="AH25" s="92"/>
      <c r="AI25" s="97"/>
      <c r="AJ25" s="92"/>
      <c r="AK25" s="92"/>
      <c r="AL25" s="92"/>
      <c r="AM25" s="92"/>
      <c r="AN25" s="92"/>
      <c r="AO25" s="92"/>
      <c r="AP25" s="92"/>
      <c r="AQ25" s="92"/>
      <c r="AR25" s="98"/>
      <c r="AS25" s="92"/>
      <c r="AT25" s="97"/>
      <c r="AU25" s="92"/>
      <c r="AV25" s="92"/>
      <c r="AW25" s="92"/>
      <c r="AX25" s="92"/>
      <c r="AY25" s="92"/>
      <c r="AZ25" s="92"/>
      <c r="BA25" s="92"/>
      <c r="BB25" s="92"/>
      <c r="BC25" s="98"/>
      <c r="BD25" s="92"/>
      <c r="BE25" s="97"/>
      <c r="BF25" s="92"/>
      <c r="BG25" s="92"/>
      <c r="BH25" s="92"/>
      <c r="BI25" s="92"/>
      <c r="BJ25" s="92"/>
      <c r="BK25" s="92"/>
      <c r="BL25" s="92"/>
      <c r="BM25" s="92"/>
      <c r="BN25" s="98"/>
    </row>
    <row r="26" spans="2:67" ht="9" customHeight="1" x14ac:dyDescent="0.3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92"/>
      <c r="M26" s="97"/>
      <c r="N26" s="92"/>
      <c r="O26" s="92"/>
      <c r="P26" s="92"/>
      <c r="Q26" s="92"/>
      <c r="R26" s="92"/>
      <c r="S26" s="92"/>
      <c r="T26" s="92"/>
      <c r="U26" s="92"/>
      <c r="V26" s="98"/>
      <c r="W26" s="92"/>
      <c r="X26" s="97"/>
      <c r="Y26" s="92"/>
      <c r="Z26" s="92"/>
      <c r="AA26" s="92"/>
      <c r="AB26" s="92"/>
      <c r="AC26" s="92"/>
      <c r="AD26" s="92"/>
      <c r="AE26" s="92"/>
      <c r="AF26" s="92"/>
      <c r="AG26" s="98"/>
      <c r="AH26" s="92"/>
      <c r="AI26" s="97"/>
      <c r="AJ26" s="92"/>
      <c r="AK26" s="92"/>
      <c r="AL26" s="92"/>
      <c r="AM26" s="92"/>
      <c r="AN26" s="92"/>
      <c r="AO26" s="92"/>
      <c r="AP26" s="92"/>
      <c r="AQ26" s="92"/>
      <c r="AR26" s="98"/>
      <c r="AS26" s="92"/>
      <c r="AT26" s="97"/>
      <c r="AU26" s="92"/>
      <c r="AV26" s="92"/>
      <c r="AW26" s="92"/>
      <c r="AX26" s="92"/>
      <c r="AY26" s="92"/>
      <c r="AZ26" s="92"/>
      <c r="BA26" s="92"/>
      <c r="BB26" s="92"/>
      <c r="BC26" s="98"/>
      <c r="BD26" s="92"/>
      <c r="BE26" s="97"/>
      <c r="BF26" s="92"/>
      <c r="BG26" s="92"/>
      <c r="BH26" s="92"/>
      <c r="BI26" s="92"/>
      <c r="BJ26" s="92"/>
      <c r="BK26" s="92"/>
      <c r="BL26" s="92"/>
      <c r="BM26" s="92"/>
      <c r="BN26" s="98"/>
    </row>
    <row r="27" spans="2:67" ht="9" customHeight="1" x14ac:dyDescent="0.3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92"/>
      <c r="M27" s="97"/>
      <c r="N27" s="92"/>
      <c r="O27" s="92"/>
      <c r="P27" s="92"/>
      <c r="Q27" s="92"/>
      <c r="R27" s="92"/>
      <c r="S27" s="92"/>
      <c r="T27" s="92"/>
      <c r="U27" s="92"/>
      <c r="V27" s="98"/>
      <c r="W27" s="92"/>
      <c r="X27" s="97"/>
      <c r="Y27" s="92"/>
      <c r="Z27" s="92"/>
      <c r="AA27" s="92"/>
      <c r="AB27" s="92"/>
      <c r="AC27" s="92"/>
      <c r="AD27" s="92"/>
      <c r="AE27" s="92"/>
      <c r="AF27" s="92"/>
      <c r="AG27" s="98"/>
      <c r="AH27" s="92"/>
      <c r="AI27" s="97"/>
      <c r="AJ27" s="92"/>
      <c r="AK27" s="92"/>
      <c r="AL27" s="92"/>
      <c r="AM27" s="92"/>
      <c r="AN27" s="92"/>
      <c r="AO27" s="92"/>
      <c r="AP27" s="92"/>
      <c r="AQ27" s="92"/>
      <c r="AR27" s="98"/>
      <c r="AS27" s="92"/>
      <c r="AT27" s="97"/>
      <c r="AU27" s="92"/>
      <c r="AV27" s="92"/>
      <c r="AW27" s="92"/>
      <c r="AX27" s="92"/>
      <c r="AY27" s="92"/>
      <c r="AZ27" s="92"/>
      <c r="BA27" s="92"/>
      <c r="BB27" s="92"/>
      <c r="BC27" s="98"/>
      <c r="BD27" s="92"/>
      <c r="BE27" s="97"/>
      <c r="BF27" s="92"/>
      <c r="BG27" s="92"/>
      <c r="BH27" s="92"/>
      <c r="BI27" s="92"/>
      <c r="BJ27" s="92"/>
      <c r="BK27" s="92"/>
      <c r="BL27" s="92"/>
      <c r="BM27" s="92"/>
      <c r="BN27" s="98"/>
    </row>
    <row r="28" spans="2:67" ht="9" customHeight="1" x14ac:dyDescent="0.3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92"/>
      <c r="M28" s="97"/>
      <c r="N28" s="92"/>
      <c r="O28" s="92"/>
      <c r="P28" s="92"/>
      <c r="Q28" s="92"/>
      <c r="R28" s="92"/>
      <c r="S28" s="92"/>
      <c r="T28" s="92"/>
      <c r="U28" s="92"/>
      <c r="V28" s="98"/>
      <c r="W28" s="92"/>
      <c r="X28" s="97"/>
      <c r="Y28" s="92"/>
      <c r="Z28" s="92"/>
      <c r="AA28" s="92"/>
      <c r="AB28" s="92"/>
      <c r="AC28" s="92"/>
      <c r="AD28" s="92"/>
      <c r="AE28" s="92"/>
      <c r="AF28" s="92"/>
      <c r="AG28" s="98"/>
      <c r="AH28" s="92"/>
      <c r="AI28" s="97"/>
      <c r="AJ28" s="92"/>
      <c r="AK28" s="92"/>
      <c r="AL28" s="92"/>
      <c r="AM28" s="92"/>
      <c r="AN28" s="92"/>
      <c r="AO28" s="92"/>
      <c r="AP28" s="92"/>
      <c r="AQ28" s="92"/>
      <c r="AR28" s="98"/>
      <c r="AS28" s="92"/>
      <c r="AT28" s="97"/>
      <c r="AU28" s="92"/>
      <c r="AV28" s="92"/>
      <c r="AW28" s="92"/>
      <c r="AX28" s="92"/>
      <c r="AY28" s="92"/>
      <c r="AZ28" s="92"/>
      <c r="BA28" s="92"/>
      <c r="BB28" s="92"/>
      <c r="BC28" s="98"/>
      <c r="BD28" s="92"/>
      <c r="BE28" s="97"/>
      <c r="BF28" s="92"/>
      <c r="BG28" s="92"/>
      <c r="BH28" s="92"/>
      <c r="BI28" s="92"/>
      <c r="BJ28" s="92"/>
      <c r="BK28" s="92"/>
      <c r="BL28" s="92"/>
      <c r="BM28" s="92"/>
      <c r="BN28" s="98"/>
    </row>
    <row r="29" spans="2:67" ht="9" customHeight="1" x14ac:dyDescent="0.3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92"/>
      <c r="M29" s="97"/>
      <c r="N29" s="92"/>
      <c r="O29" s="92"/>
      <c r="P29" s="92"/>
      <c r="Q29" s="92"/>
      <c r="R29" s="92"/>
      <c r="S29" s="92"/>
      <c r="T29" s="92"/>
      <c r="U29" s="92"/>
      <c r="V29" s="98"/>
      <c r="W29" s="92"/>
      <c r="X29" s="97"/>
      <c r="Y29" s="92"/>
      <c r="Z29" s="92"/>
      <c r="AA29" s="92"/>
      <c r="AB29" s="92"/>
      <c r="AC29" s="92"/>
      <c r="AD29" s="92"/>
      <c r="AE29" s="92"/>
      <c r="AF29" s="92"/>
      <c r="AG29" s="98"/>
      <c r="AH29" s="92"/>
      <c r="AI29" s="97"/>
      <c r="AJ29" s="92"/>
      <c r="AK29" s="92"/>
      <c r="AL29" s="92"/>
      <c r="AM29" s="92"/>
      <c r="AN29" s="92"/>
      <c r="AO29" s="92"/>
      <c r="AP29" s="92"/>
      <c r="AQ29" s="92"/>
      <c r="AR29" s="98"/>
      <c r="AS29" s="92"/>
      <c r="AT29" s="97"/>
      <c r="AU29" s="92"/>
      <c r="AV29" s="92"/>
      <c r="AW29" s="92"/>
      <c r="AX29" s="92"/>
      <c r="AY29" s="92"/>
      <c r="AZ29" s="92"/>
      <c r="BA29" s="92"/>
      <c r="BB29" s="92"/>
      <c r="BC29" s="98"/>
      <c r="BD29" s="92"/>
      <c r="BE29" s="97"/>
      <c r="BF29" s="92"/>
      <c r="BG29" s="92"/>
      <c r="BH29" s="92"/>
      <c r="BI29" s="92"/>
      <c r="BJ29" s="92"/>
      <c r="BK29" s="92"/>
      <c r="BL29" s="92"/>
      <c r="BM29" s="92"/>
      <c r="BN29" s="98"/>
    </row>
    <row r="30" spans="2:67" ht="9" customHeight="1" x14ac:dyDescent="0.3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92"/>
      <c r="M30" s="97"/>
      <c r="N30" s="92"/>
      <c r="O30" s="92"/>
      <c r="P30" s="92"/>
      <c r="Q30" s="92"/>
      <c r="R30" s="92"/>
      <c r="S30" s="92"/>
      <c r="T30" s="92"/>
      <c r="U30" s="92"/>
      <c r="V30" s="98"/>
      <c r="W30" s="92"/>
      <c r="X30" s="97"/>
      <c r="Y30" s="92"/>
      <c r="Z30" s="92"/>
      <c r="AA30" s="92"/>
      <c r="AB30" s="92"/>
      <c r="AC30" s="92"/>
      <c r="AD30" s="92"/>
      <c r="AE30" s="92"/>
      <c r="AF30" s="92"/>
      <c r="AG30" s="98"/>
      <c r="AH30" s="92"/>
      <c r="AI30" s="97"/>
      <c r="AJ30" s="92"/>
      <c r="AK30" s="92"/>
      <c r="AL30" s="92"/>
      <c r="AM30" s="92"/>
      <c r="AN30" s="92"/>
      <c r="AO30" s="92"/>
      <c r="AP30" s="92"/>
      <c r="AQ30" s="92"/>
      <c r="AR30" s="98"/>
      <c r="AS30" s="92"/>
      <c r="AT30" s="97"/>
      <c r="AU30" s="92"/>
      <c r="AV30" s="92"/>
      <c r="AW30" s="92"/>
      <c r="AX30" s="92"/>
      <c r="AY30" s="92"/>
      <c r="AZ30" s="92"/>
      <c r="BA30" s="92"/>
      <c r="BB30" s="92"/>
      <c r="BC30" s="98"/>
      <c r="BD30" s="92"/>
      <c r="BE30" s="97" t="s">
        <v>722</v>
      </c>
      <c r="BF30" s="92"/>
      <c r="BG30" s="92"/>
      <c r="BH30" s="92"/>
      <c r="BI30" s="92"/>
      <c r="BJ30" s="92"/>
      <c r="BK30" s="92"/>
      <c r="BL30" s="92"/>
      <c r="BM30" s="92"/>
      <c r="BN30" s="98"/>
    </row>
    <row r="31" spans="2:67" s="5" customFormat="1" ht="9" customHeight="1" x14ac:dyDescent="0.3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103"/>
      <c r="M31" s="246" t="s">
        <v>22</v>
      </c>
      <c r="N31" s="246"/>
      <c r="O31" s="246"/>
      <c r="P31" s="246"/>
      <c r="Q31" s="246"/>
      <c r="R31" s="246"/>
      <c r="S31" s="247">
        <f>CEILING(2593*B3,1)</f>
        <v>3631</v>
      </c>
      <c r="T31" s="247"/>
      <c r="U31" s="247"/>
      <c r="V31" s="247"/>
      <c r="W31" s="104"/>
      <c r="X31" s="246" t="s">
        <v>22</v>
      </c>
      <c r="Y31" s="246"/>
      <c r="Z31" s="246"/>
      <c r="AA31" s="246"/>
      <c r="AB31" s="246"/>
      <c r="AC31" s="246"/>
      <c r="AD31" s="247">
        <f>CEILING(2592*B3,1)</f>
        <v>3629</v>
      </c>
      <c r="AE31" s="247"/>
      <c r="AF31" s="247"/>
      <c r="AG31" s="247"/>
      <c r="AH31" s="104"/>
      <c r="AI31" s="246" t="s">
        <v>22</v>
      </c>
      <c r="AJ31" s="246"/>
      <c r="AK31" s="246"/>
      <c r="AL31" s="246"/>
      <c r="AM31" s="246"/>
      <c r="AN31" s="246"/>
      <c r="AO31" s="247">
        <f>CEILING(2547*B3,1)</f>
        <v>3566</v>
      </c>
      <c r="AP31" s="247"/>
      <c r="AQ31" s="247"/>
      <c r="AR31" s="247"/>
      <c r="AS31" s="104"/>
      <c r="AT31" s="246" t="s">
        <v>19</v>
      </c>
      <c r="AU31" s="246"/>
      <c r="AV31" s="246"/>
      <c r="AW31" s="246"/>
      <c r="AX31" s="246"/>
      <c r="AY31" s="246"/>
      <c r="AZ31" s="247">
        <f>CEILING(6196*B3,1)</f>
        <v>8675</v>
      </c>
      <c r="BA31" s="247"/>
      <c r="BB31" s="247"/>
      <c r="BC31" s="247"/>
      <c r="BD31" s="104"/>
      <c r="BE31" s="246" t="s">
        <v>20</v>
      </c>
      <c r="BF31" s="246"/>
      <c r="BG31" s="246"/>
      <c r="BH31" s="246"/>
      <c r="BI31" s="246"/>
      <c r="BJ31" s="246"/>
      <c r="BK31" s="247">
        <f>CEILING(4476*B3,1)</f>
        <v>6267</v>
      </c>
      <c r="BL31" s="247"/>
      <c r="BM31" s="247"/>
      <c r="BN31" s="247"/>
      <c r="BO31" s="105"/>
    </row>
    <row r="32" spans="2:67" ht="1.95" customHeight="1" x14ac:dyDescent="0.3"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</row>
    <row r="33" spans="2:67" ht="9" customHeight="1" x14ac:dyDescent="0.3">
      <c r="B33" s="254" t="s">
        <v>13</v>
      </c>
      <c r="C33" s="255"/>
      <c r="D33" s="256"/>
      <c r="E33" s="238" t="s">
        <v>269</v>
      </c>
      <c r="F33" s="239"/>
      <c r="G33" s="239"/>
      <c r="H33" s="239"/>
      <c r="I33" s="239"/>
      <c r="J33" s="239"/>
      <c r="K33" s="240"/>
      <c r="L33" s="92"/>
      <c r="M33" s="254" t="s">
        <v>14</v>
      </c>
      <c r="N33" s="255"/>
      <c r="O33" s="256"/>
      <c r="P33" s="238" t="s">
        <v>269</v>
      </c>
      <c r="Q33" s="239"/>
      <c r="R33" s="239"/>
      <c r="S33" s="239"/>
      <c r="T33" s="239"/>
      <c r="U33" s="239"/>
      <c r="V33" s="240"/>
      <c r="W33" s="92"/>
      <c r="X33" s="254" t="s">
        <v>9</v>
      </c>
      <c r="Y33" s="255"/>
      <c r="Z33" s="256"/>
      <c r="AA33" s="238" t="s">
        <v>10</v>
      </c>
      <c r="AB33" s="239"/>
      <c r="AC33" s="239"/>
      <c r="AD33" s="239"/>
      <c r="AE33" s="239"/>
      <c r="AF33" s="239"/>
      <c r="AG33" s="240"/>
      <c r="AH33" s="91"/>
      <c r="AI33" s="263" t="s">
        <v>12</v>
      </c>
      <c r="AJ33" s="264"/>
      <c r="AK33" s="265"/>
      <c r="AL33" s="238" t="s">
        <v>10</v>
      </c>
      <c r="AM33" s="239"/>
      <c r="AN33" s="239"/>
      <c r="AO33" s="239"/>
      <c r="AP33" s="239"/>
      <c r="AQ33" s="239"/>
      <c r="AR33" s="240"/>
      <c r="AS33" s="92"/>
      <c r="AT33" s="254" t="s">
        <v>25</v>
      </c>
      <c r="AU33" s="255"/>
      <c r="AV33" s="256"/>
      <c r="AW33" s="238" t="s">
        <v>26</v>
      </c>
      <c r="AX33" s="239"/>
      <c r="AY33" s="239"/>
      <c r="AZ33" s="239"/>
      <c r="BA33" s="239"/>
      <c r="BB33" s="239"/>
      <c r="BC33" s="240"/>
      <c r="BD33" s="92"/>
      <c r="BE33" s="254" t="s">
        <v>27</v>
      </c>
      <c r="BF33" s="255"/>
      <c r="BG33" s="256"/>
      <c r="BH33" s="238" t="s">
        <v>714</v>
      </c>
      <c r="BI33" s="239"/>
      <c r="BJ33" s="239"/>
      <c r="BK33" s="239"/>
      <c r="BL33" s="239"/>
      <c r="BM33" s="239"/>
      <c r="BN33" s="240"/>
    </row>
    <row r="34" spans="2:67" ht="9" customHeight="1" x14ac:dyDescent="0.3">
      <c r="B34" s="251" t="s">
        <v>627</v>
      </c>
      <c r="C34" s="252"/>
      <c r="D34" s="252"/>
      <c r="E34" s="252"/>
      <c r="F34" s="252"/>
      <c r="G34" s="252"/>
      <c r="H34" s="252"/>
      <c r="I34" s="252"/>
      <c r="J34" s="252"/>
      <c r="K34" s="253"/>
      <c r="L34" s="92"/>
      <c r="M34" s="251" t="s">
        <v>627</v>
      </c>
      <c r="N34" s="252"/>
      <c r="O34" s="252"/>
      <c r="P34" s="252"/>
      <c r="Q34" s="252"/>
      <c r="R34" s="252"/>
      <c r="S34" s="252"/>
      <c r="T34" s="252"/>
      <c r="U34" s="252"/>
      <c r="V34" s="253"/>
      <c r="W34" s="92"/>
      <c r="X34" s="251" t="s">
        <v>176</v>
      </c>
      <c r="Y34" s="252"/>
      <c r="Z34" s="252"/>
      <c r="AA34" s="252"/>
      <c r="AB34" s="252"/>
      <c r="AC34" s="252"/>
      <c r="AD34" s="252"/>
      <c r="AE34" s="252"/>
      <c r="AF34" s="252"/>
      <c r="AG34" s="253"/>
      <c r="AH34" s="92"/>
      <c r="AI34" s="251" t="s">
        <v>11</v>
      </c>
      <c r="AJ34" s="252"/>
      <c r="AK34" s="252"/>
      <c r="AL34" s="252"/>
      <c r="AM34" s="252"/>
      <c r="AN34" s="252"/>
      <c r="AO34" s="252"/>
      <c r="AP34" s="252"/>
      <c r="AQ34" s="252"/>
      <c r="AR34" s="253"/>
      <c r="AS34" s="92"/>
      <c r="AT34" s="97"/>
      <c r="AU34" s="92"/>
      <c r="AV34" s="92"/>
      <c r="AW34" s="92"/>
      <c r="AX34" s="92"/>
      <c r="AY34" s="92"/>
      <c r="AZ34" s="92"/>
      <c r="BA34" s="92"/>
      <c r="BB34" s="92"/>
      <c r="BC34" s="98"/>
      <c r="BD34" s="92"/>
      <c r="BE34" s="251" t="s">
        <v>634</v>
      </c>
      <c r="BF34" s="252"/>
      <c r="BG34" s="252"/>
      <c r="BH34" s="252"/>
      <c r="BI34" s="252"/>
      <c r="BJ34" s="252"/>
      <c r="BK34" s="252"/>
      <c r="BL34" s="252"/>
      <c r="BM34" s="252"/>
      <c r="BN34" s="253"/>
    </row>
    <row r="35" spans="2:67" ht="9" customHeight="1" x14ac:dyDescent="0.3">
      <c r="B35" s="251" t="s">
        <v>626</v>
      </c>
      <c r="C35" s="252"/>
      <c r="D35" s="252"/>
      <c r="E35" s="252"/>
      <c r="F35" s="252"/>
      <c r="G35" s="252"/>
      <c r="H35" s="252"/>
      <c r="I35" s="252"/>
      <c r="J35" s="252"/>
      <c r="K35" s="253"/>
      <c r="L35" s="92"/>
      <c r="M35" s="251" t="s">
        <v>15</v>
      </c>
      <c r="N35" s="252"/>
      <c r="O35" s="252"/>
      <c r="P35" s="252"/>
      <c r="Q35" s="252"/>
      <c r="R35" s="252"/>
      <c r="S35" s="252"/>
      <c r="T35" s="252"/>
      <c r="U35" s="252"/>
      <c r="V35" s="253"/>
      <c r="W35" s="92"/>
      <c r="X35" s="97"/>
      <c r="Y35" s="92"/>
      <c r="Z35" s="92"/>
      <c r="AA35" s="92"/>
      <c r="AB35" s="92"/>
      <c r="AC35" s="92"/>
      <c r="AD35" s="92"/>
      <c r="AE35" s="92"/>
      <c r="AF35" s="92"/>
      <c r="AG35" s="98"/>
      <c r="AH35" s="97" t="s">
        <v>176</v>
      </c>
      <c r="AI35" s="251" t="s">
        <v>176</v>
      </c>
      <c r="AJ35" s="252"/>
      <c r="AK35" s="252"/>
      <c r="AL35" s="252"/>
      <c r="AM35" s="252"/>
      <c r="AN35" s="252"/>
      <c r="AO35" s="252"/>
      <c r="AP35" s="252"/>
      <c r="AQ35" s="252"/>
      <c r="AR35" s="253"/>
      <c r="AS35" s="92"/>
      <c r="AT35" s="97"/>
      <c r="AU35" s="92"/>
      <c r="AV35" s="92"/>
      <c r="AW35" s="92"/>
      <c r="AX35" s="92"/>
      <c r="AY35" s="92"/>
      <c r="AZ35" s="92"/>
      <c r="BA35" s="92"/>
      <c r="BB35" s="92"/>
      <c r="BC35" s="98"/>
      <c r="BD35" s="92"/>
      <c r="BE35" s="97"/>
      <c r="BF35" s="92"/>
      <c r="BG35" s="92"/>
      <c r="BH35" s="92"/>
      <c r="BI35" s="92"/>
      <c r="BJ35" s="92"/>
      <c r="BK35" s="92"/>
      <c r="BL35" s="92"/>
      <c r="BM35" s="92"/>
      <c r="BN35" s="98"/>
    </row>
    <row r="36" spans="2:67" ht="9" customHeight="1" x14ac:dyDescent="0.3">
      <c r="B36" s="97"/>
      <c r="C36" s="92"/>
      <c r="D36" s="92"/>
      <c r="E36" s="92"/>
      <c r="F36" s="92"/>
      <c r="G36" s="92"/>
      <c r="H36" s="92"/>
      <c r="I36" s="92"/>
      <c r="J36" s="92"/>
      <c r="K36" s="98"/>
      <c r="L36" s="92"/>
      <c r="M36" s="97"/>
      <c r="N36" s="92"/>
      <c r="O36" s="92"/>
      <c r="P36" s="92"/>
      <c r="Q36" s="92"/>
      <c r="R36" s="92"/>
      <c r="S36" s="92"/>
      <c r="T36" s="92"/>
      <c r="U36" s="92"/>
      <c r="V36" s="98"/>
      <c r="W36" s="92"/>
      <c r="X36" s="97"/>
      <c r="Y36" s="92"/>
      <c r="Z36" s="92"/>
      <c r="AA36" s="92"/>
      <c r="AB36" s="92"/>
      <c r="AC36" s="92"/>
      <c r="AD36" s="92"/>
      <c r="AE36" s="92"/>
      <c r="AF36" s="92"/>
      <c r="AG36" s="98"/>
      <c r="AH36" s="92"/>
      <c r="AI36" s="97"/>
      <c r="AJ36" s="92"/>
      <c r="AK36" s="92"/>
      <c r="AL36" s="92"/>
      <c r="AM36" s="92"/>
      <c r="AN36" s="92"/>
      <c r="AO36" s="92"/>
      <c r="AP36" s="92"/>
      <c r="AQ36" s="92"/>
      <c r="AR36" s="98"/>
      <c r="AS36" s="92"/>
      <c r="AT36" s="97"/>
      <c r="AU36" s="92"/>
      <c r="AV36" s="92"/>
      <c r="AW36" s="92"/>
      <c r="AX36" s="92"/>
      <c r="AY36" s="92"/>
      <c r="AZ36" s="92"/>
      <c r="BA36" s="92"/>
      <c r="BB36" s="92"/>
      <c r="BC36" s="98"/>
      <c r="BD36" s="92"/>
      <c r="BE36" s="97"/>
      <c r="BF36" s="92"/>
      <c r="BG36" s="92"/>
      <c r="BH36" s="92"/>
      <c r="BI36" s="92"/>
      <c r="BJ36" s="92"/>
      <c r="BK36" s="92"/>
      <c r="BL36" s="92"/>
      <c r="BM36" s="92"/>
      <c r="BN36" s="98"/>
    </row>
    <row r="37" spans="2:67" ht="9" customHeight="1" x14ac:dyDescent="0.3">
      <c r="B37" s="97"/>
      <c r="C37" s="92"/>
      <c r="D37" s="92"/>
      <c r="E37" s="92"/>
      <c r="F37" s="92"/>
      <c r="G37" s="92"/>
      <c r="H37" s="92"/>
      <c r="I37" s="92"/>
      <c r="J37" s="92"/>
      <c r="K37" s="98"/>
      <c r="L37" s="92"/>
      <c r="M37" s="97"/>
      <c r="N37" s="92"/>
      <c r="O37" s="92"/>
      <c r="P37" s="92"/>
      <c r="Q37" s="92"/>
      <c r="R37" s="92"/>
      <c r="S37" s="92"/>
      <c r="T37" s="92"/>
      <c r="U37" s="92"/>
      <c r="V37" s="98"/>
      <c r="W37" s="92"/>
      <c r="X37" s="97"/>
      <c r="Y37" s="92"/>
      <c r="Z37" s="92"/>
      <c r="AA37" s="92"/>
      <c r="AB37" s="92"/>
      <c r="AC37" s="92"/>
      <c r="AD37" s="92"/>
      <c r="AE37" s="92"/>
      <c r="AF37" s="92"/>
      <c r="AG37" s="98"/>
      <c r="AH37" s="92"/>
      <c r="AI37" s="97"/>
      <c r="AJ37" s="92"/>
      <c r="AK37" s="92"/>
      <c r="AL37" s="92"/>
      <c r="AM37" s="92"/>
      <c r="AN37" s="92"/>
      <c r="AO37" s="92"/>
      <c r="AP37" s="92"/>
      <c r="AQ37" s="92"/>
      <c r="AR37" s="98"/>
      <c r="AS37" s="92"/>
      <c r="AT37" s="97"/>
      <c r="AU37" s="92"/>
      <c r="AV37" s="92"/>
      <c r="AW37" s="92"/>
      <c r="AX37" s="92"/>
      <c r="AY37" s="92"/>
      <c r="AZ37" s="92"/>
      <c r="BA37" s="92"/>
      <c r="BB37" s="92"/>
      <c r="BC37" s="98"/>
      <c r="BD37" s="92"/>
      <c r="BE37" s="97"/>
      <c r="BF37" s="92"/>
      <c r="BG37" s="92"/>
      <c r="BH37" s="92"/>
      <c r="BI37" s="92"/>
      <c r="BJ37" s="92"/>
      <c r="BK37" s="92"/>
      <c r="BL37" s="92"/>
      <c r="BM37" s="92"/>
      <c r="BN37" s="98"/>
    </row>
    <row r="38" spans="2:67" ht="9" customHeight="1" x14ac:dyDescent="0.3">
      <c r="B38" s="97"/>
      <c r="C38" s="92"/>
      <c r="D38" s="92"/>
      <c r="E38" s="92"/>
      <c r="F38" s="92"/>
      <c r="G38" s="92"/>
      <c r="H38" s="92"/>
      <c r="I38" s="92"/>
      <c r="J38" s="92"/>
      <c r="K38" s="98"/>
      <c r="L38" s="92"/>
      <c r="M38" s="97"/>
      <c r="N38" s="92"/>
      <c r="O38" s="92"/>
      <c r="P38" s="92"/>
      <c r="Q38" s="92"/>
      <c r="R38" s="92"/>
      <c r="S38" s="92"/>
      <c r="T38" s="92"/>
      <c r="U38" s="92"/>
      <c r="V38" s="98"/>
      <c r="W38" s="92"/>
      <c r="X38" s="97"/>
      <c r="Y38" s="92"/>
      <c r="Z38" s="92"/>
      <c r="AA38" s="92"/>
      <c r="AB38" s="92"/>
      <c r="AC38" s="92"/>
      <c r="AD38" s="92"/>
      <c r="AE38" s="92"/>
      <c r="AF38" s="92"/>
      <c r="AG38" s="98"/>
      <c r="AH38" s="92"/>
      <c r="AI38" s="97"/>
      <c r="AJ38" s="92"/>
      <c r="AK38" s="92"/>
      <c r="AL38" s="92"/>
      <c r="AM38" s="92"/>
      <c r="AN38" s="92"/>
      <c r="AO38" s="92"/>
      <c r="AP38" s="92"/>
      <c r="AQ38" s="92"/>
      <c r="AR38" s="98"/>
      <c r="AS38" s="92"/>
      <c r="AT38" s="97"/>
      <c r="AU38" s="92"/>
      <c r="AV38" s="92"/>
      <c r="AW38" s="92"/>
      <c r="AX38" s="92"/>
      <c r="AY38" s="92"/>
      <c r="AZ38" s="92"/>
      <c r="BA38" s="92"/>
      <c r="BB38" s="92"/>
      <c r="BC38" s="98"/>
      <c r="BD38" s="92"/>
      <c r="BE38" s="97"/>
      <c r="BF38" s="92"/>
      <c r="BG38" s="92"/>
      <c r="BH38" s="92"/>
      <c r="BI38" s="92"/>
      <c r="BJ38" s="92"/>
      <c r="BK38" s="92"/>
      <c r="BL38" s="92"/>
      <c r="BM38" s="92"/>
      <c r="BN38" s="98"/>
    </row>
    <row r="39" spans="2:67" ht="9" customHeight="1" x14ac:dyDescent="0.3">
      <c r="B39" s="97"/>
      <c r="C39" s="92"/>
      <c r="D39" s="92"/>
      <c r="E39" s="92"/>
      <c r="F39" s="92"/>
      <c r="G39" s="92"/>
      <c r="H39" s="92"/>
      <c r="I39" s="92"/>
      <c r="J39" s="92"/>
      <c r="K39" s="98"/>
      <c r="L39" s="92"/>
      <c r="M39" s="97"/>
      <c r="N39" s="92"/>
      <c r="O39" s="92"/>
      <c r="P39" s="92"/>
      <c r="Q39" s="92"/>
      <c r="R39" s="92"/>
      <c r="S39" s="92"/>
      <c r="T39" s="92"/>
      <c r="U39" s="92"/>
      <c r="V39" s="98"/>
      <c r="W39" s="92"/>
      <c r="X39" s="97"/>
      <c r="Y39" s="92"/>
      <c r="Z39" s="92"/>
      <c r="AA39" s="92"/>
      <c r="AB39" s="92"/>
      <c r="AC39" s="92"/>
      <c r="AD39" s="92"/>
      <c r="AE39" s="92"/>
      <c r="AF39" s="92"/>
      <c r="AG39" s="98"/>
      <c r="AH39" s="92"/>
      <c r="AI39" s="97"/>
      <c r="AJ39" s="92"/>
      <c r="AK39" s="92"/>
      <c r="AL39" s="92"/>
      <c r="AM39" s="92"/>
      <c r="AN39" s="92"/>
      <c r="AO39" s="92"/>
      <c r="AP39" s="92"/>
      <c r="AQ39" s="92"/>
      <c r="AR39" s="98"/>
      <c r="AS39" s="92"/>
      <c r="AT39" s="97"/>
      <c r="AU39" s="92"/>
      <c r="AV39" s="92"/>
      <c r="AW39" s="92"/>
      <c r="AX39" s="92"/>
      <c r="AY39" s="92"/>
      <c r="AZ39" s="92"/>
      <c r="BA39" s="92"/>
      <c r="BB39" s="92"/>
      <c r="BC39" s="98"/>
      <c r="BD39" s="92"/>
      <c r="BE39" s="97"/>
      <c r="BF39" s="92"/>
      <c r="BG39" s="92"/>
      <c r="BH39" s="92"/>
      <c r="BI39" s="92"/>
      <c r="BJ39" s="92"/>
      <c r="BK39" s="92"/>
      <c r="BL39" s="92"/>
      <c r="BM39" s="92"/>
      <c r="BN39" s="98"/>
    </row>
    <row r="40" spans="2:67" ht="9" customHeight="1" x14ac:dyDescent="0.3">
      <c r="B40" s="97"/>
      <c r="C40" s="92"/>
      <c r="D40" s="92"/>
      <c r="E40" s="92"/>
      <c r="F40" s="92"/>
      <c r="G40" s="92"/>
      <c r="H40" s="92"/>
      <c r="I40" s="92"/>
      <c r="J40" s="92"/>
      <c r="K40" s="98"/>
      <c r="L40" s="92"/>
      <c r="M40" s="97"/>
      <c r="N40" s="92"/>
      <c r="O40" s="92"/>
      <c r="P40" s="92"/>
      <c r="Q40" s="92"/>
      <c r="R40" s="92"/>
      <c r="S40" s="92"/>
      <c r="T40" s="92"/>
      <c r="U40" s="92"/>
      <c r="V40" s="98"/>
      <c r="W40" s="92"/>
      <c r="X40" s="97"/>
      <c r="Y40" s="92"/>
      <c r="Z40" s="92"/>
      <c r="AA40" s="92"/>
      <c r="AB40" s="92"/>
      <c r="AC40" s="92"/>
      <c r="AD40" s="92"/>
      <c r="AE40" s="92"/>
      <c r="AF40" s="92"/>
      <c r="AG40" s="98"/>
      <c r="AH40" s="92"/>
      <c r="AI40" s="97"/>
      <c r="AJ40" s="92"/>
      <c r="AK40" s="92"/>
      <c r="AL40" s="92"/>
      <c r="AM40" s="92"/>
      <c r="AN40" s="92"/>
      <c r="AO40" s="92"/>
      <c r="AP40" s="92"/>
      <c r="AQ40" s="92"/>
      <c r="AR40" s="98"/>
      <c r="AS40" s="92"/>
      <c r="AT40" s="97"/>
      <c r="AU40" s="92"/>
      <c r="AV40" s="92"/>
      <c r="AW40" s="92"/>
      <c r="AX40" s="92"/>
      <c r="AY40" s="92"/>
      <c r="AZ40" s="92"/>
      <c r="BA40" s="92"/>
      <c r="BB40" s="92"/>
      <c r="BC40" s="98"/>
      <c r="BD40" s="92"/>
      <c r="BE40" s="97"/>
      <c r="BF40" s="92"/>
      <c r="BG40" s="92"/>
      <c r="BH40" s="92"/>
      <c r="BI40" s="92"/>
      <c r="BJ40" s="92"/>
      <c r="BK40" s="92"/>
      <c r="BL40" s="92"/>
      <c r="BM40" s="92"/>
      <c r="BN40" s="98"/>
    </row>
    <row r="41" spans="2:67" ht="9" customHeight="1" x14ac:dyDescent="0.3">
      <c r="B41" s="97"/>
      <c r="C41" s="92"/>
      <c r="D41" s="92"/>
      <c r="E41" s="92"/>
      <c r="F41" s="92"/>
      <c r="G41" s="92"/>
      <c r="H41" s="92"/>
      <c r="I41" s="92"/>
      <c r="J41" s="92"/>
      <c r="K41" s="98"/>
      <c r="L41" s="92"/>
      <c r="M41" s="97"/>
      <c r="N41" s="92"/>
      <c r="O41" s="92"/>
      <c r="P41" s="92"/>
      <c r="Q41" s="92"/>
      <c r="R41" s="92"/>
      <c r="S41" s="92"/>
      <c r="T41" s="92"/>
      <c r="U41" s="92"/>
      <c r="V41" s="98"/>
      <c r="W41" s="92"/>
      <c r="X41" s="97"/>
      <c r="Y41" s="92"/>
      <c r="Z41" s="92"/>
      <c r="AA41" s="92"/>
      <c r="AB41" s="92"/>
      <c r="AC41" s="92"/>
      <c r="AD41" s="92"/>
      <c r="AE41" s="92"/>
      <c r="AF41" s="92"/>
      <c r="AG41" s="98"/>
      <c r="AH41" s="92"/>
      <c r="AI41" s="97"/>
      <c r="AJ41" s="92"/>
      <c r="AK41" s="92"/>
      <c r="AL41" s="92"/>
      <c r="AM41" s="92"/>
      <c r="AN41" s="92"/>
      <c r="AO41" s="92"/>
      <c r="AP41" s="92"/>
      <c r="AQ41" s="92"/>
      <c r="AR41" s="98"/>
      <c r="AS41" s="92"/>
      <c r="AT41" s="97"/>
      <c r="AU41" s="92"/>
      <c r="AV41" s="92"/>
      <c r="AW41" s="92"/>
      <c r="AX41" s="92"/>
      <c r="AY41" s="92"/>
      <c r="AZ41" s="92"/>
      <c r="BA41" s="92"/>
      <c r="BB41" s="92"/>
      <c r="BC41" s="98"/>
      <c r="BD41" s="92"/>
      <c r="BE41" s="97"/>
      <c r="BF41" s="92"/>
      <c r="BG41" s="92"/>
      <c r="BH41" s="92"/>
      <c r="BI41" s="92"/>
      <c r="BJ41" s="92"/>
      <c r="BK41" s="92"/>
      <c r="BL41" s="92"/>
      <c r="BM41" s="92"/>
      <c r="BN41" s="98"/>
    </row>
    <row r="42" spans="2:67" ht="9" customHeight="1" x14ac:dyDescent="0.3">
      <c r="B42" s="97"/>
      <c r="C42" s="92"/>
      <c r="D42" s="92"/>
      <c r="E42" s="92"/>
      <c r="F42" s="92"/>
      <c r="G42" s="92"/>
      <c r="H42" s="92"/>
      <c r="I42" s="92"/>
      <c r="J42" s="92"/>
      <c r="K42" s="98"/>
      <c r="L42" s="92"/>
      <c r="M42" s="97"/>
      <c r="N42" s="92"/>
      <c r="O42" s="92"/>
      <c r="P42" s="92"/>
      <c r="Q42" s="92"/>
      <c r="R42" s="92"/>
      <c r="S42" s="92"/>
      <c r="T42" s="92"/>
      <c r="U42" s="92"/>
      <c r="V42" s="98"/>
      <c r="W42" s="92"/>
      <c r="X42" s="97"/>
      <c r="Y42" s="92"/>
      <c r="Z42" s="92"/>
      <c r="AA42" s="92"/>
      <c r="AB42" s="92"/>
      <c r="AC42" s="92"/>
      <c r="AD42" s="92"/>
      <c r="AE42" s="92"/>
      <c r="AF42" s="92"/>
      <c r="AG42" s="98"/>
      <c r="AH42" s="92"/>
      <c r="AI42" s="97"/>
      <c r="AJ42" s="92"/>
      <c r="AK42" s="92"/>
      <c r="AL42" s="92"/>
      <c r="AM42" s="92"/>
      <c r="AN42" s="92"/>
      <c r="AO42" s="92"/>
      <c r="AP42" s="92"/>
      <c r="AQ42" s="92"/>
      <c r="AR42" s="98"/>
      <c r="AS42" s="92"/>
      <c r="AT42" s="97"/>
      <c r="AU42" s="92"/>
      <c r="AV42" s="92"/>
      <c r="AW42" s="92"/>
      <c r="AX42" s="92"/>
      <c r="AY42" s="92"/>
      <c r="AZ42" s="92"/>
      <c r="BA42" s="92"/>
      <c r="BB42" s="92"/>
      <c r="BC42" s="98"/>
      <c r="BD42" s="92"/>
      <c r="BE42" s="97"/>
      <c r="BF42" s="92"/>
      <c r="BG42" s="92"/>
      <c r="BH42" s="92"/>
      <c r="BI42" s="92"/>
      <c r="BJ42" s="92"/>
      <c r="BK42" s="92"/>
      <c r="BL42" s="92"/>
      <c r="BM42" s="92"/>
      <c r="BN42" s="98"/>
    </row>
    <row r="43" spans="2:67" ht="9" customHeight="1" x14ac:dyDescent="0.3">
      <c r="B43" s="97"/>
      <c r="C43" s="92"/>
      <c r="D43" s="92"/>
      <c r="E43" s="92"/>
      <c r="F43" s="92"/>
      <c r="G43" s="92"/>
      <c r="H43" s="92"/>
      <c r="I43" s="92"/>
      <c r="J43" s="92"/>
      <c r="K43" s="98"/>
      <c r="L43" s="92"/>
      <c r="M43" s="97"/>
      <c r="N43" s="92"/>
      <c r="O43" s="92"/>
      <c r="P43" s="92"/>
      <c r="Q43" s="92"/>
      <c r="R43" s="92"/>
      <c r="S43" s="92"/>
      <c r="T43" s="92"/>
      <c r="U43" s="92"/>
      <c r="V43" s="98"/>
      <c r="W43" s="92"/>
      <c r="X43" s="97"/>
      <c r="Y43" s="92"/>
      <c r="Z43" s="92"/>
      <c r="AA43" s="92"/>
      <c r="AB43" s="92"/>
      <c r="AC43" s="92"/>
      <c r="AD43" s="92"/>
      <c r="AE43" s="92"/>
      <c r="AF43" s="92"/>
      <c r="AG43" s="98"/>
      <c r="AH43" s="92"/>
      <c r="AI43" s="97"/>
      <c r="AJ43" s="92"/>
      <c r="AK43" s="92"/>
      <c r="AL43" s="92"/>
      <c r="AM43" s="92"/>
      <c r="AN43" s="92"/>
      <c r="AO43" s="92"/>
      <c r="AP43" s="92"/>
      <c r="AQ43" s="92"/>
      <c r="AR43" s="98"/>
      <c r="AS43" s="92"/>
      <c r="AT43" s="97"/>
      <c r="AU43" s="92"/>
      <c r="AV43" s="92"/>
      <c r="AW43" s="92"/>
      <c r="AX43" s="92"/>
      <c r="AY43" s="92"/>
      <c r="AZ43" s="92"/>
      <c r="BA43" s="92"/>
      <c r="BB43" s="92"/>
      <c r="BC43" s="98"/>
      <c r="BD43" s="92"/>
      <c r="BE43" s="97"/>
      <c r="BF43" s="92"/>
      <c r="BG43" s="92"/>
      <c r="BH43" s="92"/>
      <c r="BI43" s="92"/>
      <c r="BJ43" s="92"/>
      <c r="BK43" s="92"/>
      <c r="BL43" s="92"/>
      <c r="BM43" s="92"/>
      <c r="BN43" s="98"/>
    </row>
    <row r="44" spans="2:67" ht="9" customHeight="1" x14ac:dyDescent="0.3">
      <c r="B44" s="97" t="s">
        <v>722</v>
      </c>
      <c r="C44" s="92"/>
      <c r="D44" s="92"/>
      <c r="E44" s="92"/>
      <c r="F44" s="92"/>
      <c r="G44" s="92"/>
      <c r="H44" s="92"/>
      <c r="I44" s="92"/>
      <c r="J44" s="92"/>
      <c r="K44" s="98"/>
      <c r="L44" s="92"/>
      <c r="M44" s="97"/>
      <c r="N44" s="92"/>
      <c r="O44" s="92"/>
      <c r="P44" s="92"/>
      <c r="Q44" s="92"/>
      <c r="R44" s="92"/>
      <c r="S44" s="92"/>
      <c r="T44" s="92"/>
      <c r="U44" s="92"/>
      <c r="V44" s="98"/>
      <c r="W44" s="92"/>
      <c r="X44" s="266" t="s">
        <v>717</v>
      </c>
      <c r="Y44" s="249"/>
      <c r="Z44" s="249"/>
      <c r="AA44" s="249"/>
      <c r="AB44" s="249"/>
      <c r="AC44" s="249"/>
      <c r="AD44" s="249"/>
      <c r="AE44" s="249"/>
      <c r="AF44" s="249"/>
      <c r="AG44" s="267"/>
      <c r="AH44" s="92"/>
      <c r="AI44" s="266" t="s">
        <v>717</v>
      </c>
      <c r="AJ44" s="249"/>
      <c r="AK44" s="249"/>
      <c r="AL44" s="249"/>
      <c r="AM44" s="249"/>
      <c r="AN44" s="249"/>
      <c r="AO44" s="249"/>
      <c r="AP44" s="249"/>
      <c r="AQ44" s="249"/>
      <c r="AR44" s="267"/>
      <c r="AS44" s="92"/>
      <c r="AT44" s="97"/>
      <c r="AU44" s="92"/>
      <c r="AV44" s="92"/>
      <c r="AW44" s="92"/>
      <c r="AX44" s="92"/>
      <c r="AY44" s="92"/>
      <c r="AZ44" s="92"/>
      <c r="BA44" s="92"/>
      <c r="BB44" s="92"/>
      <c r="BC44" s="98"/>
      <c r="BD44" s="92"/>
      <c r="BE44" s="97"/>
      <c r="BF44" s="92"/>
      <c r="BG44" s="92"/>
      <c r="BH44" s="92"/>
      <c r="BI44" s="92"/>
      <c r="BJ44" s="92"/>
      <c r="BK44" s="92"/>
      <c r="BL44" s="92"/>
      <c r="BM44" s="92"/>
      <c r="BN44" s="98"/>
    </row>
    <row r="45" spans="2:67" s="5" customFormat="1" ht="9" customHeight="1" x14ac:dyDescent="0.3">
      <c r="B45" s="246" t="s">
        <v>16</v>
      </c>
      <c r="C45" s="246"/>
      <c r="D45" s="246"/>
      <c r="E45" s="246"/>
      <c r="F45" s="246"/>
      <c r="G45" s="246"/>
      <c r="H45" s="247">
        <f>CEILING(17507*B3,1)</f>
        <v>24510</v>
      </c>
      <c r="I45" s="247"/>
      <c r="J45" s="247"/>
      <c r="K45" s="247"/>
      <c r="L45" s="104"/>
      <c r="M45" s="246" t="s">
        <v>16</v>
      </c>
      <c r="N45" s="246"/>
      <c r="O45" s="246"/>
      <c r="P45" s="246"/>
      <c r="Q45" s="246"/>
      <c r="R45" s="246"/>
      <c r="S45" s="247">
        <f>CEILING(11577*B3,1)</f>
        <v>16208</v>
      </c>
      <c r="T45" s="247"/>
      <c r="U45" s="247"/>
      <c r="V45" s="247"/>
      <c r="W45" s="104"/>
      <c r="X45" s="246" t="s">
        <v>802</v>
      </c>
      <c r="Y45" s="246"/>
      <c r="Z45" s="246"/>
      <c r="AA45" s="246"/>
      <c r="AB45" s="246"/>
      <c r="AC45" s="246"/>
      <c r="AD45" s="247">
        <f>CEILING(17317*B3,1)</f>
        <v>24244</v>
      </c>
      <c r="AE45" s="247"/>
      <c r="AF45" s="247"/>
      <c r="AG45" s="247"/>
      <c r="AH45" s="104"/>
      <c r="AI45" s="246" t="s">
        <v>802</v>
      </c>
      <c r="AJ45" s="246"/>
      <c r="AK45" s="246"/>
      <c r="AL45" s="246"/>
      <c r="AM45" s="246"/>
      <c r="AN45" s="246"/>
      <c r="AO45" s="247">
        <f>CEILING(18785*B3,1)</f>
        <v>26299</v>
      </c>
      <c r="AP45" s="247"/>
      <c r="AQ45" s="247"/>
      <c r="AR45" s="247"/>
      <c r="AS45" s="104"/>
      <c r="AT45" s="246" t="s">
        <v>775</v>
      </c>
      <c r="AU45" s="246"/>
      <c r="AV45" s="246"/>
      <c r="AW45" s="246"/>
      <c r="AX45" s="246"/>
      <c r="AY45" s="246"/>
      <c r="AZ45" s="247">
        <f>CEILING(1724*B3,1)</f>
        <v>2414</v>
      </c>
      <c r="BA45" s="247"/>
      <c r="BB45" s="247"/>
      <c r="BC45" s="247"/>
      <c r="BD45" s="104"/>
      <c r="BE45" s="246" t="s">
        <v>637</v>
      </c>
      <c r="BF45" s="246"/>
      <c r="BG45" s="246"/>
      <c r="BH45" s="246"/>
      <c r="BI45" s="246"/>
      <c r="BJ45" s="246"/>
      <c r="BK45" s="247">
        <f>CEILING(1159*B3,1)</f>
        <v>1623</v>
      </c>
      <c r="BL45" s="247"/>
      <c r="BM45" s="247"/>
      <c r="BN45" s="247"/>
      <c r="BO45" s="105"/>
    </row>
    <row r="46" spans="2:67" ht="1.95" customHeight="1" x14ac:dyDescent="0.3"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</row>
    <row r="47" spans="2:67" ht="9" customHeight="1" x14ac:dyDescent="0.3">
      <c r="B47" s="254" t="s">
        <v>36</v>
      </c>
      <c r="C47" s="255"/>
      <c r="D47" s="256"/>
      <c r="E47" s="238" t="s">
        <v>46</v>
      </c>
      <c r="F47" s="239"/>
      <c r="G47" s="239"/>
      <c r="H47" s="239"/>
      <c r="I47" s="239"/>
      <c r="J47" s="239"/>
      <c r="K47" s="240"/>
      <c r="L47" s="92"/>
      <c r="M47" s="254" t="s">
        <v>38</v>
      </c>
      <c r="N47" s="255"/>
      <c r="O47" s="256"/>
      <c r="P47" s="238" t="s">
        <v>585</v>
      </c>
      <c r="Q47" s="239"/>
      <c r="R47" s="239"/>
      <c r="S47" s="239"/>
      <c r="T47" s="239"/>
      <c r="U47" s="239"/>
      <c r="V47" s="240"/>
      <c r="W47" s="92"/>
      <c r="X47" s="254" t="s">
        <v>39</v>
      </c>
      <c r="Y47" s="255"/>
      <c r="Z47" s="256"/>
      <c r="AA47" s="238" t="s">
        <v>585</v>
      </c>
      <c r="AB47" s="239"/>
      <c r="AC47" s="239"/>
      <c r="AD47" s="239"/>
      <c r="AE47" s="239"/>
      <c r="AF47" s="239"/>
      <c r="AG47" s="240"/>
      <c r="AH47" s="92"/>
      <c r="AI47" s="254" t="s">
        <v>41</v>
      </c>
      <c r="AJ47" s="255"/>
      <c r="AK47" s="256"/>
      <c r="AL47" s="238" t="s">
        <v>42</v>
      </c>
      <c r="AM47" s="239"/>
      <c r="AN47" s="239"/>
      <c r="AO47" s="239"/>
      <c r="AP47" s="239"/>
      <c r="AQ47" s="239"/>
      <c r="AR47" s="240"/>
      <c r="AS47" s="92"/>
      <c r="AT47" s="254" t="s">
        <v>44</v>
      </c>
      <c r="AU47" s="255"/>
      <c r="AV47" s="256"/>
      <c r="AW47" s="238" t="s">
        <v>42</v>
      </c>
      <c r="AX47" s="239"/>
      <c r="AY47" s="239"/>
      <c r="AZ47" s="239"/>
      <c r="BA47" s="239"/>
      <c r="BB47" s="239"/>
      <c r="BC47" s="240"/>
      <c r="BD47" s="92"/>
      <c r="BE47" s="254" t="s">
        <v>806</v>
      </c>
      <c r="BF47" s="255"/>
      <c r="BG47" s="256"/>
      <c r="BH47" s="238" t="s">
        <v>718</v>
      </c>
      <c r="BI47" s="239"/>
      <c r="BJ47" s="239"/>
      <c r="BK47" s="239"/>
      <c r="BL47" s="239"/>
      <c r="BM47" s="239"/>
      <c r="BN47" s="240"/>
    </row>
    <row r="48" spans="2:67" ht="9" customHeight="1" x14ac:dyDescent="0.3">
      <c r="B48" s="251" t="s">
        <v>820</v>
      </c>
      <c r="C48" s="252"/>
      <c r="D48" s="252"/>
      <c r="E48" s="252"/>
      <c r="F48" s="252"/>
      <c r="G48" s="252"/>
      <c r="H48" s="252"/>
      <c r="I48" s="252"/>
      <c r="J48" s="252"/>
      <c r="K48" s="253"/>
      <c r="L48" s="92"/>
      <c r="M48" s="251" t="s">
        <v>819</v>
      </c>
      <c r="N48" s="252"/>
      <c r="O48" s="252"/>
      <c r="P48" s="252"/>
      <c r="Q48" s="252"/>
      <c r="R48" s="252"/>
      <c r="S48" s="252"/>
      <c r="T48" s="252"/>
      <c r="U48" s="252"/>
      <c r="V48" s="253"/>
      <c r="W48" s="92"/>
      <c r="X48" s="251" t="s">
        <v>586</v>
      </c>
      <c r="Y48" s="252"/>
      <c r="Z48" s="252"/>
      <c r="AA48" s="252"/>
      <c r="AB48" s="252"/>
      <c r="AC48" s="252"/>
      <c r="AD48" s="252"/>
      <c r="AE48" s="252"/>
      <c r="AF48" s="252"/>
      <c r="AG48" s="253"/>
      <c r="AH48" s="92"/>
      <c r="AI48" s="251" t="s">
        <v>145</v>
      </c>
      <c r="AJ48" s="252"/>
      <c r="AK48" s="252"/>
      <c r="AL48" s="252"/>
      <c r="AM48" s="252"/>
      <c r="AN48" s="252"/>
      <c r="AO48" s="252"/>
      <c r="AP48" s="252"/>
      <c r="AQ48" s="252"/>
      <c r="AR48" s="253"/>
      <c r="AS48" s="92"/>
      <c r="AT48" s="251" t="s">
        <v>144</v>
      </c>
      <c r="AU48" s="252"/>
      <c r="AV48" s="252"/>
      <c r="AW48" s="252"/>
      <c r="AX48" s="252"/>
      <c r="AY48" s="252"/>
      <c r="AZ48" s="252"/>
      <c r="BA48" s="252"/>
      <c r="BB48" s="252"/>
      <c r="BC48" s="253"/>
      <c r="BD48" s="92"/>
      <c r="BE48" s="251" t="s">
        <v>805</v>
      </c>
      <c r="BF48" s="252"/>
      <c r="BG48" s="252"/>
      <c r="BH48" s="252"/>
      <c r="BI48" s="252"/>
      <c r="BJ48" s="252"/>
      <c r="BK48" s="252"/>
      <c r="BL48" s="252"/>
      <c r="BM48" s="252"/>
      <c r="BN48" s="253"/>
    </row>
    <row r="49" spans="2:67" ht="9" customHeight="1" x14ac:dyDescent="0.3">
      <c r="B49" s="97"/>
      <c r="C49" s="92"/>
      <c r="D49" s="92"/>
      <c r="E49" s="92"/>
      <c r="F49" s="92"/>
      <c r="G49" s="92"/>
      <c r="H49" s="92"/>
      <c r="I49" s="92"/>
      <c r="J49" s="92"/>
      <c r="K49" s="98"/>
      <c r="L49" s="92"/>
      <c r="M49" s="97"/>
      <c r="N49" s="92"/>
      <c r="O49" s="92"/>
      <c r="P49" s="92"/>
      <c r="Q49" s="92"/>
      <c r="R49" s="92"/>
      <c r="S49" s="92"/>
      <c r="T49" s="92"/>
      <c r="U49" s="92"/>
      <c r="V49" s="98"/>
      <c r="W49" s="92"/>
      <c r="X49" s="97"/>
      <c r="Y49" s="92"/>
      <c r="Z49" s="92"/>
      <c r="AA49" s="92"/>
      <c r="AB49" s="92"/>
      <c r="AC49" s="92"/>
      <c r="AD49" s="92"/>
      <c r="AE49" s="92"/>
      <c r="AF49" s="92"/>
      <c r="AG49" s="98"/>
      <c r="AH49" s="92"/>
      <c r="AI49" s="97"/>
      <c r="AJ49" s="92"/>
      <c r="AK49" s="92"/>
      <c r="AL49" s="92"/>
      <c r="AM49" s="92"/>
      <c r="AN49" s="92"/>
      <c r="AO49" s="92"/>
      <c r="AP49" s="92"/>
      <c r="AQ49" s="92"/>
      <c r="AR49" s="98"/>
      <c r="AS49" s="92"/>
      <c r="AT49" s="97"/>
      <c r="AU49" s="92"/>
      <c r="AV49" s="92"/>
      <c r="AW49" s="92"/>
      <c r="AX49" s="92"/>
      <c r="AY49" s="92"/>
      <c r="AZ49" s="92"/>
      <c r="BA49" s="92"/>
      <c r="BB49" s="92"/>
      <c r="BC49" s="98"/>
      <c r="BD49" s="92"/>
      <c r="BE49" s="97"/>
      <c r="BF49" s="92"/>
      <c r="BG49" s="92"/>
      <c r="BH49" s="92"/>
      <c r="BI49" s="92"/>
      <c r="BJ49" s="92"/>
      <c r="BK49" s="92"/>
      <c r="BL49" s="92"/>
      <c r="BM49" s="92"/>
      <c r="BN49" s="98"/>
    </row>
    <row r="50" spans="2:67" ht="9" customHeight="1" x14ac:dyDescent="0.3">
      <c r="B50" s="97"/>
      <c r="C50" s="92"/>
      <c r="D50" s="92"/>
      <c r="E50" s="92"/>
      <c r="F50" s="92"/>
      <c r="G50" s="92"/>
      <c r="H50" s="92"/>
      <c r="I50" s="92"/>
      <c r="J50" s="92"/>
      <c r="K50" s="98"/>
      <c r="L50" s="92"/>
      <c r="M50" s="97"/>
      <c r="N50" s="92"/>
      <c r="O50" s="92"/>
      <c r="P50" s="92"/>
      <c r="Q50" s="92"/>
      <c r="R50" s="92"/>
      <c r="S50" s="92"/>
      <c r="T50" s="92"/>
      <c r="U50" s="92"/>
      <c r="V50" s="98"/>
      <c r="W50" s="92"/>
      <c r="X50" s="97"/>
      <c r="Y50" s="92"/>
      <c r="Z50" s="92"/>
      <c r="AA50" s="92"/>
      <c r="AB50" s="92"/>
      <c r="AC50" s="92"/>
      <c r="AD50" s="92"/>
      <c r="AE50" s="92"/>
      <c r="AF50" s="92"/>
      <c r="AG50" s="98"/>
      <c r="AH50" s="92"/>
      <c r="AI50" s="97"/>
      <c r="AJ50" s="92"/>
      <c r="AK50" s="92"/>
      <c r="AL50" s="92"/>
      <c r="AM50" s="92"/>
      <c r="AN50" s="92"/>
      <c r="AO50" s="92"/>
      <c r="AP50" s="92"/>
      <c r="AQ50" s="92"/>
      <c r="AR50" s="98"/>
      <c r="AS50" s="92"/>
      <c r="AT50" s="97"/>
      <c r="AU50" s="92"/>
      <c r="AV50" s="92"/>
      <c r="AW50" s="92"/>
      <c r="AX50" s="92"/>
      <c r="AY50" s="92"/>
      <c r="AZ50" s="92"/>
      <c r="BA50" s="92"/>
      <c r="BB50" s="92"/>
      <c r="BC50" s="98"/>
      <c r="BD50" s="92"/>
      <c r="BE50" s="97"/>
      <c r="BF50" s="92"/>
      <c r="BG50" s="92"/>
      <c r="BH50" s="92"/>
      <c r="BI50" s="92"/>
      <c r="BJ50" s="92"/>
      <c r="BK50" s="92"/>
      <c r="BL50" s="92"/>
      <c r="BM50" s="92"/>
      <c r="BN50" s="98"/>
    </row>
    <row r="51" spans="2:67" ht="9" customHeight="1" x14ac:dyDescent="0.3">
      <c r="B51" s="97"/>
      <c r="C51" s="92"/>
      <c r="D51" s="92"/>
      <c r="E51" s="92"/>
      <c r="F51" s="92"/>
      <c r="G51" s="92"/>
      <c r="H51" s="92"/>
      <c r="I51" s="92"/>
      <c r="J51" s="92"/>
      <c r="K51" s="98"/>
      <c r="L51" s="92"/>
      <c r="M51" s="97"/>
      <c r="N51" s="92"/>
      <c r="O51" s="92"/>
      <c r="P51" s="92"/>
      <c r="Q51" s="92"/>
      <c r="R51" s="92"/>
      <c r="S51" s="92"/>
      <c r="T51" s="92"/>
      <c r="U51" s="92"/>
      <c r="V51" s="98"/>
      <c r="W51" s="92"/>
      <c r="X51" s="97"/>
      <c r="Y51" s="92"/>
      <c r="Z51" s="92"/>
      <c r="AA51" s="92"/>
      <c r="AB51" s="92"/>
      <c r="AC51" s="92"/>
      <c r="AD51" s="92"/>
      <c r="AE51" s="92"/>
      <c r="AF51" s="92"/>
      <c r="AG51" s="98"/>
      <c r="AH51" s="92"/>
      <c r="AI51" s="97"/>
      <c r="AJ51" s="92"/>
      <c r="AK51" s="92"/>
      <c r="AL51" s="92"/>
      <c r="AM51" s="92"/>
      <c r="AN51" s="92"/>
      <c r="AO51" s="92"/>
      <c r="AP51" s="92"/>
      <c r="AQ51" s="92"/>
      <c r="AR51" s="98"/>
      <c r="AS51" s="92"/>
      <c r="AT51" s="97"/>
      <c r="AU51" s="92"/>
      <c r="AV51" s="92"/>
      <c r="AW51" s="92"/>
      <c r="AX51" s="92"/>
      <c r="AY51" s="92"/>
      <c r="AZ51" s="92"/>
      <c r="BA51" s="92"/>
      <c r="BB51" s="92"/>
      <c r="BC51" s="98"/>
      <c r="BD51" s="92"/>
      <c r="BE51" s="97"/>
      <c r="BF51" s="92"/>
      <c r="BG51" s="92"/>
      <c r="BH51" s="92"/>
      <c r="BI51" s="92"/>
      <c r="BJ51" s="92"/>
      <c r="BK51" s="92"/>
      <c r="BL51" s="92"/>
      <c r="BM51" s="92"/>
      <c r="BN51" s="98"/>
    </row>
    <row r="52" spans="2:67" ht="9" customHeight="1" x14ac:dyDescent="0.3">
      <c r="B52" s="97"/>
      <c r="C52" s="92"/>
      <c r="D52" s="92"/>
      <c r="E52" s="92"/>
      <c r="F52" s="92"/>
      <c r="G52" s="92"/>
      <c r="H52" s="92"/>
      <c r="I52" s="92"/>
      <c r="J52" s="92"/>
      <c r="K52" s="98"/>
      <c r="L52" s="92"/>
      <c r="M52" s="97"/>
      <c r="N52" s="92"/>
      <c r="O52" s="92"/>
      <c r="P52" s="92"/>
      <c r="Q52" s="92"/>
      <c r="R52" s="92"/>
      <c r="S52" s="92"/>
      <c r="T52" s="92"/>
      <c r="U52" s="92"/>
      <c r="V52" s="98"/>
      <c r="W52" s="92"/>
      <c r="X52" s="97"/>
      <c r="Y52" s="92"/>
      <c r="Z52" s="92"/>
      <c r="AA52" s="92"/>
      <c r="AB52" s="92"/>
      <c r="AC52" s="92"/>
      <c r="AD52" s="92"/>
      <c r="AE52" s="92"/>
      <c r="AF52" s="92"/>
      <c r="AG52" s="98"/>
      <c r="AH52" s="92"/>
      <c r="AI52" s="97"/>
      <c r="AJ52" s="92"/>
      <c r="AK52" s="92"/>
      <c r="AL52" s="92"/>
      <c r="AM52" s="92"/>
      <c r="AN52" s="92"/>
      <c r="AO52" s="92"/>
      <c r="AP52" s="92"/>
      <c r="AQ52" s="92"/>
      <c r="AR52" s="98"/>
      <c r="AS52" s="92"/>
      <c r="AT52" s="97"/>
      <c r="AU52" s="92"/>
      <c r="AV52" s="92"/>
      <c r="AW52" s="92"/>
      <c r="AX52" s="92"/>
      <c r="AY52" s="92"/>
      <c r="AZ52" s="92"/>
      <c r="BA52" s="92"/>
      <c r="BB52" s="92"/>
      <c r="BC52" s="98"/>
      <c r="BD52" s="92"/>
      <c r="BE52" s="97"/>
      <c r="BF52" s="92"/>
      <c r="BG52" s="92"/>
      <c r="BH52" s="92"/>
      <c r="BI52" s="92"/>
      <c r="BJ52" s="92"/>
      <c r="BK52" s="92"/>
      <c r="BL52" s="92"/>
      <c r="BM52" s="92"/>
      <c r="BN52" s="98"/>
    </row>
    <row r="53" spans="2:67" ht="9" customHeight="1" x14ac:dyDescent="0.3">
      <c r="B53" s="97"/>
      <c r="C53" s="92"/>
      <c r="D53" s="92"/>
      <c r="E53" s="92"/>
      <c r="F53" s="92"/>
      <c r="G53" s="92"/>
      <c r="H53" s="92"/>
      <c r="I53" s="92"/>
      <c r="J53" s="92"/>
      <c r="K53" s="98"/>
      <c r="L53" s="92"/>
      <c r="M53" s="97"/>
      <c r="N53" s="92"/>
      <c r="O53" s="92"/>
      <c r="P53" s="92"/>
      <c r="Q53" s="92"/>
      <c r="R53" s="92"/>
      <c r="S53" s="92"/>
      <c r="T53" s="92"/>
      <c r="U53" s="92"/>
      <c r="V53" s="98"/>
      <c r="W53" s="92"/>
      <c r="X53" s="97"/>
      <c r="Y53" s="92"/>
      <c r="Z53" s="92"/>
      <c r="AA53" s="92"/>
      <c r="AB53" s="92"/>
      <c r="AC53" s="92"/>
      <c r="AD53" s="92"/>
      <c r="AE53" s="92"/>
      <c r="AF53" s="92"/>
      <c r="AG53" s="98"/>
      <c r="AH53" s="92"/>
      <c r="AI53" s="97"/>
      <c r="AJ53" s="92"/>
      <c r="AK53" s="92"/>
      <c r="AL53" s="92"/>
      <c r="AM53" s="92"/>
      <c r="AN53" s="92"/>
      <c r="AO53" s="92"/>
      <c r="AP53" s="92"/>
      <c r="AQ53" s="92"/>
      <c r="AR53" s="98"/>
      <c r="AS53" s="92"/>
      <c r="AT53" s="97"/>
      <c r="AU53" s="92"/>
      <c r="AV53" s="92"/>
      <c r="AW53" s="92"/>
      <c r="AX53" s="92"/>
      <c r="AY53" s="92"/>
      <c r="AZ53" s="92"/>
      <c r="BA53" s="92"/>
      <c r="BB53" s="92"/>
      <c r="BC53" s="98"/>
      <c r="BD53" s="92"/>
      <c r="BE53" s="97"/>
      <c r="BF53" s="92"/>
      <c r="BG53" s="92"/>
      <c r="BH53" s="92"/>
      <c r="BI53" s="92"/>
      <c r="BJ53" s="92"/>
      <c r="BK53" s="92"/>
      <c r="BL53" s="92"/>
      <c r="BM53" s="92"/>
      <c r="BN53" s="98"/>
    </row>
    <row r="54" spans="2:67" ht="9" customHeight="1" x14ac:dyDescent="0.3">
      <c r="B54" s="97"/>
      <c r="C54" s="92"/>
      <c r="D54" s="92"/>
      <c r="E54" s="92"/>
      <c r="F54" s="92"/>
      <c r="G54" s="92"/>
      <c r="H54" s="92"/>
      <c r="I54" s="92"/>
      <c r="J54" s="92"/>
      <c r="K54" s="98"/>
      <c r="L54" s="92"/>
      <c r="M54" s="97"/>
      <c r="N54" s="92"/>
      <c r="O54" s="92"/>
      <c r="P54" s="92"/>
      <c r="Q54" s="92"/>
      <c r="R54" s="92"/>
      <c r="S54" s="92"/>
      <c r="T54" s="92"/>
      <c r="U54" s="92"/>
      <c r="V54" s="98"/>
      <c r="W54" s="92"/>
      <c r="X54" s="97"/>
      <c r="Y54" s="92"/>
      <c r="Z54" s="92"/>
      <c r="AA54" s="92"/>
      <c r="AB54" s="92"/>
      <c r="AC54" s="92"/>
      <c r="AD54" s="92"/>
      <c r="AE54" s="92"/>
      <c r="AF54" s="92"/>
      <c r="AG54" s="98"/>
      <c r="AH54" s="92"/>
      <c r="AI54" s="97"/>
      <c r="AJ54" s="92"/>
      <c r="AK54" s="92"/>
      <c r="AL54" s="92"/>
      <c r="AM54" s="92"/>
      <c r="AN54" s="92"/>
      <c r="AO54" s="92"/>
      <c r="AP54" s="92"/>
      <c r="AQ54" s="92"/>
      <c r="AR54" s="98"/>
      <c r="AS54" s="92"/>
      <c r="AT54" s="97"/>
      <c r="AU54" s="92"/>
      <c r="AV54" s="92"/>
      <c r="AW54" s="92"/>
      <c r="AX54" s="92"/>
      <c r="AY54" s="92"/>
      <c r="AZ54" s="92"/>
      <c r="BA54" s="92"/>
      <c r="BB54" s="92"/>
      <c r="BC54" s="98"/>
      <c r="BD54" s="92"/>
      <c r="BE54" s="97"/>
      <c r="BF54" s="92"/>
      <c r="BG54" s="92"/>
      <c r="BH54" s="92"/>
      <c r="BI54" s="92"/>
      <c r="BJ54" s="92"/>
      <c r="BK54" s="92"/>
      <c r="BL54" s="92"/>
      <c r="BM54" s="92"/>
      <c r="BN54" s="98"/>
    </row>
    <row r="55" spans="2:67" ht="9" customHeight="1" x14ac:dyDescent="0.3">
      <c r="B55" s="97"/>
      <c r="C55" s="92"/>
      <c r="D55" s="92"/>
      <c r="E55" s="92"/>
      <c r="F55" s="92"/>
      <c r="G55" s="92"/>
      <c r="H55" s="92"/>
      <c r="I55" s="92"/>
      <c r="J55" s="92"/>
      <c r="K55" s="98"/>
      <c r="L55" s="92"/>
      <c r="M55" s="97"/>
      <c r="N55" s="92"/>
      <c r="O55" s="92"/>
      <c r="P55" s="92"/>
      <c r="Q55" s="92"/>
      <c r="R55" s="92"/>
      <c r="S55" s="92"/>
      <c r="T55" s="92"/>
      <c r="U55" s="92"/>
      <c r="V55" s="98"/>
      <c r="W55" s="92"/>
      <c r="X55" s="97"/>
      <c r="Y55" s="92"/>
      <c r="Z55" s="92"/>
      <c r="AA55" s="92"/>
      <c r="AB55" s="92"/>
      <c r="AC55" s="92"/>
      <c r="AD55" s="92"/>
      <c r="AE55" s="92"/>
      <c r="AF55" s="92"/>
      <c r="AG55" s="98"/>
      <c r="AH55" s="92"/>
      <c r="AI55" s="97"/>
      <c r="AJ55" s="92"/>
      <c r="AK55" s="92"/>
      <c r="AL55" s="92"/>
      <c r="AM55" s="92"/>
      <c r="AN55" s="92"/>
      <c r="AO55" s="92"/>
      <c r="AP55" s="92"/>
      <c r="AQ55" s="92"/>
      <c r="AR55" s="98"/>
      <c r="AS55" s="92"/>
      <c r="AT55" s="97"/>
      <c r="AU55" s="92"/>
      <c r="AV55" s="92"/>
      <c r="AW55" s="92"/>
      <c r="AX55" s="92"/>
      <c r="AY55" s="92"/>
      <c r="AZ55" s="92"/>
      <c r="BA55" s="92"/>
      <c r="BB55" s="92"/>
      <c r="BC55" s="98"/>
      <c r="BD55" s="92"/>
      <c r="BE55" s="97"/>
      <c r="BF55" s="92"/>
      <c r="BG55" s="92"/>
      <c r="BH55" s="92"/>
      <c r="BI55" s="92"/>
      <c r="BJ55" s="92"/>
      <c r="BK55" s="92"/>
      <c r="BL55" s="92"/>
      <c r="BM55" s="92"/>
      <c r="BN55" s="98"/>
    </row>
    <row r="56" spans="2:67" ht="9" customHeight="1" x14ac:dyDescent="0.3">
      <c r="B56" s="97"/>
      <c r="C56" s="92"/>
      <c r="D56" s="92"/>
      <c r="E56" s="92"/>
      <c r="F56" s="92"/>
      <c r="G56" s="92"/>
      <c r="H56" s="92"/>
      <c r="I56" s="92"/>
      <c r="J56" s="92"/>
      <c r="K56" s="98"/>
      <c r="L56" s="92"/>
      <c r="M56" s="97"/>
      <c r="N56" s="92"/>
      <c r="O56" s="92"/>
      <c r="P56" s="92"/>
      <c r="Q56" s="92"/>
      <c r="R56" s="92"/>
      <c r="S56" s="92"/>
      <c r="T56" s="92"/>
      <c r="U56" s="92"/>
      <c r="V56" s="98"/>
      <c r="W56" s="92"/>
      <c r="X56" s="97"/>
      <c r="Y56" s="92"/>
      <c r="Z56" s="92"/>
      <c r="AA56" s="92"/>
      <c r="AB56" s="92"/>
      <c r="AC56" s="92"/>
      <c r="AD56" s="92"/>
      <c r="AE56" s="92"/>
      <c r="AF56" s="92"/>
      <c r="AG56" s="98"/>
      <c r="AH56" s="92"/>
      <c r="AI56" s="97"/>
      <c r="AJ56" s="92"/>
      <c r="AK56" s="92"/>
      <c r="AL56" s="92"/>
      <c r="AM56" s="92"/>
      <c r="AN56" s="92"/>
      <c r="AO56" s="92"/>
      <c r="AP56" s="92"/>
      <c r="AQ56" s="92"/>
      <c r="AR56" s="98"/>
      <c r="AS56" s="92"/>
      <c r="AT56" s="97"/>
      <c r="AU56" s="92"/>
      <c r="AV56" s="92"/>
      <c r="AW56" s="92"/>
      <c r="AX56" s="92"/>
      <c r="AY56" s="92"/>
      <c r="AZ56" s="92"/>
      <c r="BA56" s="92"/>
      <c r="BB56" s="92"/>
      <c r="BC56" s="98"/>
      <c r="BD56" s="92"/>
      <c r="BE56" s="97"/>
      <c r="BF56" s="92"/>
      <c r="BG56" s="92"/>
      <c r="BH56" s="92"/>
      <c r="BI56" s="92"/>
      <c r="BJ56" s="92"/>
      <c r="BK56" s="92"/>
      <c r="BL56" s="92"/>
      <c r="BM56" s="92"/>
      <c r="BN56" s="98"/>
    </row>
    <row r="57" spans="2:67" ht="9" customHeight="1" x14ac:dyDescent="0.3">
      <c r="B57" s="97"/>
      <c r="C57" s="92"/>
      <c r="D57" s="92"/>
      <c r="E57" s="92"/>
      <c r="F57" s="92"/>
      <c r="G57" s="92"/>
      <c r="H57" s="92"/>
      <c r="I57" s="92"/>
      <c r="J57" s="92"/>
      <c r="K57" s="98"/>
      <c r="L57" s="92"/>
      <c r="M57" s="97"/>
      <c r="N57" s="92"/>
      <c r="O57" s="92"/>
      <c r="P57" s="92"/>
      <c r="Q57" s="92"/>
      <c r="R57" s="92"/>
      <c r="S57" s="92"/>
      <c r="T57" s="92"/>
      <c r="U57" s="92"/>
      <c r="V57" s="98"/>
      <c r="W57" s="92"/>
      <c r="X57" s="97"/>
      <c r="Y57" s="92"/>
      <c r="Z57" s="92"/>
      <c r="AA57" s="92"/>
      <c r="AB57" s="92"/>
      <c r="AC57" s="92"/>
      <c r="AD57" s="92"/>
      <c r="AE57" s="92"/>
      <c r="AF57" s="92"/>
      <c r="AG57" s="98"/>
      <c r="AH57" s="92"/>
      <c r="AI57" s="97"/>
      <c r="AJ57" s="92"/>
      <c r="AK57" s="92"/>
      <c r="AL57" s="92"/>
      <c r="AM57" s="92"/>
      <c r="AN57" s="92"/>
      <c r="AO57" s="92"/>
      <c r="AP57" s="92"/>
      <c r="AQ57" s="92"/>
      <c r="AR57" s="98"/>
      <c r="AS57" s="92"/>
      <c r="AT57" s="97"/>
      <c r="AU57" s="92"/>
      <c r="AV57" s="92"/>
      <c r="AW57" s="92"/>
      <c r="AX57" s="92"/>
      <c r="AY57" s="92"/>
      <c r="AZ57" s="92"/>
      <c r="BA57" s="92"/>
      <c r="BB57" s="92"/>
      <c r="BC57" s="98"/>
      <c r="BD57" s="92"/>
      <c r="BE57" s="97"/>
      <c r="BF57" s="92"/>
      <c r="BG57" s="92"/>
      <c r="BH57" s="92"/>
      <c r="BI57" s="92"/>
      <c r="BJ57" s="92"/>
      <c r="BK57" s="92"/>
      <c r="BL57" s="92"/>
      <c r="BM57" s="92"/>
      <c r="BN57" s="98"/>
    </row>
    <row r="58" spans="2:67" ht="9" customHeight="1" x14ac:dyDescent="0.3">
      <c r="B58" s="246" t="s">
        <v>37</v>
      </c>
      <c r="C58" s="246"/>
      <c r="D58" s="246"/>
      <c r="E58" s="246"/>
      <c r="F58" s="246"/>
      <c r="G58" s="246"/>
      <c r="H58" s="247">
        <f>CEILING(5976*B3,1)</f>
        <v>8367</v>
      </c>
      <c r="I58" s="247"/>
      <c r="J58" s="247"/>
      <c r="K58" s="247"/>
      <c r="L58" s="103"/>
      <c r="M58" s="246" t="s">
        <v>804</v>
      </c>
      <c r="N58" s="246"/>
      <c r="O58" s="246"/>
      <c r="P58" s="246"/>
      <c r="Q58" s="246"/>
      <c r="R58" s="246"/>
      <c r="S58" s="247">
        <f>CEILING(4515*B3,1)</f>
        <v>6321</v>
      </c>
      <c r="T58" s="247"/>
      <c r="U58" s="247"/>
      <c r="V58" s="247"/>
      <c r="W58" s="92"/>
      <c r="X58" s="97"/>
      <c r="Y58" s="92"/>
      <c r="Z58" s="92"/>
      <c r="AA58" s="92"/>
      <c r="AB58" s="92"/>
      <c r="AC58" s="92"/>
      <c r="AD58" s="92"/>
      <c r="AE58" s="92"/>
      <c r="AF58" s="92"/>
      <c r="AG58" s="98"/>
      <c r="AH58" s="92"/>
      <c r="AI58" s="97"/>
      <c r="AJ58" s="92"/>
      <c r="AK58" s="92"/>
      <c r="AL58" s="92"/>
      <c r="AM58" s="92"/>
      <c r="AN58" s="92"/>
      <c r="AO58" s="92"/>
      <c r="AP58" s="92"/>
      <c r="AQ58" s="92"/>
      <c r="AR58" s="98"/>
      <c r="AS58" s="92"/>
      <c r="AT58" s="97"/>
      <c r="AU58" s="92"/>
      <c r="AV58" s="92"/>
      <c r="AW58" s="92"/>
      <c r="AX58" s="92"/>
      <c r="AY58" s="92"/>
      <c r="AZ58" s="92"/>
      <c r="BA58" s="92"/>
      <c r="BB58" s="92"/>
      <c r="BC58" s="98"/>
      <c r="BD58" s="92"/>
      <c r="BE58" s="97"/>
      <c r="BF58" s="92"/>
      <c r="BG58" s="92"/>
      <c r="BH58" s="92"/>
      <c r="BI58" s="92"/>
      <c r="BJ58" s="92"/>
      <c r="BK58" s="92"/>
      <c r="BL58" s="92"/>
      <c r="BM58" s="92"/>
      <c r="BN58" s="98"/>
    </row>
    <row r="59" spans="2:67" s="5" customFormat="1" ht="9" customHeight="1" x14ac:dyDescent="0.3">
      <c r="B59" s="246" t="s">
        <v>830</v>
      </c>
      <c r="C59" s="246"/>
      <c r="D59" s="246"/>
      <c r="E59" s="246"/>
      <c r="F59" s="246"/>
      <c r="G59" s="246"/>
      <c r="H59" s="247">
        <f>CEILING(13627*B3,1)</f>
        <v>19078</v>
      </c>
      <c r="I59" s="247"/>
      <c r="J59" s="247"/>
      <c r="K59" s="247"/>
      <c r="L59" s="104"/>
      <c r="M59" s="246" t="s">
        <v>803</v>
      </c>
      <c r="N59" s="246"/>
      <c r="O59" s="246"/>
      <c r="P59" s="246"/>
      <c r="Q59" s="246"/>
      <c r="R59" s="246"/>
      <c r="S59" s="247">
        <f>CEILING(10630*B3,1)</f>
        <v>14882</v>
      </c>
      <c r="T59" s="247"/>
      <c r="U59" s="247"/>
      <c r="V59" s="247"/>
      <c r="W59" s="104"/>
      <c r="X59" s="246" t="s">
        <v>40</v>
      </c>
      <c r="Y59" s="246"/>
      <c r="Z59" s="246"/>
      <c r="AA59" s="246"/>
      <c r="AB59" s="246"/>
      <c r="AC59" s="246"/>
      <c r="AD59" s="247">
        <f>CEILING(2779*B3,1)</f>
        <v>3891</v>
      </c>
      <c r="AE59" s="247"/>
      <c r="AF59" s="247"/>
      <c r="AG59" s="247"/>
      <c r="AH59" s="104"/>
      <c r="AI59" s="246" t="s">
        <v>43</v>
      </c>
      <c r="AJ59" s="246"/>
      <c r="AK59" s="246"/>
      <c r="AL59" s="246"/>
      <c r="AM59" s="246"/>
      <c r="AN59" s="246"/>
      <c r="AO59" s="247">
        <f>CEILING(1159*B3,1)</f>
        <v>1623</v>
      </c>
      <c r="AP59" s="247"/>
      <c r="AQ59" s="247"/>
      <c r="AR59" s="247"/>
      <c r="AS59" s="104"/>
      <c r="AT59" s="246" t="s">
        <v>45</v>
      </c>
      <c r="AU59" s="246"/>
      <c r="AV59" s="246"/>
      <c r="AW59" s="246"/>
      <c r="AX59" s="246"/>
      <c r="AY59" s="246"/>
      <c r="AZ59" s="247">
        <f>CEILING(740*B3,1)</f>
        <v>1036</v>
      </c>
      <c r="BA59" s="247"/>
      <c r="BB59" s="247"/>
      <c r="BC59" s="247"/>
      <c r="BD59" s="104"/>
      <c r="BE59" s="246" t="s">
        <v>146</v>
      </c>
      <c r="BF59" s="246"/>
      <c r="BG59" s="246"/>
      <c r="BH59" s="246"/>
      <c r="BI59" s="246"/>
      <c r="BJ59" s="246"/>
      <c r="BK59" s="247"/>
      <c r="BL59" s="247"/>
      <c r="BM59" s="247"/>
      <c r="BN59" s="247"/>
      <c r="BO59" s="105"/>
    </row>
    <row r="60" spans="2:67" ht="1.95" customHeight="1" x14ac:dyDescent="0.3"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</row>
    <row r="61" spans="2:67" ht="9" customHeight="1" x14ac:dyDescent="0.3">
      <c r="B61" s="254" t="s">
        <v>28</v>
      </c>
      <c r="C61" s="255"/>
      <c r="D61" s="256"/>
      <c r="E61" s="238" t="s">
        <v>29</v>
      </c>
      <c r="F61" s="239"/>
      <c r="G61" s="239"/>
      <c r="H61" s="239"/>
      <c r="I61" s="239"/>
      <c r="J61" s="239"/>
      <c r="K61" s="240"/>
      <c r="L61" s="92"/>
      <c r="M61" s="254" t="s">
        <v>33</v>
      </c>
      <c r="N61" s="255"/>
      <c r="O61" s="256"/>
      <c r="P61" s="238" t="s">
        <v>29</v>
      </c>
      <c r="Q61" s="239"/>
      <c r="R61" s="239"/>
      <c r="S61" s="239"/>
      <c r="T61" s="239"/>
      <c r="U61" s="239"/>
      <c r="V61" s="240"/>
      <c r="W61" s="92"/>
      <c r="X61" s="254" t="s">
        <v>35</v>
      </c>
      <c r="Y61" s="255"/>
      <c r="Z61" s="256"/>
      <c r="AA61" s="238" t="s">
        <v>29</v>
      </c>
      <c r="AB61" s="239"/>
      <c r="AC61" s="239"/>
      <c r="AD61" s="239"/>
      <c r="AE61" s="239"/>
      <c r="AF61" s="239"/>
      <c r="AG61" s="240"/>
      <c r="AH61" s="92"/>
      <c r="AI61" s="254" t="s">
        <v>148</v>
      </c>
      <c r="AJ61" s="255"/>
      <c r="AK61" s="256"/>
      <c r="AL61" s="238" t="s">
        <v>149</v>
      </c>
      <c r="AM61" s="239"/>
      <c r="AN61" s="239"/>
      <c r="AO61" s="239"/>
      <c r="AP61" s="239"/>
      <c r="AQ61" s="239"/>
      <c r="AR61" s="240"/>
      <c r="AS61" s="92"/>
      <c r="AT61" s="254" t="s">
        <v>151</v>
      </c>
      <c r="AU61" s="255"/>
      <c r="AV61" s="256"/>
      <c r="AW61" s="238" t="s">
        <v>149</v>
      </c>
      <c r="AX61" s="239"/>
      <c r="AY61" s="239"/>
      <c r="AZ61" s="239"/>
      <c r="BA61" s="239"/>
      <c r="BB61" s="239"/>
      <c r="BC61" s="240"/>
      <c r="BD61" s="92"/>
      <c r="BE61" s="254" t="s">
        <v>137</v>
      </c>
      <c r="BF61" s="255"/>
      <c r="BG61" s="256"/>
      <c r="BH61" s="238" t="s">
        <v>149</v>
      </c>
      <c r="BI61" s="239"/>
      <c r="BJ61" s="239"/>
      <c r="BK61" s="239"/>
      <c r="BL61" s="239"/>
      <c r="BM61" s="239"/>
      <c r="BN61" s="240"/>
    </row>
    <row r="62" spans="2:67" ht="9" customHeight="1" x14ac:dyDescent="0.3">
      <c r="B62" s="251" t="s">
        <v>30</v>
      </c>
      <c r="C62" s="252"/>
      <c r="D62" s="252"/>
      <c r="E62" s="252"/>
      <c r="F62" s="252"/>
      <c r="G62" s="252"/>
      <c r="H62" s="252"/>
      <c r="I62" s="252"/>
      <c r="J62" s="252"/>
      <c r="K62" s="253"/>
      <c r="L62" s="92"/>
      <c r="M62" s="251" t="s">
        <v>32</v>
      </c>
      <c r="N62" s="252"/>
      <c r="O62" s="252"/>
      <c r="P62" s="252"/>
      <c r="Q62" s="252"/>
      <c r="R62" s="252"/>
      <c r="S62" s="252"/>
      <c r="T62" s="252"/>
      <c r="U62" s="252"/>
      <c r="V62" s="253"/>
      <c r="W62" s="92"/>
      <c r="X62" s="251" t="s">
        <v>32</v>
      </c>
      <c r="Y62" s="252"/>
      <c r="Z62" s="252"/>
      <c r="AA62" s="252"/>
      <c r="AB62" s="252"/>
      <c r="AC62" s="252"/>
      <c r="AD62" s="252"/>
      <c r="AE62" s="252"/>
      <c r="AF62" s="252"/>
      <c r="AG62" s="253"/>
      <c r="AH62" s="92"/>
      <c r="AI62" s="251" t="s">
        <v>150</v>
      </c>
      <c r="AJ62" s="252"/>
      <c r="AK62" s="252"/>
      <c r="AL62" s="252"/>
      <c r="AM62" s="252"/>
      <c r="AN62" s="252"/>
      <c r="AO62" s="252"/>
      <c r="AP62" s="252"/>
      <c r="AQ62" s="252"/>
      <c r="AR62" s="253"/>
      <c r="AS62" s="92"/>
      <c r="AT62" s="254" t="s">
        <v>152</v>
      </c>
      <c r="AU62" s="255"/>
      <c r="AV62" s="256"/>
      <c r="AW62" s="238" t="s">
        <v>153</v>
      </c>
      <c r="AX62" s="239"/>
      <c r="AY62" s="239"/>
      <c r="AZ62" s="239"/>
      <c r="BA62" s="239"/>
      <c r="BB62" s="239"/>
      <c r="BC62" s="240"/>
      <c r="BD62" s="92"/>
      <c r="BE62" s="251" t="s">
        <v>156</v>
      </c>
      <c r="BF62" s="252"/>
      <c r="BG62" s="252"/>
      <c r="BH62" s="252"/>
      <c r="BI62" s="252"/>
      <c r="BJ62" s="252"/>
      <c r="BK62" s="252"/>
      <c r="BL62" s="252"/>
      <c r="BM62" s="252"/>
      <c r="BN62" s="253"/>
    </row>
    <row r="63" spans="2:67" ht="9" customHeight="1" x14ac:dyDescent="0.3">
      <c r="B63" s="97"/>
      <c r="C63" s="92"/>
      <c r="D63" s="92"/>
      <c r="E63" s="92"/>
      <c r="F63" s="92"/>
      <c r="G63" s="92"/>
      <c r="H63" s="92"/>
      <c r="I63" s="92"/>
      <c r="J63" s="92"/>
      <c r="K63" s="98"/>
      <c r="L63" s="92"/>
      <c r="M63" s="97"/>
      <c r="N63" s="92"/>
      <c r="O63" s="92"/>
      <c r="P63" s="92"/>
      <c r="Q63" s="92"/>
      <c r="R63" s="92"/>
      <c r="S63" s="92"/>
      <c r="T63" s="92"/>
      <c r="U63" s="92"/>
      <c r="V63" s="98"/>
      <c r="W63" s="92"/>
      <c r="X63" s="97"/>
      <c r="Y63" s="92"/>
      <c r="Z63" s="92"/>
      <c r="AA63" s="92"/>
      <c r="AB63" s="92"/>
      <c r="AC63" s="92"/>
      <c r="AD63" s="92"/>
      <c r="AE63" s="92"/>
      <c r="AF63" s="92"/>
      <c r="AG63" s="98"/>
      <c r="AH63" s="92"/>
      <c r="AI63" s="251" t="s">
        <v>817</v>
      </c>
      <c r="AJ63" s="252"/>
      <c r="AK63" s="252"/>
      <c r="AL63" s="252"/>
      <c r="AM63" s="252"/>
      <c r="AN63" s="252"/>
      <c r="AO63" s="252"/>
      <c r="AP63" s="252"/>
      <c r="AQ63" s="252"/>
      <c r="AR63" s="253"/>
      <c r="AS63" s="92"/>
      <c r="AT63" s="97"/>
      <c r="AU63" s="92"/>
      <c r="AV63" s="92"/>
      <c r="AW63" s="92"/>
      <c r="AX63" s="92"/>
      <c r="AY63" s="92"/>
      <c r="AZ63" s="92"/>
      <c r="BA63" s="92"/>
      <c r="BB63" s="92"/>
      <c r="BC63" s="98"/>
      <c r="BD63" s="92"/>
      <c r="BE63" s="97"/>
      <c r="BF63" s="92"/>
      <c r="BG63" s="92"/>
      <c r="BH63" s="92"/>
      <c r="BI63" s="92"/>
      <c r="BJ63" s="92"/>
      <c r="BK63" s="92"/>
      <c r="BL63" s="92"/>
      <c r="BM63" s="92"/>
      <c r="BN63" s="98"/>
    </row>
    <row r="64" spans="2:67" ht="9" customHeight="1" x14ac:dyDescent="0.3">
      <c r="B64" s="97"/>
      <c r="C64" s="92"/>
      <c r="D64" s="92"/>
      <c r="E64" s="92"/>
      <c r="F64" s="92"/>
      <c r="G64" s="92"/>
      <c r="H64" s="92"/>
      <c r="I64" s="92"/>
      <c r="J64" s="92"/>
      <c r="K64" s="98"/>
      <c r="L64" s="92"/>
      <c r="M64" s="97"/>
      <c r="N64" s="92"/>
      <c r="O64" s="92"/>
      <c r="P64" s="92"/>
      <c r="Q64" s="92"/>
      <c r="R64" s="92"/>
      <c r="S64" s="92"/>
      <c r="T64" s="92"/>
      <c r="U64" s="92"/>
      <c r="V64" s="98"/>
      <c r="W64" s="92"/>
      <c r="X64" s="97"/>
      <c r="Y64" s="92"/>
      <c r="Z64" s="92"/>
      <c r="AA64" s="92"/>
      <c r="AB64" s="92"/>
      <c r="AC64" s="92"/>
      <c r="AD64" s="92"/>
      <c r="AE64" s="92"/>
      <c r="AF64" s="92"/>
      <c r="AG64" s="98"/>
      <c r="AH64" s="92"/>
      <c r="AI64" s="97"/>
      <c r="AJ64" s="92"/>
      <c r="AK64" s="92"/>
      <c r="AL64" s="92"/>
      <c r="AM64" s="92"/>
      <c r="AN64" s="92"/>
      <c r="AO64" s="92"/>
      <c r="AP64" s="92"/>
      <c r="AQ64" s="92"/>
      <c r="AR64" s="98"/>
      <c r="AS64" s="92"/>
      <c r="AT64" s="97"/>
      <c r="AU64" s="92"/>
      <c r="AV64" s="92"/>
      <c r="AW64" s="92"/>
      <c r="AX64" s="92"/>
      <c r="AY64" s="92"/>
      <c r="AZ64" s="92"/>
      <c r="BA64" s="92"/>
      <c r="BB64" s="92"/>
      <c r="BC64" s="98"/>
      <c r="BD64" s="92"/>
      <c r="BE64" s="97"/>
      <c r="BF64" s="92"/>
      <c r="BG64" s="92"/>
      <c r="BH64" s="92"/>
      <c r="BI64" s="92"/>
      <c r="BJ64" s="92"/>
      <c r="BK64" s="92"/>
      <c r="BL64" s="92"/>
      <c r="BM64" s="92"/>
      <c r="BN64" s="98"/>
    </row>
    <row r="65" spans="1:67" ht="9" customHeight="1" x14ac:dyDescent="0.3">
      <c r="B65" s="97"/>
      <c r="C65" s="92"/>
      <c r="D65" s="92"/>
      <c r="E65" s="92"/>
      <c r="F65" s="92"/>
      <c r="G65" s="92"/>
      <c r="H65" s="92"/>
      <c r="I65" s="92"/>
      <c r="J65" s="92"/>
      <c r="K65" s="98"/>
      <c r="L65" s="92"/>
      <c r="M65" s="97"/>
      <c r="N65" s="92"/>
      <c r="O65" s="92"/>
      <c r="P65" s="92"/>
      <c r="Q65" s="92"/>
      <c r="R65" s="92"/>
      <c r="S65" s="92"/>
      <c r="T65" s="92"/>
      <c r="U65" s="92"/>
      <c r="V65" s="98"/>
      <c r="W65" s="92"/>
      <c r="X65" s="97"/>
      <c r="Y65" s="92"/>
      <c r="Z65" s="92"/>
      <c r="AA65" s="92"/>
      <c r="AB65" s="92"/>
      <c r="AC65" s="92"/>
      <c r="AD65" s="92"/>
      <c r="AE65" s="92"/>
      <c r="AF65" s="92"/>
      <c r="AG65" s="98"/>
      <c r="AH65" s="92"/>
      <c r="AI65" s="97"/>
      <c r="AJ65" s="92"/>
      <c r="AK65" s="92"/>
      <c r="AL65" s="92"/>
      <c r="AM65" s="92"/>
      <c r="AN65" s="92"/>
      <c r="AO65" s="92"/>
      <c r="AP65" s="92"/>
      <c r="AQ65" s="92"/>
      <c r="AR65" s="98"/>
      <c r="AS65" s="92"/>
      <c r="AT65" s="97"/>
      <c r="AU65" s="92"/>
      <c r="AV65" s="92"/>
      <c r="AW65" s="92"/>
      <c r="AX65" s="92"/>
      <c r="AY65" s="92"/>
      <c r="AZ65" s="92"/>
      <c r="BA65" s="92"/>
      <c r="BB65" s="92"/>
      <c r="BC65" s="98"/>
      <c r="BD65" s="92"/>
      <c r="BE65" s="97"/>
      <c r="BF65" s="92"/>
      <c r="BG65" s="92"/>
      <c r="BH65" s="92"/>
      <c r="BI65" s="92"/>
      <c r="BJ65" s="92"/>
      <c r="BK65" s="92"/>
      <c r="BL65" s="92"/>
      <c r="BM65" s="92"/>
      <c r="BN65" s="98"/>
    </row>
    <row r="66" spans="1:67" ht="9" customHeight="1" x14ac:dyDescent="0.3">
      <c r="B66" s="97"/>
      <c r="C66" s="92"/>
      <c r="D66" s="92"/>
      <c r="E66" s="92"/>
      <c r="F66" s="92"/>
      <c r="G66" s="92"/>
      <c r="H66" s="92"/>
      <c r="I66" s="92"/>
      <c r="J66" s="92"/>
      <c r="K66" s="98"/>
      <c r="L66" s="92"/>
      <c r="M66" s="97"/>
      <c r="N66" s="92"/>
      <c r="O66" s="92"/>
      <c r="P66" s="92"/>
      <c r="Q66" s="92"/>
      <c r="R66" s="92"/>
      <c r="S66" s="92"/>
      <c r="T66" s="92"/>
      <c r="U66" s="92"/>
      <c r="V66" s="98"/>
      <c r="W66" s="92"/>
      <c r="X66" s="97"/>
      <c r="Y66" s="92"/>
      <c r="Z66" s="92"/>
      <c r="AA66" s="92"/>
      <c r="AB66" s="92"/>
      <c r="AC66" s="92"/>
      <c r="AD66" s="92"/>
      <c r="AE66" s="92"/>
      <c r="AF66" s="92"/>
      <c r="AG66" s="98"/>
      <c r="AH66" s="92"/>
      <c r="AI66" s="97"/>
      <c r="AJ66" s="92"/>
      <c r="AK66" s="92"/>
      <c r="AL66" s="92"/>
      <c r="AM66" s="92"/>
      <c r="AN66" s="92"/>
      <c r="AO66" s="92"/>
      <c r="AP66" s="92"/>
      <c r="AQ66" s="92"/>
      <c r="AR66" s="98"/>
      <c r="AS66" s="92"/>
      <c r="AT66" s="97"/>
      <c r="AU66" s="92"/>
      <c r="AV66" s="92"/>
      <c r="AW66" s="92"/>
      <c r="AX66" s="92"/>
      <c r="AY66" s="92"/>
      <c r="AZ66" s="92"/>
      <c r="BA66" s="92"/>
      <c r="BB66" s="92"/>
      <c r="BC66" s="98"/>
      <c r="BD66" s="92"/>
      <c r="BE66" s="97"/>
      <c r="BF66" s="92"/>
      <c r="BG66" s="92"/>
      <c r="BH66" s="92"/>
      <c r="BI66" s="92"/>
      <c r="BJ66" s="92"/>
      <c r="BK66" s="92"/>
      <c r="BL66" s="92"/>
      <c r="BM66" s="92"/>
      <c r="BN66" s="98"/>
    </row>
    <row r="67" spans="1:67" ht="9" customHeight="1" x14ac:dyDescent="0.3">
      <c r="B67" s="97"/>
      <c r="C67" s="92"/>
      <c r="D67" s="92"/>
      <c r="E67" s="92"/>
      <c r="F67" s="92"/>
      <c r="G67" s="92"/>
      <c r="H67" s="92"/>
      <c r="I67" s="92"/>
      <c r="J67" s="92"/>
      <c r="K67" s="98"/>
      <c r="L67" s="92"/>
      <c r="M67" s="97"/>
      <c r="N67" s="92"/>
      <c r="O67" s="92"/>
      <c r="P67" s="92"/>
      <c r="Q67" s="92"/>
      <c r="R67" s="92"/>
      <c r="S67" s="92"/>
      <c r="T67" s="92"/>
      <c r="U67" s="92"/>
      <c r="V67" s="98"/>
      <c r="W67" s="92"/>
      <c r="X67" s="97"/>
      <c r="Y67" s="92"/>
      <c r="Z67" s="92"/>
      <c r="AA67" s="92"/>
      <c r="AB67" s="92"/>
      <c r="AC67" s="92"/>
      <c r="AD67" s="92"/>
      <c r="AE67" s="92"/>
      <c r="AF67" s="92"/>
      <c r="AG67" s="98"/>
      <c r="AH67" s="92"/>
      <c r="AI67" s="97"/>
      <c r="AJ67" s="92"/>
      <c r="AK67" s="92"/>
      <c r="AL67" s="92"/>
      <c r="AM67" s="92"/>
      <c r="AN67" s="92"/>
      <c r="AO67" s="92"/>
      <c r="AP67" s="92"/>
      <c r="AQ67" s="92"/>
      <c r="AR67" s="98"/>
      <c r="AS67" s="92"/>
      <c r="AT67" s="97"/>
      <c r="AU67" s="92"/>
      <c r="AV67" s="92"/>
      <c r="AW67" s="92"/>
      <c r="AX67" s="92"/>
      <c r="AY67" s="92"/>
      <c r="AZ67" s="92"/>
      <c r="BA67" s="92"/>
      <c r="BB67" s="92"/>
      <c r="BC67" s="98"/>
      <c r="BD67" s="92"/>
      <c r="BE67" s="97"/>
      <c r="BF67" s="92"/>
      <c r="BG67" s="92"/>
      <c r="BH67" s="92"/>
      <c r="BI67" s="92"/>
      <c r="BJ67" s="92"/>
      <c r="BK67" s="92"/>
      <c r="BL67" s="92"/>
      <c r="BM67" s="92"/>
      <c r="BN67" s="98"/>
    </row>
    <row r="68" spans="1:67" ht="9" customHeight="1" x14ac:dyDescent="0.3">
      <c r="B68" s="97"/>
      <c r="C68" s="92"/>
      <c r="D68" s="92"/>
      <c r="E68" s="92"/>
      <c r="F68" s="92"/>
      <c r="G68" s="92"/>
      <c r="H68" s="92"/>
      <c r="I68" s="92"/>
      <c r="J68" s="92"/>
      <c r="K68" s="98"/>
      <c r="L68" s="92"/>
      <c r="M68" s="97"/>
      <c r="N68" s="92"/>
      <c r="O68" s="92"/>
      <c r="P68" s="92"/>
      <c r="Q68" s="92"/>
      <c r="R68" s="92"/>
      <c r="S68" s="92"/>
      <c r="T68" s="92"/>
      <c r="U68" s="92"/>
      <c r="V68" s="98"/>
      <c r="W68" s="92"/>
      <c r="X68" s="97"/>
      <c r="Y68" s="92"/>
      <c r="Z68" s="92"/>
      <c r="AA68" s="92"/>
      <c r="AB68" s="92"/>
      <c r="AC68" s="92"/>
      <c r="AD68" s="92"/>
      <c r="AE68" s="92"/>
      <c r="AF68" s="92"/>
      <c r="AG68" s="98"/>
      <c r="AH68" s="92"/>
      <c r="AI68" s="97"/>
      <c r="AJ68" s="92"/>
      <c r="AK68" s="92"/>
      <c r="AL68" s="92"/>
      <c r="AM68" s="92"/>
      <c r="AN68" s="92"/>
      <c r="AO68" s="92"/>
      <c r="AP68" s="92"/>
      <c r="AQ68" s="92"/>
      <c r="AR68" s="98"/>
      <c r="AS68" s="92"/>
      <c r="AT68" s="97"/>
      <c r="AU68" s="92"/>
      <c r="AV68" s="92"/>
      <c r="AW68" s="92"/>
      <c r="AX68" s="92"/>
      <c r="AY68" s="92"/>
      <c r="AZ68" s="92"/>
      <c r="BA68" s="92"/>
      <c r="BB68" s="92"/>
      <c r="BC68" s="98"/>
      <c r="BD68" s="92"/>
      <c r="BE68" s="97"/>
      <c r="BF68" s="92"/>
      <c r="BG68" s="92"/>
      <c r="BH68" s="92"/>
      <c r="BI68" s="92"/>
      <c r="BJ68" s="92"/>
      <c r="BK68" s="92"/>
      <c r="BL68" s="92"/>
      <c r="BM68" s="92"/>
      <c r="BN68" s="98"/>
    </row>
    <row r="69" spans="1:67" ht="9" customHeight="1" x14ac:dyDescent="0.3">
      <c r="B69" s="97"/>
      <c r="C69" s="92"/>
      <c r="D69" s="92"/>
      <c r="E69" s="92"/>
      <c r="F69" s="92"/>
      <c r="G69" s="92"/>
      <c r="H69" s="92"/>
      <c r="I69" s="92"/>
      <c r="J69" s="92"/>
      <c r="K69" s="98"/>
      <c r="L69" s="92"/>
      <c r="M69" s="97"/>
      <c r="N69" s="92"/>
      <c r="O69" s="92"/>
      <c r="P69" s="92"/>
      <c r="Q69" s="92"/>
      <c r="R69" s="92"/>
      <c r="S69" s="92"/>
      <c r="T69" s="92"/>
      <c r="U69" s="92"/>
      <c r="V69" s="98"/>
      <c r="W69" s="92"/>
      <c r="X69" s="97"/>
      <c r="Y69" s="92"/>
      <c r="Z69" s="92"/>
      <c r="AA69" s="92"/>
      <c r="AB69" s="92"/>
      <c r="AC69" s="92"/>
      <c r="AD69" s="92"/>
      <c r="AE69" s="92"/>
      <c r="AF69" s="92"/>
      <c r="AG69" s="98"/>
      <c r="AH69" s="92"/>
      <c r="AI69" s="97"/>
      <c r="AJ69" s="92"/>
      <c r="AK69" s="92"/>
      <c r="AL69" s="92"/>
      <c r="AM69" s="92"/>
      <c r="AN69" s="92"/>
      <c r="AO69" s="92"/>
      <c r="AP69" s="92"/>
      <c r="AQ69" s="92"/>
      <c r="AR69" s="98"/>
      <c r="AS69" s="92"/>
      <c r="AT69" s="97"/>
      <c r="AU69" s="92"/>
      <c r="AV69" s="92"/>
      <c r="AW69" s="92"/>
      <c r="AX69" s="92"/>
      <c r="AY69" s="92"/>
      <c r="AZ69" s="92"/>
      <c r="BA69" s="92"/>
      <c r="BB69" s="92"/>
      <c r="BC69" s="98"/>
      <c r="BD69" s="92"/>
      <c r="BE69" s="97"/>
      <c r="BF69" s="92"/>
      <c r="BG69" s="92"/>
      <c r="BH69" s="92"/>
      <c r="BI69" s="92"/>
      <c r="BJ69" s="92"/>
      <c r="BK69" s="92"/>
      <c r="BL69" s="92"/>
      <c r="BM69" s="92"/>
      <c r="BN69" s="98"/>
    </row>
    <row r="70" spans="1:67" ht="9" customHeight="1" x14ac:dyDescent="0.3">
      <c r="B70" s="97"/>
      <c r="C70" s="92"/>
      <c r="D70" s="92"/>
      <c r="E70" s="92"/>
      <c r="F70" s="92"/>
      <c r="G70" s="92"/>
      <c r="H70" s="92"/>
      <c r="I70" s="92"/>
      <c r="J70" s="92"/>
      <c r="K70" s="98"/>
      <c r="L70" s="92"/>
      <c r="M70" s="97"/>
      <c r="N70" s="92"/>
      <c r="O70" s="92"/>
      <c r="P70" s="92"/>
      <c r="Q70" s="92"/>
      <c r="R70" s="92"/>
      <c r="S70" s="92"/>
      <c r="T70" s="92"/>
      <c r="U70" s="92"/>
      <c r="V70" s="98"/>
      <c r="W70" s="92"/>
      <c r="X70" s="97"/>
      <c r="Y70" s="92"/>
      <c r="Z70" s="92"/>
      <c r="AA70" s="92"/>
      <c r="AB70" s="92"/>
      <c r="AC70" s="92"/>
      <c r="AD70" s="92"/>
      <c r="AE70" s="92"/>
      <c r="AF70" s="92"/>
      <c r="AG70" s="98"/>
      <c r="AH70" s="92"/>
      <c r="AI70" s="97"/>
      <c r="AJ70" s="92"/>
      <c r="AK70" s="92"/>
      <c r="AL70" s="92"/>
      <c r="AM70" s="92"/>
      <c r="AN70" s="92"/>
      <c r="AO70" s="92"/>
      <c r="AP70" s="92"/>
      <c r="AQ70" s="92"/>
      <c r="AR70" s="98"/>
      <c r="AS70" s="92"/>
      <c r="AT70" s="97" t="s">
        <v>821</v>
      </c>
      <c r="AU70" s="92"/>
      <c r="AV70" s="92"/>
      <c r="AW70" s="92"/>
      <c r="AX70" s="92"/>
      <c r="AY70" s="92"/>
      <c r="AZ70" s="92"/>
      <c r="BA70" s="92"/>
      <c r="BB70" s="92"/>
      <c r="BC70" s="98"/>
      <c r="BD70" s="92"/>
      <c r="BE70" s="97"/>
      <c r="BF70" s="92"/>
      <c r="BG70" s="92"/>
      <c r="BH70" s="92"/>
      <c r="BI70" s="92"/>
      <c r="BJ70" s="92"/>
      <c r="BK70" s="92"/>
      <c r="BL70" s="92"/>
      <c r="BM70" s="92"/>
      <c r="BN70" s="98"/>
    </row>
    <row r="71" spans="1:67" ht="9" customHeight="1" x14ac:dyDescent="0.3">
      <c r="B71" s="97"/>
      <c r="C71" s="92"/>
      <c r="D71" s="92"/>
      <c r="E71" s="92"/>
      <c r="F71" s="92"/>
      <c r="G71" s="92"/>
      <c r="H71" s="92"/>
      <c r="I71" s="92"/>
      <c r="J71" s="92"/>
      <c r="K71" s="98"/>
      <c r="L71" s="92"/>
      <c r="M71" s="97"/>
      <c r="N71" s="92"/>
      <c r="O71" s="92"/>
      <c r="P71" s="92"/>
      <c r="Q71" s="92"/>
      <c r="R71" s="92"/>
      <c r="S71" s="92"/>
      <c r="T71" s="92"/>
      <c r="U71" s="92"/>
      <c r="V71" s="98"/>
      <c r="W71" s="92"/>
      <c r="X71" s="97"/>
      <c r="Y71" s="92"/>
      <c r="Z71" s="92"/>
      <c r="AA71" s="92"/>
      <c r="AB71" s="92"/>
      <c r="AC71" s="92"/>
      <c r="AD71" s="92"/>
      <c r="AE71" s="92"/>
      <c r="AF71" s="92"/>
      <c r="AG71" s="98"/>
      <c r="AH71" s="92"/>
      <c r="AI71" s="97"/>
      <c r="AJ71" s="92"/>
      <c r="AK71" s="92"/>
      <c r="AL71" s="92"/>
      <c r="AM71" s="92"/>
      <c r="AN71" s="92"/>
      <c r="AO71" s="92"/>
      <c r="AP71" s="92"/>
      <c r="AQ71" s="92"/>
      <c r="AR71" s="98"/>
      <c r="AS71" s="92"/>
      <c r="AT71" s="97"/>
      <c r="AU71" s="92"/>
      <c r="AV71" s="92"/>
      <c r="AW71" s="92"/>
      <c r="AX71" s="92"/>
      <c r="AY71" s="268" t="s">
        <v>139</v>
      </c>
      <c r="AZ71" s="269"/>
      <c r="BA71" s="268"/>
      <c r="BB71" s="270"/>
      <c r="BC71" s="269"/>
      <c r="BD71" s="92"/>
      <c r="BE71" s="97"/>
      <c r="BF71" s="92"/>
      <c r="BG71" s="92"/>
      <c r="BH71" s="92"/>
      <c r="BI71" s="92"/>
      <c r="BJ71" s="92"/>
      <c r="BK71" s="92"/>
      <c r="BL71" s="92"/>
      <c r="BM71" s="92"/>
      <c r="BN71" s="98"/>
    </row>
    <row r="72" spans="1:67" ht="9" customHeight="1" x14ac:dyDescent="0.3">
      <c r="B72" s="97"/>
      <c r="C72" s="92"/>
      <c r="D72" s="92"/>
      <c r="E72" s="92"/>
      <c r="F72" s="92"/>
      <c r="G72" s="92"/>
      <c r="H72" s="92"/>
      <c r="I72" s="92"/>
      <c r="J72" s="92"/>
      <c r="K72" s="98"/>
      <c r="L72" s="92"/>
      <c r="M72" s="97"/>
      <c r="N72" s="92"/>
      <c r="O72" s="92"/>
      <c r="P72" s="92"/>
      <c r="Q72" s="92"/>
      <c r="R72" s="92"/>
      <c r="S72" s="92"/>
      <c r="T72" s="92"/>
      <c r="U72" s="92"/>
      <c r="V72" s="98"/>
      <c r="W72" s="92"/>
      <c r="X72" s="97"/>
      <c r="Y72" s="92"/>
      <c r="Z72" s="92"/>
      <c r="AA72" s="92"/>
      <c r="AB72" s="92"/>
      <c r="AC72" s="92"/>
      <c r="AD72" s="92"/>
      <c r="AE72" s="92"/>
      <c r="AF72" s="92"/>
      <c r="AG72" s="98"/>
      <c r="AH72" s="92"/>
      <c r="AI72" s="97"/>
      <c r="AJ72" s="92"/>
      <c r="AK72" s="92"/>
      <c r="AL72" s="92"/>
      <c r="AM72" s="92"/>
      <c r="AN72" s="92"/>
      <c r="AO72" s="92"/>
      <c r="AP72" s="92"/>
      <c r="AQ72" s="92"/>
      <c r="AR72" s="98"/>
      <c r="AS72" s="92"/>
      <c r="AT72" s="271" t="s">
        <v>155</v>
      </c>
      <c r="AU72" s="271"/>
      <c r="AV72" s="271"/>
      <c r="AW72" s="271"/>
      <c r="AX72" s="271"/>
      <c r="AY72" s="272">
        <v>550</v>
      </c>
      <c r="AZ72" s="272"/>
      <c r="BA72" s="272"/>
      <c r="BB72" s="272"/>
      <c r="BC72" s="272"/>
      <c r="BD72" s="92"/>
      <c r="BE72" s="97"/>
      <c r="BF72" s="92"/>
      <c r="BG72" s="92"/>
      <c r="BH72" s="92"/>
      <c r="BI72" s="92"/>
      <c r="BJ72" s="268" t="s">
        <v>139</v>
      </c>
      <c r="BK72" s="270"/>
      <c r="BL72" s="268"/>
      <c r="BM72" s="270"/>
      <c r="BN72" s="269"/>
    </row>
    <row r="73" spans="1:67" s="5" customFormat="1" ht="9" customHeight="1" x14ac:dyDescent="0.3">
      <c r="B73" s="246" t="s">
        <v>31</v>
      </c>
      <c r="C73" s="246"/>
      <c r="D73" s="246"/>
      <c r="E73" s="246"/>
      <c r="F73" s="246"/>
      <c r="G73" s="246"/>
      <c r="H73" s="247">
        <f>CEILING(1159*B3,1)</f>
        <v>1623</v>
      </c>
      <c r="I73" s="247"/>
      <c r="J73" s="247"/>
      <c r="K73" s="247"/>
      <c r="L73" s="104"/>
      <c r="M73" s="246" t="s">
        <v>34</v>
      </c>
      <c r="N73" s="246"/>
      <c r="O73" s="246"/>
      <c r="P73" s="246"/>
      <c r="Q73" s="246"/>
      <c r="R73" s="246"/>
      <c r="S73" s="247">
        <f>CEILING(2547*B3,1)</f>
        <v>3566</v>
      </c>
      <c r="T73" s="247"/>
      <c r="U73" s="247"/>
      <c r="V73" s="247"/>
      <c r="W73" s="104"/>
      <c r="X73" s="246" t="s">
        <v>34</v>
      </c>
      <c r="Y73" s="246"/>
      <c r="Z73" s="246"/>
      <c r="AA73" s="246"/>
      <c r="AB73" s="246"/>
      <c r="AC73" s="246"/>
      <c r="AD73" s="247">
        <f>CEILING(2632*B3,1)</f>
        <v>3685</v>
      </c>
      <c r="AE73" s="247"/>
      <c r="AF73" s="247"/>
      <c r="AG73" s="247"/>
      <c r="AH73" s="104"/>
      <c r="AI73" s="246" t="s">
        <v>147</v>
      </c>
      <c r="AJ73" s="246"/>
      <c r="AK73" s="246"/>
      <c r="AL73" s="246"/>
      <c r="AM73" s="246"/>
      <c r="AN73" s="246"/>
      <c r="AO73" s="247">
        <v>404</v>
      </c>
      <c r="AP73" s="247"/>
      <c r="AQ73" s="247"/>
      <c r="AR73" s="247"/>
      <c r="AS73" s="104"/>
      <c r="AT73" s="246" t="s">
        <v>154</v>
      </c>
      <c r="AU73" s="246"/>
      <c r="AV73" s="246"/>
      <c r="AW73" s="246"/>
      <c r="AX73" s="246"/>
      <c r="AY73" s="247">
        <v>1004</v>
      </c>
      <c r="AZ73" s="247"/>
      <c r="BA73" s="247"/>
      <c r="BB73" s="247"/>
      <c r="BC73" s="247"/>
      <c r="BD73" s="104"/>
      <c r="BE73" s="104" t="s">
        <v>623</v>
      </c>
      <c r="BF73" s="104"/>
      <c r="BG73" s="104"/>
      <c r="BH73" s="104"/>
      <c r="BI73" s="104"/>
      <c r="BJ73" s="247">
        <v>584</v>
      </c>
      <c r="BK73" s="247"/>
      <c r="BL73" s="247"/>
      <c r="BM73" s="247"/>
      <c r="BN73" s="247"/>
      <c r="BO73" s="105"/>
    </row>
    <row r="74" spans="1:67" ht="1.95" customHeight="1" x14ac:dyDescent="0.3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</row>
    <row r="75" spans="1:67" ht="9" customHeight="1" x14ac:dyDescent="0.3">
      <c r="A75" s="4"/>
      <c r="B75" s="254" t="s">
        <v>779</v>
      </c>
      <c r="C75" s="255"/>
      <c r="D75" s="256"/>
      <c r="E75" s="238" t="s">
        <v>780</v>
      </c>
      <c r="F75" s="239"/>
      <c r="G75" s="239"/>
      <c r="H75" s="239"/>
      <c r="I75" s="239"/>
      <c r="J75" s="239"/>
      <c r="K75" s="240"/>
      <c r="L75" s="92"/>
      <c r="M75" s="254" t="s">
        <v>781</v>
      </c>
      <c r="N75" s="255"/>
      <c r="O75" s="256"/>
      <c r="P75" s="238" t="s">
        <v>780</v>
      </c>
      <c r="Q75" s="239"/>
      <c r="R75" s="239"/>
      <c r="S75" s="239"/>
      <c r="T75" s="239"/>
      <c r="U75" s="239"/>
      <c r="V75" s="240"/>
      <c r="W75" s="92"/>
      <c r="X75" s="254" t="s">
        <v>132</v>
      </c>
      <c r="Y75" s="255"/>
      <c r="Z75" s="256"/>
      <c r="AA75" s="238" t="s">
        <v>135</v>
      </c>
      <c r="AB75" s="239"/>
      <c r="AC75" s="239"/>
      <c r="AD75" s="239"/>
      <c r="AE75" s="239"/>
      <c r="AF75" s="239"/>
      <c r="AG75" s="240"/>
      <c r="AH75" s="92"/>
      <c r="AI75" s="254" t="s">
        <v>141</v>
      </c>
      <c r="AJ75" s="255"/>
      <c r="AK75" s="256"/>
      <c r="AL75" s="238" t="s">
        <v>135</v>
      </c>
      <c r="AM75" s="239"/>
      <c r="AN75" s="239"/>
      <c r="AO75" s="239"/>
      <c r="AP75" s="239"/>
      <c r="AQ75" s="239"/>
      <c r="AR75" s="240"/>
      <c r="AS75" s="92"/>
      <c r="AT75" s="254" t="s">
        <v>133</v>
      </c>
      <c r="AU75" s="255"/>
      <c r="AV75" s="256"/>
      <c r="AW75" s="273" t="s">
        <v>136</v>
      </c>
      <c r="AX75" s="244"/>
      <c r="AY75" s="244"/>
      <c r="AZ75" s="244"/>
      <c r="BA75" s="244"/>
      <c r="BB75" s="244"/>
      <c r="BC75" s="245"/>
      <c r="BD75" s="92"/>
      <c r="BE75" s="254" t="s">
        <v>142</v>
      </c>
      <c r="BF75" s="255"/>
      <c r="BG75" s="256"/>
      <c r="BH75" s="273" t="s">
        <v>136</v>
      </c>
      <c r="BI75" s="244"/>
      <c r="BJ75" s="244"/>
      <c r="BK75" s="244"/>
      <c r="BL75" s="244"/>
      <c r="BM75" s="244"/>
      <c r="BN75" s="245"/>
    </row>
    <row r="76" spans="1:67" ht="9" customHeight="1" x14ac:dyDescent="0.3">
      <c r="A76" s="4"/>
      <c r="B76" s="251"/>
      <c r="C76" s="252"/>
      <c r="D76" s="252"/>
      <c r="E76" s="252"/>
      <c r="F76" s="252"/>
      <c r="G76" s="252"/>
      <c r="H76" s="252"/>
      <c r="I76" s="252"/>
      <c r="J76" s="252"/>
      <c r="K76" s="253"/>
      <c r="L76" s="92"/>
      <c r="M76" s="251"/>
      <c r="N76" s="252"/>
      <c r="O76" s="252"/>
      <c r="P76" s="252"/>
      <c r="Q76" s="252"/>
      <c r="R76" s="252"/>
      <c r="S76" s="252"/>
      <c r="T76" s="252"/>
      <c r="U76" s="252"/>
      <c r="V76" s="253"/>
      <c r="W76" s="92"/>
      <c r="X76" s="251"/>
      <c r="Y76" s="252"/>
      <c r="Z76" s="252"/>
      <c r="AA76" s="252"/>
      <c r="AB76" s="252"/>
      <c r="AC76" s="252"/>
      <c r="AD76" s="252"/>
      <c r="AE76" s="252"/>
      <c r="AF76" s="252"/>
      <c r="AG76" s="253"/>
      <c r="AH76" s="92"/>
      <c r="AI76" s="251" t="s">
        <v>99</v>
      </c>
      <c r="AJ76" s="252"/>
      <c r="AK76" s="252"/>
      <c r="AL76" s="252"/>
      <c r="AM76" s="252"/>
      <c r="AN76" s="252"/>
      <c r="AO76" s="252"/>
      <c r="AP76" s="252"/>
      <c r="AQ76" s="252"/>
      <c r="AR76" s="253"/>
      <c r="AS76" s="92"/>
      <c r="AT76" s="251"/>
      <c r="AU76" s="252"/>
      <c r="AV76" s="252"/>
      <c r="AW76" s="252"/>
      <c r="AX76" s="252"/>
      <c r="AY76" s="252"/>
      <c r="AZ76" s="252"/>
      <c r="BA76" s="252"/>
      <c r="BB76" s="252"/>
      <c r="BC76" s="253"/>
      <c r="BD76" s="92"/>
      <c r="BE76" s="251" t="s">
        <v>99</v>
      </c>
      <c r="BF76" s="252"/>
      <c r="BG76" s="252"/>
      <c r="BH76" s="252"/>
      <c r="BI76" s="252"/>
      <c r="BJ76" s="252"/>
      <c r="BK76" s="252"/>
      <c r="BL76" s="252"/>
      <c r="BM76" s="252"/>
      <c r="BN76" s="253"/>
    </row>
    <row r="77" spans="1:67" ht="9" customHeight="1" x14ac:dyDescent="0.3">
      <c r="B77" s="97"/>
      <c r="C77" s="92"/>
      <c r="D77" s="92"/>
      <c r="E77" s="92"/>
      <c r="F77" s="92"/>
      <c r="G77" s="92"/>
      <c r="H77" s="92"/>
      <c r="I77" s="92"/>
      <c r="J77" s="92"/>
      <c r="K77" s="98"/>
      <c r="L77" s="92"/>
      <c r="M77" s="97"/>
      <c r="N77" s="92"/>
      <c r="O77" s="92"/>
      <c r="P77" s="92"/>
      <c r="Q77" s="92"/>
      <c r="R77" s="92"/>
      <c r="S77" s="92"/>
      <c r="T77" s="92"/>
      <c r="U77" s="92"/>
      <c r="V77" s="98"/>
      <c r="W77" s="92"/>
      <c r="X77" s="97"/>
      <c r="Y77" s="92"/>
      <c r="Z77" s="92"/>
      <c r="AA77" s="92"/>
      <c r="AB77" s="92"/>
      <c r="AC77" s="92"/>
      <c r="AD77" s="92"/>
      <c r="AE77" s="92"/>
      <c r="AF77" s="92"/>
      <c r="AG77" s="98"/>
      <c r="AH77" s="92"/>
      <c r="AI77" s="97"/>
      <c r="AJ77" s="92"/>
      <c r="AK77" s="92"/>
      <c r="AL77" s="92"/>
      <c r="AM77" s="92"/>
      <c r="AN77" s="92"/>
      <c r="AO77" s="92"/>
      <c r="AP77" s="92"/>
      <c r="AQ77" s="92"/>
      <c r="AR77" s="98"/>
      <c r="AS77" s="92"/>
      <c r="AT77" s="97"/>
      <c r="AU77" s="92"/>
      <c r="AV77" s="92"/>
      <c r="AW77" s="92"/>
      <c r="AX77" s="92"/>
      <c r="AY77" s="92"/>
      <c r="AZ77" s="92"/>
      <c r="BA77" s="92"/>
      <c r="BB77" s="92"/>
      <c r="BC77" s="98"/>
      <c r="BD77" s="92"/>
      <c r="BE77" s="97"/>
      <c r="BF77" s="92"/>
      <c r="BG77" s="92"/>
      <c r="BH77" s="92"/>
      <c r="BI77" s="92"/>
      <c r="BJ77" s="92"/>
      <c r="BK77" s="92"/>
      <c r="BL77" s="92"/>
      <c r="BM77" s="92"/>
      <c r="BN77" s="98"/>
    </row>
    <row r="78" spans="1:67" ht="9" customHeight="1" x14ac:dyDescent="0.3">
      <c r="B78" s="97"/>
      <c r="C78" s="92"/>
      <c r="D78" s="92"/>
      <c r="E78" s="92"/>
      <c r="F78" s="92"/>
      <c r="G78" s="92"/>
      <c r="H78" s="92"/>
      <c r="I78" s="92"/>
      <c r="J78" s="92"/>
      <c r="K78" s="98"/>
      <c r="L78" s="92"/>
      <c r="M78" s="97"/>
      <c r="N78" s="92"/>
      <c r="O78" s="92"/>
      <c r="P78" s="92"/>
      <c r="Q78" s="92"/>
      <c r="R78" s="92"/>
      <c r="S78" s="92"/>
      <c r="T78" s="92"/>
      <c r="U78" s="92"/>
      <c r="V78" s="98"/>
      <c r="W78" s="92"/>
      <c r="X78" s="97"/>
      <c r="Y78" s="92"/>
      <c r="Z78" s="92"/>
      <c r="AA78" s="92"/>
      <c r="AB78" s="92"/>
      <c r="AC78" s="92"/>
      <c r="AD78" s="92"/>
      <c r="AE78" s="92"/>
      <c r="AF78" s="92"/>
      <c r="AG78" s="98"/>
      <c r="AH78" s="92"/>
      <c r="AI78" s="97"/>
      <c r="AJ78" s="92"/>
      <c r="AK78" s="92"/>
      <c r="AL78" s="92"/>
      <c r="AM78" s="92"/>
      <c r="AN78" s="92"/>
      <c r="AO78" s="92"/>
      <c r="AP78" s="92"/>
      <c r="AQ78" s="92"/>
      <c r="AR78" s="98"/>
      <c r="AS78" s="92"/>
      <c r="AT78" s="97"/>
      <c r="AU78" s="92"/>
      <c r="AV78" s="92"/>
      <c r="AW78" s="92"/>
      <c r="AX78" s="92"/>
      <c r="AY78" s="92"/>
      <c r="AZ78" s="92"/>
      <c r="BA78" s="92"/>
      <c r="BB78" s="92"/>
      <c r="BC78" s="98"/>
      <c r="BD78" s="92"/>
      <c r="BE78" s="97"/>
      <c r="BF78" s="92"/>
      <c r="BG78" s="92"/>
      <c r="BH78" s="92"/>
      <c r="BI78" s="92"/>
      <c r="BJ78" s="92"/>
      <c r="BK78" s="92"/>
      <c r="BL78" s="92"/>
      <c r="BM78" s="92"/>
      <c r="BN78" s="98"/>
    </row>
    <row r="79" spans="1:67" ht="9" customHeight="1" x14ac:dyDescent="0.3">
      <c r="B79" s="97"/>
      <c r="C79" s="92"/>
      <c r="D79" s="92"/>
      <c r="E79" s="92"/>
      <c r="F79" s="92"/>
      <c r="G79" s="92"/>
      <c r="H79" s="92"/>
      <c r="I79" s="92"/>
      <c r="J79" s="92"/>
      <c r="K79" s="98"/>
      <c r="L79" s="92"/>
      <c r="M79" s="97"/>
      <c r="N79" s="92"/>
      <c r="O79" s="92"/>
      <c r="P79" s="92"/>
      <c r="Q79" s="92"/>
      <c r="R79" s="92"/>
      <c r="S79" s="92"/>
      <c r="T79" s="92"/>
      <c r="U79" s="92"/>
      <c r="V79" s="98"/>
      <c r="W79" s="92"/>
      <c r="X79" s="97"/>
      <c r="Y79" s="92"/>
      <c r="Z79" s="92"/>
      <c r="AA79" s="92"/>
      <c r="AB79" s="92"/>
      <c r="AC79" s="92"/>
      <c r="AD79" s="92"/>
      <c r="AE79" s="92"/>
      <c r="AF79" s="92"/>
      <c r="AG79" s="98"/>
      <c r="AH79" s="92"/>
      <c r="AI79" s="97"/>
      <c r="AJ79" s="92"/>
      <c r="AK79" s="92"/>
      <c r="AL79" s="92"/>
      <c r="AM79" s="92"/>
      <c r="AN79" s="92"/>
      <c r="AO79" s="92"/>
      <c r="AP79" s="92"/>
      <c r="AQ79" s="92"/>
      <c r="AR79" s="98"/>
      <c r="AS79" s="92"/>
      <c r="AT79" s="97"/>
      <c r="AU79" s="92"/>
      <c r="AV79" s="92"/>
      <c r="AW79" s="92"/>
      <c r="AX79" s="92"/>
      <c r="AY79" s="92"/>
      <c r="AZ79" s="92"/>
      <c r="BA79" s="92"/>
      <c r="BB79" s="92"/>
      <c r="BC79" s="98"/>
      <c r="BD79" s="92"/>
      <c r="BE79" s="97"/>
      <c r="BF79" s="92"/>
      <c r="BG79" s="92"/>
      <c r="BH79" s="92"/>
      <c r="BI79" s="92"/>
      <c r="BJ79" s="92"/>
      <c r="BK79" s="92"/>
      <c r="BL79" s="92"/>
      <c r="BM79" s="92"/>
      <c r="BN79" s="98"/>
    </row>
    <row r="80" spans="1:67" ht="9" customHeight="1" x14ac:dyDescent="0.3">
      <c r="B80" s="97"/>
      <c r="C80" s="92"/>
      <c r="D80" s="92"/>
      <c r="E80" s="92"/>
      <c r="F80" s="92"/>
      <c r="G80" s="92"/>
      <c r="H80" s="92"/>
      <c r="I80" s="92"/>
      <c r="J80" s="92"/>
      <c r="K80" s="98"/>
      <c r="L80" s="92"/>
      <c r="M80" s="97"/>
      <c r="N80" s="92"/>
      <c r="O80" s="92"/>
      <c r="P80" s="92"/>
      <c r="Q80" s="92"/>
      <c r="R80" s="92"/>
      <c r="S80" s="92"/>
      <c r="T80" s="92"/>
      <c r="U80" s="92"/>
      <c r="V80" s="98"/>
      <c r="W80" s="92"/>
      <c r="X80" s="97"/>
      <c r="Y80" s="92"/>
      <c r="Z80" s="92"/>
      <c r="AA80" s="92"/>
      <c r="AB80" s="92"/>
      <c r="AC80" s="92"/>
      <c r="AD80" s="92"/>
      <c r="AE80" s="92"/>
      <c r="AF80" s="92"/>
      <c r="AG80" s="98"/>
      <c r="AH80" s="92"/>
      <c r="AI80" s="97"/>
      <c r="AJ80" s="92"/>
      <c r="AK80" s="92"/>
      <c r="AL80" s="92"/>
      <c r="AM80" s="92"/>
      <c r="AN80" s="92"/>
      <c r="AO80" s="92"/>
      <c r="AP80" s="92"/>
      <c r="AQ80" s="92"/>
      <c r="AR80" s="98"/>
      <c r="AS80" s="92"/>
      <c r="AT80" s="97"/>
      <c r="AU80" s="92"/>
      <c r="AV80" s="92"/>
      <c r="AW80" s="92"/>
      <c r="AX80" s="92"/>
      <c r="AY80" s="92"/>
      <c r="AZ80" s="92"/>
      <c r="BA80" s="92"/>
      <c r="BB80" s="92"/>
      <c r="BC80" s="98"/>
      <c r="BD80" s="92"/>
      <c r="BE80" s="97"/>
      <c r="BF80" s="92"/>
      <c r="BG80" s="92"/>
      <c r="BH80" s="92"/>
      <c r="BI80" s="92"/>
      <c r="BJ80" s="92"/>
      <c r="BK80" s="92"/>
      <c r="BL80" s="92"/>
      <c r="BM80" s="92"/>
      <c r="BN80" s="98"/>
    </row>
    <row r="81" spans="1:67" ht="9" customHeight="1" x14ac:dyDescent="0.3">
      <c r="B81" s="97"/>
      <c r="C81" s="92"/>
      <c r="D81" s="92"/>
      <c r="E81" s="92"/>
      <c r="F81" s="92"/>
      <c r="G81" s="92"/>
      <c r="H81" s="92"/>
      <c r="I81" s="92"/>
      <c r="J81" s="92"/>
      <c r="K81" s="98"/>
      <c r="L81" s="92"/>
      <c r="M81" s="97"/>
      <c r="N81" s="92"/>
      <c r="O81" s="92"/>
      <c r="P81" s="92"/>
      <c r="Q81" s="92"/>
      <c r="R81" s="92"/>
      <c r="S81" s="92"/>
      <c r="T81" s="92"/>
      <c r="U81" s="92"/>
      <c r="V81" s="98"/>
      <c r="W81" s="92"/>
      <c r="X81" s="97"/>
      <c r="Y81" s="92"/>
      <c r="Z81" s="92"/>
      <c r="AA81" s="92"/>
      <c r="AB81" s="92"/>
      <c r="AC81" s="92"/>
      <c r="AD81" s="92"/>
      <c r="AE81" s="92"/>
      <c r="AF81" s="92"/>
      <c r="AG81" s="98"/>
      <c r="AH81" s="92"/>
      <c r="AI81" s="97"/>
      <c r="AJ81" s="92"/>
      <c r="AK81" s="92"/>
      <c r="AL81" s="92"/>
      <c r="AM81" s="92"/>
      <c r="AN81" s="92"/>
      <c r="AO81" s="92"/>
      <c r="AP81" s="92"/>
      <c r="AQ81" s="92"/>
      <c r="AR81" s="98"/>
      <c r="AS81" s="92"/>
      <c r="AT81" s="97"/>
      <c r="AU81" s="92"/>
      <c r="AV81" s="92"/>
      <c r="AW81" s="92"/>
      <c r="AX81" s="92"/>
      <c r="AY81" s="92"/>
      <c r="AZ81" s="92"/>
      <c r="BA81" s="92"/>
      <c r="BB81" s="92"/>
      <c r="BC81" s="98"/>
      <c r="BD81" s="92"/>
      <c r="BE81" s="97"/>
      <c r="BF81" s="92"/>
      <c r="BG81" s="92"/>
      <c r="BH81" s="92"/>
      <c r="BI81" s="92"/>
      <c r="BJ81" s="92"/>
      <c r="BK81" s="92"/>
      <c r="BL81" s="92"/>
      <c r="BM81" s="92"/>
      <c r="BN81" s="98"/>
    </row>
    <row r="82" spans="1:67" ht="9" customHeight="1" x14ac:dyDescent="0.3">
      <c r="B82" s="97"/>
      <c r="C82" s="92"/>
      <c r="D82" s="92"/>
      <c r="E82" s="92"/>
      <c r="F82" s="92"/>
      <c r="G82" s="92"/>
      <c r="H82" s="92"/>
      <c r="I82" s="92"/>
      <c r="J82" s="92"/>
      <c r="K82" s="98"/>
      <c r="L82" s="92"/>
      <c r="M82" s="97"/>
      <c r="N82" s="92"/>
      <c r="O82" s="92"/>
      <c r="P82" s="92"/>
      <c r="Q82" s="92"/>
      <c r="R82" s="92"/>
      <c r="S82" s="92"/>
      <c r="T82" s="92"/>
      <c r="U82" s="92"/>
      <c r="V82" s="98"/>
      <c r="W82" s="92"/>
      <c r="X82" s="97"/>
      <c r="Y82" s="92"/>
      <c r="Z82" s="92"/>
      <c r="AA82" s="92"/>
      <c r="AB82" s="92"/>
      <c r="AC82" s="92"/>
      <c r="AD82" s="92"/>
      <c r="AE82" s="92"/>
      <c r="AF82" s="92"/>
      <c r="AG82" s="98"/>
      <c r="AH82" s="92"/>
      <c r="AI82" s="97"/>
      <c r="AJ82" s="92"/>
      <c r="AK82" s="92"/>
      <c r="AL82" s="92"/>
      <c r="AM82" s="92"/>
      <c r="AN82" s="92"/>
      <c r="AO82" s="92"/>
      <c r="AP82" s="92"/>
      <c r="AQ82" s="92"/>
      <c r="AR82" s="98"/>
      <c r="AS82" s="92"/>
      <c r="AT82" s="97"/>
      <c r="AU82" s="92"/>
      <c r="AV82" s="92"/>
      <c r="AW82" s="92"/>
      <c r="AX82" s="92"/>
      <c r="AY82" s="92"/>
      <c r="AZ82" s="92"/>
      <c r="BA82" s="92"/>
      <c r="BB82" s="92"/>
      <c r="BC82" s="98"/>
      <c r="BD82" s="92"/>
      <c r="BE82" s="97"/>
      <c r="BF82" s="92"/>
      <c r="BG82" s="92"/>
      <c r="BH82" s="92"/>
      <c r="BI82" s="92"/>
      <c r="BJ82" s="92"/>
      <c r="BK82" s="92"/>
      <c r="BL82" s="92"/>
      <c r="BM82" s="92"/>
      <c r="BN82" s="98"/>
    </row>
    <row r="83" spans="1:67" ht="9" customHeight="1" x14ac:dyDescent="0.3">
      <c r="B83" s="97"/>
      <c r="C83" s="92"/>
      <c r="D83" s="92"/>
      <c r="E83" s="92"/>
      <c r="F83" s="92"/>
      <c r="G83" s="92"/>
      <c r="H83" s="92"/>
      <c r="I83" s="92"/>
      <c r="J83" s="92"/>
      <c r="K83" s="98"/>
      <c r="L83" s="92"/>
      <c r="M83" s="97"/>
      <c r="N83" s="92"/>
      <c r="O83" s="92"/>
      <c r="P83" s="92"/>
      <c r="Q83" s="92"/>
      <c r="R83" s="92"/>
      <c r="S83" s="92"/>
      <c r="T83" s="92"/>
      <c r="U83" s="92"/>
      <c r="V83" s="98"/>
      <c r="W83" s="92"/>
      <c r="X83" s="97"/>
      <c r="Y83" s="92"/>
      <c r="Z83" s="92"/>
      <c r="AA83" s="92"/>
      <c r="AB83" s="92"/>
      <c r="AC83" s="92"/>
      <c r="AD83" s="92"/>
      <c r="AE83" s="92"/>
      <c r="AF83" s="92"/>
      <c r="AG83" s="98"/>
      <c r="AH83" s="92"/>
      <c r="AI83" s="97"/>
      <c r="AJ83" s="92"/>
      <c r="AK83" s="92"/>
      <c r="AL83" s="92"/>
      <c r="AM83" s="92"/>
      <c r="AN83" s="92"/>
      <c r="AO83" s="92"/>
      <c r="AP83" s="92"/>
      <c r="AQ83" s="92"/>
      <c r="AR83" s="98"/>
      <c r="AS83" s="92"/>
      <c r="AT83" s="97"/>
      <c r="AU83" s="92"/>
      <c r="AV83" s="92"/>
      <c r="AW83" s="92"/>
      <c r="AX83" s="92"/>
      <c r="AY83" s="92"/>
      <c r="AZ83" s="92"/>
      <c r="BA83" s="92"/>
      <c r="BB83" s="92"/>
      <c r="BC83" s="98"/>
      <c r="BD83" s="92"/>
      <c r="BE83" s="97"/>
      <c r="BF83" s="92"/>
      <c r="BG83" s="92"/>
      <c r="BH83" s="92"/>
      <c r="BI83" s="92"/>
      <c r="BJ83" s="92"/>
      <c r="BK83" s="92"/>
      <c r="BL83" s="92"/>
      <c r="BM83" s="92"/>
      <c r="BN83" s="98"/>
    </row>
    <row r="84" spans="1:67" ht="9" customHeight="1" x14ac:dyDescent="0.3">
      <c r="B84" s="97"/>
      <c r="C84" s="92"/>
      <c r="D84" s="92"/>
      <c r="E84" s="92"/>
      <c r="F84" s="92"/>
      <c r="G84" s="92"/>
      <c r="H84" s="92"/>
      <c r="I84" s="92"/>
      <c r="J84" s="92"/>
      <c r="K84" s="98"/>
      <c r="L84" s="92"/>
      <c r="M84" s="97"/>
      <c r="N84" s="92"/>
      <c r="O84" s="92"/>
      <c r="P84" s="92"/>
      <c r="Q84" s="92"/>
      <c r="R84" s="92"/>
      <c r="S84" s="92"/>
      <c r="T84" s="92"/>
      <c r="U84" s="92"/>
      <c r="V84" s="98"/>
      <c r="W84" s="92"/>
      <c r="X84" s="97"/>
      <c r="Y84" s="92"/>
      <c r="Z84" s="92"/>
      <c r="AA84" s="92"/>
      <c r="AB84" s="92"/>
      <c r="AC84" s="92"/>
      <c r="AD84" s="92"/>
      <c r="AE84" s="92"/>
      <c r="AF84" s="92"/>
      <c r="AG84" s="98"/>
      <c r="AH84" s="92"/>
      <c r="AI84" s="97"/>
      <c r="AJ84" s="92"/>
      <c r="AK84" s="92"/>
      <c r="AL84" s="92"/>
      <c r="AM84" s="92"/>
      <c r="AN84" s="92"/>
      <c r="AO84" s="92"/>
      <c r="AP84" s="92"/>
      <c r="AQ84" s="92"/>
      <c r="AR84" s="98"/>
      <c r="AS84" s="92"/>
      <c r="AT84" s="97"/>
      <c r="AU84" s="92"/>
      <c r="AV84" s="92"/>
      <c r="AW84" s="92"/>
      <c r="AX84" s="92"/>
      <c r="AY84" s="92"/>
      <c r="AZ84" s="92"/>
      <c r="BA84" s="92"/>
      <c r="BB84" s="92"/>
      <c r="BC84" s="98"/>
      <c r="BD84" s="92"/>
      <c r="BE84" s="97"/>
      <c r="BF84" s="92"/>
      <c r="BG84" s="92"/>
      <c r="BH84" s="92"/>
      <c r="BI84" s="92"/>
      <c r="BJ84" s="92"/>
      <c r="BK84" s="92"/>
      <c r="BL84" s="92"/>
      <c r="BM84" s="92"/>
      <c r="BN84" s="98"/>
    </row>
    <row r="85" spans="1:67" ht="9" customHeight="1" x14ac:dyDescent="0.3">
      <c r="B85" s="97"/>
      <c r="C85" s="92"/>
      <c r="D85" s="92"/>
      <c r="E85" s="92"/>
      <c r="F85" s="92"/>
      <c r="G85" s="92"/>
      <c r="H85" s="92"/>
      <c r="I85" s="92"/>
      <c r="J85" s="92"/>
      <c r="K85" s="98"/>
      <c r="L85" s="92"/>
      <c r="M85" s="97"/>
      <c r="N85" s="92"/>
      <c r="O85" s="92"/>
      <c r="P85" s="92"/>
      <c r="Q85" s="92"/>
      <c r="R85" s="92"/>
      <c r="S85" s="92"/>
      <c r="T85" s="92"/>
      <c r="U85" s="92"/>
      <c r="V85" s="98"/>
      <c r="W85" s="92"/>
      <c r="X85" s="97"/>
      <c r="Y85" s="92"/>
      <c r="Z85" s="92"/>
      <c r="AA85" s="92"/>
      <c r="AB85" s="92"/>
      <c r="AC85" s="92"/>
      <c r="AD85" s="92"/>
      <c r="AE85" s="92"/>
      <c r="AF85" s="92"/>
      <c r="AG85" s="98"/>
      <c r="AH85" s="92"/>
      <c r="AI85" s="97"/>
      <c r="AJ85" s="92"/>
      <c r="AK85" s="92"/>
      <c r="AL85" s="92"/>
      <c r="AM85" s="92"/>
      <c r="AN85" s="92"/>
      <c r="AO85" s="92"/>
      <c r="AP85" s="92"/>
      <c r="AQ85" s="92"/>
      <c r="AR85" s="98"/>
      <c r="AS85" s="92"/>
      <c r="AT85" s="97"/>
      <c r="AU85" s="92"/>
      <c r="AV85" s="92"/>
      <c r="AW85" s="92"/>
      <c r="AX85" s="92"/>
      <c r="AY85" s="92"/>
      <c r="AZ85" s="92"/>
      <c r="BA85" s="92"/>
      <c r="BB85" s="92"/>
      <c r="BC85" s="98"/>
      <c r="BD85" s="92"/>
      <c r="BE85" s="97"/>
      <c r="BF85" s="92"/>
      <c r="BG85" s="92"/>
      <c r="BH85" s="92"/>
      <c r="BI85" s="92"/>
      <c r="BJ85" s="92"/>
      <c r="BK85" s="92"/>
      <c r="BL85" s="92"/>
      <c r="BM85" s="92"/>
      <c r="BN85" s="98"/>
    </row>
    <row r="86" spans="1:67" s="5" customFormat="1" ht="9" customHeight="1" x14ac:dyDescent="0.3">
      <c r="A86" s="6"/>
      <c r="B86" s="246" t="s">
        <v>134</v>
      </c>
      <c r="C86" s="246"/>
      <c r="D86" s="246"/>
      <c r="E86" s="246"/>
      <c r="F86" s="246"/>
      <c r="G86" s="246"/>
      <c r="H86" s="247">
        <v>100</v>
      </c>
      <c r="I86" s="247"/>
      <c r="J86" s="247"/>
      <c r="K86" s="247"/>
      <c r="L86" s="104"/>
      <c r="M86" s="246" t="s">
        <v>134</v>
      </c>
      <c r="N86" s="246"/>
      <c r="O86" s="246"/>
      <c r="P86" s="246"/>
      <c r="Q86" s="246"/>
      <c r="R86" s="246"/>
      <c r="S86" s="247">
        <v>100</v>
      </c>
      <c r="T86" s="247"/>
      <c r="U86" s="247"/>
      <c r="V86" s="247"/>
      <c r="W86" s="104"/>
      <c r="X86" s="246" t="s">
        <v>134</v>
      </c>
      <c r="Y86" s="246"/>
      <c r="Z86" s="246"/>
      <c r="AA86" s="246"/>
      <c r="AB86" s="246"/>
      <c r="AC86" s="246"/>
      <c r="AD86" s="247">
        <v>100</v>
      </c>
      <c r="AE86" s="247"/>
      <c r="AF86" s="247"/>
      <c r="AG86" s="247"/>
      <c r="AH86" s="104"/>
      <c r="AI86" s="246" t="s">
        <v>134</v>
      </c>
      <c r="AJ86" s="246"/>
      <c r="AK86" s="246"/>
      <c r="AL86" s="246"/>
      <c r="AM86" s="246"/>
      <c r="AN86" s="246"/>
      <c r="AO86" s="247">
        <v>100</v>
      </c>
      <c r="AP86" s="247"/>
      <c r="AQ86" s="247"/>
      <c r="AR86" s="247"/>
      <c r="AS86" s="104"/>
      <c r="AT86" s="246" t="s">
        <v>134</v>
      </c>
      <c r="AU86" s="246"/>
      <c r="AV86" s="246"/>
      <c r="AW86" s="246"/>
      <c r="AX86" s="246"/>
      <c r="AY86" s="246"/>
      <c r="AZ86" s="247">
        <v>135</v>
      </c>
      <c r="BA86" s="247"/>
      <c r="BB86" s="247"/>
      <c r="BC86" s="247"/>
      <c r="BD86" s="104"/>
      <c r="BE86" s="246" t="s">
        <v>134</v>
      </c>
      <c r="BF86" s="246"/>
      <c r="BG86" s="246"/>
      <c r="BH86" s="246"/>
      <c r="BI86" s="246"/>
      <c r="BJ86" s="246"/>
      <c r="BK86" s="247">
        <v>135</v>
      </c>
      <c r="BL86" s="247"/>
      <c r="BM86" s="247"/>
      <c r="BN86" s="247"/>
      <c r="BO86" s="105"/>
    </row>
    <row r="87" spans="1:67" s="5" customFormat="1" ht="9" customHeight="1" x14ac:dyDescent="0.3">
      <c r="A87" s="6"/>
      <c r="B87" s="246" t="s">
        <v>782</v>
      </c>
      <c r="C87" s="246"/>
      <c r="D87" s="246"/>
      <c r="E87" s="246"/>
      <c r="F87" s="246"/>
      <c r="G87" s="246"/>
      <c r="H87" s="247">
        <v>739</v>
      </c>
      <c r="I87" s="247"/>
      <c r="J87" s="247"/>
      <c r="K87" s="247"/>
      <c r="L87" s="104"/>
      <c r="M87" s="246" t="s">
        <v>783</v>
      </c>
      <c r="N87" s="246"/>
      <c r="O87" s="246"/>
      <c r="P87" s="246"/>
      <c r="Q87" s="246"/>
      <c r="R87" s="246"/>
      <c r="S87" s="247">
        <v>602</v>
      </c>
      <c r="T87" s="247"/>
      <c r="U87" s="247"/>
      <c r="V87" s="247"/>
      <c r="W87" s="104"/>
      <c r="X87" s="246" t="s">
        <v>163</v>
      </c>
      <c r="Y87" s="246"/>
      <c r="Z87" s="246"/>
      <c r="AA87" s="246"/>
      <c r="AB87" s="246"/>
      <c r="AC87" s="246"/>
      <c r="AD87" s="247">
        <v>640</v>
      </c>
      <c r="AE87" s="247"/>
      <c r="AF87" s="247"/>
      <c r="AG87" s="247"/>
      <c r="AH87" s="104"/>
      <c r="AI87" s="246" t="s">
        <v>164</v>
      </c>
      <c r="AJ87" s="246"/>
      <c r="AK87" s="246"/>
      <c r="AL87" s="246"/>
      <c r="AM87" s="246"/>
      <c r="AN87" s="246"/>
      <c r="AO87" s="247">
        <v>712</v>
      </c>
      <c r="AP87" s="247"/>
      <c r="AQ87" s="247"/>
      <c r="AR87" s="247"/>
      <c r="AS87" s="104"/>
      <c r="AT87" s="246" t="s">
        <v>163</v>
      </c>
      <c r="AU87" s="246"/>
      <c r="AV87" s="246"/>
      <c r="AW87" s="246"/>
      <c r="AX87" s="246"/>
      <c r="AY87" s="246"/>
      <c r="AZ87" s="247">
        <v>826</v>
      </c>
      <c r="BA87" s="247"/>
      <c r="BB87" s="247"/>
      <c r="BC87" s="247"/>
      <c r="BD87" s="104"/>
      <c r="BE87" s="246" t="s">
        <v>164</v>
      </c>
      <c r="BF87" s="246"/>
      <c r="BG87" s="246"/>
      <c r="BH87" s="246"/>
      <c r="BI87" s="246"/>
      <c r="BJ87" s="246"/>
      <c r="BK87" s="247">
        <v>920</v>
      </c>
      <c r="BL87" s="247"/>
      <c r="BM87" s="247"/>
      <c r="BN87" s="247"/>
      <c r="BO87" s="105"/>
    </row>
    <row r="88" spans="1:67" ht="1.95" customHeight="1" x14ac:dyDescent="0.3"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</row>
    <row r="89" spans="1:67" s="7" customFormat="1" ht="9" customHeight="1" x14ac:dyDescent="0.3">
      <c r="B89" s="274" t="s">
        <v>117</v>
      </c>
      <c r="C89" s="274"/>
      <c r="D89" s="274"/>
      <c r="E89" s="274"/>
      <c r="F89" s="274"/>
      <c r="G89" s="274"/>
      <c r="H89" s="275">
        <v>1035</v>
      </c>
      <c r="I89" s="275"/>
      <c r="J89" s="275"/>
      <c r="K89" s="275"/>
      <c r="L89" s="106"/>
      <c r="M89" s="274" t="s">
        <v>118</v>
      </c>
      <c r="N89" s="274"/>
      <c r="O89" s="274"/>
      <c r="P89" s="274"/>
      <c r="Q89" s="274"/>
      <c r="R89" s="274"/>
      <c r="S89" s="275">
        <v>580</v>
      </c>
      <c r="T89" s="275"/>
      <c r="U89" s="275"/>
      <c r="V89" s="275"/>
      <c r="W89" s="106"/>
      <c r="X89" s="274" t="s">
        <v>127</v>
      </c>
      <c r="Y89" s="274"/>
      <c r="Z89" s="274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74"/>
      <c r="AL89" s="274"/>
      <c r="AM89" s="274"/>
      <c r="AN89" s="274"/>
      <c r="AO89" s="275" t="s">
        <v>831</v>
      </c>
      <c r="AP89" s="275"/>
      <c r="AQ89" s="275"/>
      <c r="AR89" s="275"/>
      <c r="AS89" s="106"/>
      <c r="AT89" s="274" t="s">
        <v>620</v>
      </c>
      <c r="AU89" s="274"/>
      <c r="AV89" s="274"/>
      <c r="AW89" s="274"/>
      <c r="AX89" s="274"/>
      <c r="AY89" s="274"/>
      <c r="AZ89" s="274"/>
      <c r="BA89" s="274"/>
      <c r="BB89" s="274"/>
      <c r="BC89" s="274"/>
      <c r="BD89" s="274"/>
      <c r="BE89" s="274"/>
      <c r="BF89" s="274"/>
      <c r="BG89" s="274"/>
      <c r="BH89" s="274"/>
      <c r="BI89" s="274"/>
      <c r="BJ89" s="274"/>
      <c r="BK89" s="275">
        <v>606</v>
      </c>
      <c r="BL89" s="275"/>
      <c r="BM89" s="275"/>
      <c r="BN89" s="275"/>
      <c r="BO89" s="107"/>
    </row>
    <row r="90" spans="1:67" s="7" customFormat="1" ht="9" customHeight="1" x14ac:dyDescent="0.3">
      <c r="B90" s="274" t="s">
        <v>131</v>
      </c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5">
        <v>850</v>
      </c>
      <c r="T90" s="275"/>
      <c r="U90" s="275"/>
      <c r="V90" s="275"/>
      <c r="W90" s="106"/>
      <c r="X90" s="274" t="s">
        <v>128</v>
      </c>
      <c r="Y90" s="274"/>
      <c r="Z90" s="274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74"/>
      <c r="AL90" s="274"/>
      <c r="AM90" s="274"/>
      <c r="AN90" s="274"/>
      <c r="AO90" s="275" t="s">
        <v>832</v>
      </c>
      <c r="AP90" s="275"/>
      <c r="AQ90" s="275"/>
      <c r="AR90" s="275"/>
      <c r="AS90" s="106"/>
      <c r="AT90" s="274" t="s">
        <v>733</v>
      </c>
      <c r="AU90" s="274"/>
      <c r="AV90" s="274"/>
      <c r="AW90" s="274"/>
      <c r="AX90" s="274"/>
      <c r="AY90" s="274"/>
      <c r="AZ90" s="274"/>
      <c r="BA90" s="274"/>
      <c r="BB90" s="274"/>
      <c r="BC90" s="274"/>
      <c r="BD90" s="274"/>
      <c r="BE90" s="274"/>
      <c r="BF90" s="274"/>
      <c r="BG90" s="274"/>
      <c r="BH90" s="274"/>
      <c r="BI90" s="274"/>
      <c r="BJ90" s="274"/>
      <c r="BK90" s="275">
        <v>300</v>
      </c>
      <c r="BL90" s="275"/>
      <c r="BM90" s="275"/>
      <c r="BN90" s="275"/>
      <c r="BO90" s="107"/>
    </row>
    <row r="91" spans="1:67" s="7" customFormat="1" ht="9" customHeight="1" x14ac:dyDescent="0.3">
      <c r="B91" s="274" t="s">
        <v>815</v>
      </c>
      <c r="C91" s="274"/>
      <c r="D91" s="274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5">
        <v>145</v>
      </c>
      <c r="T91" s="275"/>
      <c r="U91" s="275"/>
      <c r="V91" s="275"/>
      <c r="W91" s="106"/>
      <c r="X91" s="274" t="s">
        <v>125</v>
      </c>
      <c r="Y91" s="274"/>
      <c r="Z91" s="274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74"/>
      <c r="AL91" s="274"/>
      <c r="AM91" s="274"/>
      <c r="AN91" s="274"/>
      <c r="AO91" s="275">
        <v>165</v>
      </c>
      <c r="AP91" s="275"/>
      <c r="AQ91" s="275"/>
      <c r="AR91" s="275"/>
      <c r="AS91" s="106"/>
      <c r="AT91" s="274" t="s">
        <v>120</v>
      </c>
      <c r="AU91" s="274"/>
      <c r="AV91" s="274"/>
      <c r="AW91" s="274"/>
      <c r="AX91" s="274"/>
      <c r="AY91" s="274"/>
      <c r="AZ91" s="274"/>
      <c r="BA91" s="274"/>
      <c r="BB91" s="274"/>
      <c r="BC91" s="274"/>
      <c r="BD91" s="274"/>
      <c r="BE91" s="274"/>
      <c r="BF91" s="274"/>
      <c r="BG91" s="274"/>
      <c r="BH91" s="274"/>
      <c r="BI91" s="274"/>
      <c r="BJ91" s="274"/>
      <c r="BK91" s="275">
        <v>135</v>
      </c>
      <c r="BL91" s="275"/>
      <c r="BM91" s="275"/>
      <c r="BN91" s="275"/>
      <c r="BO91" s="107"/>
    </row>
    <row r="92" spans="1:67" s="7" customFormat="1" ht="9" customHeight="1" x14ac:dyDescent="0.3">
      <c r="B92" s="274" t="s">
        <v>814</v>
      </c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5">
        <v>330</v>
      </c>
      <c r="T92" s="275"/>
      <c r="U92" s="275"/>
      <c r="V92" s="275"/>
      <c r="W92" s="106"/>
      <c r="X92" s="274" t="s">
        <v>130</v>
      </c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5">
        <v>160</v>
      </c>
      <c r="AP92" s="275"/>
      <c r="AQ92" s="275"/>
      <c r="AR92" s="275"/>
      <c r="AS92" s="106"/>
      <c r="AT92" s="274" t="s">
        <v>119</v>
      </c>
      <c r="AU92" s="274"/>
      <c r="AV92" s="274"/>
      <c r="AW92" s="274"/>
      <c r="AX92" s="274"/>
      <c r="AY92" s="274"/>
      <c r="AZ92" s="274"/>
      <c r="BA92" s="274"/>
      <c r="BB92" s="274"/>
      <c r="BC92" s="274"/>
      <c r="BD92" s="274"/>
      <c r="BE92" s="274"/>
      <c r="BF92" s="274"/>
      <c r="BG92" s="274"/>
      <c r="BH92" s="274"/>
      <c r="BI92" s="274"/>
      <c r="BJ92" s="274"/>
      <c r="BK92" s="275">
        <v>100</v>
      </c>
      <c r="BL92" s="275"/>
      <c r="BM92" s="275"/>
      <c r="BN92" s="275"/>
      <c r="BO92" s="107"/>
    </row>
    <row r="93" spans="1:67" s="7" customFormat="1" ht="9" customHeight="1" x14ac:dyDescent="0.3">
      <c r="B93" s="274" t="s">
        <v>734</v>
      </c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5">
        <v>160</v>
      </c>
      <c r="T93" s="275"/>
      <c r="U93" s="275"/>
      <c r="V93" s="275"/>
      <c r="W93" s="106"/>
      <c r="X93" s="274" t="s">
        <v>129</v>
      </c>
      <c r="Y93" s="274"/>
      <c r="Z93" s="274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74"/>
      <c r="AL93" s="274"/>
      <c r="AM93" s="274"/>
      <c r="AN93" s="274"/>
      <c r="AO93" s="275">
        <v>104</v>
      </c>
      <c r="AP93" s="275"/>
      <c r="AQ93" s="275"/>
      <c r="AR93" s="275"/>
      <c r="AS93" s="106"/>
      <c r="AT93" s="274" t="s">
        <v>777</v>
      </c>
      <c r="AU93" s="274"/>
      <c r="AV93" s="274"/>
      <c r="AW93" s="274"/>
      <c r="AX93" s="274"/>
      <c r="AY93" s="274"/>
      <c r="AZ93" s="274"/>
      <c r="BA93" s="274"/>
      <c r="BB93" s="274"/>
      <c r="BC93" s="274"/>
      <c r="BD93" s="274"/>
      <c r="BE93" s="274"/>
      <c r="BF93" s="274"/>
      <c r="BG93" s="274"/>
      <c r="BH93" s="274"/>
      <c r="BI93" s="274"/>
      <c r="BJ93" s="274"/>
      <c r="BK93" s="275">
        <v>27</v>
      </c>
      <c r="BL93" s="275"/>
      <c r="BM93" s="275"/>
      <c r="BN93" s="275"/>
      <c r="BO93" s="107"/>
    </row>
    <row r="94" spans="1:67" s="7" customFormat="1" ht="9" customHeight="1" x14ac:dyDescent="0.3">
      <c r="B94" s="276" t="s">
        <v>123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8"/>
      <c r="S94" s="275">
        <v>405</v>
      </c>
      <c r="T94" s="275"/>
      <c r="U94" s="275"/>
      <c r="V94" s="275"/>
      <c r="W94" s="106"/>
      <c r="X94" s="274" t="s">
        <v>126</v>
      </c>
      <c r="Y94" s="274"/>
      <c r="Z94" s="274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5">
        <v>24</v>
      </c>
      <c r="AP94" s="275"/>
      <c r="AQ94" s="275"/>
      <c r="AR94" s="275"/>
      <c r="AS94" s="106"/>
      <c r="AT94" s="274" t="s">
        <v>121</v>
      </c>
      <c r="AU94" s="274"/>
      <c r="AV94" s="274"/>
      <c r="AW94" s="274"/>
      <c r="AX94" s="274"/>
      <c r="AY94" s="274"/>
      <c r="AZ94" s="274"/>
      <c r="BA94" s="274"/>
      <c r="BB94" s="274"/>
      <c r="BC94" s="274"/>
      <c r="BD94" s="274"/>
      <c r="BE94" s="274"/>
      <c r="BF94" s="274"/>
      <c r="BG94" s="274"/>
      <c r="BH94" s="274"/>
      <c r="BI94" s="274"/>
      <c r="BJ94" s="274"/>
      <c r="BK94" s="275">
        <v>10</v>
      </c>
      <c r="BL94" s="275"/>
      <c r="BM94" s="275"/>
      <c r="BN94" s="275"/>
      <c r="BO94" s="107"/>
    </row>
    <row r="95" spans="1:67" s="7" customFormat="1" ht="9" customHeight="1" x14ac:dyDescent="0.3">
      <c r="B95" s="276" t="s">
        <v>124</v>
      </c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8"/>
      <c r="S95" s="275">
        <v>465</v>
      </c>
      <c r="T95" s="275"/>
      <c r="U95" s="275"/>
      <c r="V95" s="275"/>
      <c r="W95" s="106"/>
      <c r="X95" s="274" t="s">
        <v>840</v>
      </c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5">
        <v>27</v>
      </c>
      <c r="AP95" s="275"/>
      <c r="AQ95" s="275"/>
      <c r="AR95" s="275"/>
      <c r="AS95" s="106"/>
      <c r="AT95" s="274" t="s">
        <v>122</v>
      </c>
      <c r="AU95" s="274"/>
      <c r="AV95" s="274"/>
      <c r="AW95" s="274"/>
      <c r="AX95" s="274"/>
      <c r="AY95" s="274"/>
      <c r="AZ95" s="274"/>
      <c r="BA95" s="274"/>
      <c r="BB95" s="274"/>
      <c r="BC95" s="274"/>
      <c r="BD95" s="274"/>
      <c r="BE95" s="274"/>
      <c r="BF95" s="274"/>
      <c r="BG95" s="274"/>
      <c r="BH95" s="274"/>
      <c r="BI95" s="274"/>
      <c r="BJ95" s="274"/>
      <c r="BK95" s="275">
        <v>13</v>
      </c>
      <c r="BL95" s="275"/>
      <c r="BM95" s="275"/>
      <c r="BN95" s="275"/>
      <c r="BO95" s="107"/>
    </row>
    <row r="96" spans="1:67" s="7" customFormat="1" ht="10.5" customHeight="1" x14ac:dyDescent="0.3">
      <c r="B96" s="274" t="s">
        <v>748</v>
      </c>
      <c r="C96" s="274"/>
      <c r="D96" s="274"/>
      <c r="E96" s="274"/>
      <c r="F96" s="274"/>
      <c r="G96" s="274"/>
      <c r="H96" s="274"/>
      <c r="I96" s="274"/>
      <c r="J96" s="274"/>
      <c r="K96" s="274"/>
      <c r="L96" s="274"/>
      <c r="M96" s="274"/>
      <c r="N96" s="274"/>
      <c r="O96" s="274"/>
      <c r="P96" s="274"/>
      <c r="Q96" s="274"/>
      <c r="R96" s="274"/>
      <c r="S96" s="275">
        <v>1155</v>
      </c>
      <c r="T96" s="275"/>
      <c r="U96" s="275"/>
      <c r="V96" s="275"/>
      <c r="W96" s="106"/>
      <c r="X96" s="275" t="s">
        <v>833</v>
      </c>
      <c r="Y96" s="275"/>
      <c r="Z96" s="275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75"/>
      <c r="AL96" s="275"/>
      <c r="AM96" s="275"/>
      <c r="AN96" s="275"/>
      <c r="AO96" s="275"/>
      <c r="AP96" s="275"/>
      <c r="AQ96" s="275"/>
      <c r="AR96" s="275"/>
      <c r="AS96" s="106"/>
      <c r="AT96" s="274" t="s">
        <v>764</v>
      </c>
      <c r="AU96" s="274"/>
      <c r="AV96" s="274"/>
      <c r="AW96" s="274"/>
      <c r="AX96" s="274"/>
      <c r="AY96" s="274"/>
      <c r="AZ96" s="274"/>
      <c r="BA96" s="274"/>
      <c r="BB96" s="274"/>
      <c r="BC96" s="274"/>
      <c r="BD96" s="274"/>
      <c r="BE96" s="274"/>
      <c r="BF96" s="274"/>
      <c r="BG96" s="274"/>
      <c r="BH96" s="274"/>
      <c r="BI96" s="274"/>
      <c r="BJ96" s="274"/>
      <c r="BK96" s="275">
        <v>440</v>
      </c>
      <c r="BL96" s="275"/>
      <c r="BM96" s="275"/>
      <c r="BN96" s="275"/>
      <c r="BO96" s="107"/>
    </row>
    <row r="97" ht="9" customHeight="1" x14ac:dyDescent="0.3"/>
    <row r="98" ht="9" customHeight="1" x14ac:dyDescent="0.3"/>
    <row r="99" ht="9" customHeight="1" x14ac:dyDescent="0.3"/>
    <row r="100" ht="9" customHeight="1" x14ac:dyDescent="0.3"/>
    <row r="101" ht="9" customHeight="1" x14ac:dyDescent="0.3"/>
    <row r="102" ht="9" customHeight="1" x14ac:dyDescent="0.3"/>
    <row r="103" ht="9" customHeight="1" x14ac:dyDescent="0.3"/>
    <row r="104" ht="9" customHeight="1" x14ac:dyDescent="0.3"/>
    <row r="105" ht="9" customHeight="1" x14ac:dyDescent="0.3"/>
    <row r="106" ht="9" customHeight="1" x14ac:dyDescent="0.3"/>
    <row r="107" ht="9" customHeight="1" x14ac:dyDescent="0.3"/>
    <row r="108" ht="9" customHeight="1" x14ac:dyDescent="0.3"/>
    <row r="109" ht="9" customHeight="1" x14ac:dyDescent="0.3"/>
    <row r="110" ht="9" customHeight="1" x14ac:dyDescent="0.3"/>
    <row r="111" ht="9" customHeight="1" x14ac:dyDescent="0.3"/>
    <row r="112" ht="9" customHeight="1" x14ac:dyDescent="0.3"/>
    <row r="113" ht="9" customHeight="1" x14ac:dyDescent="0.3"/>
    <row r="114" ht="9" customHeight="1" x14ac:dyDescent="0.3"/>
    <row r="115" ht="9" customHeight="1" x14ac:dyDescent="0.3"/>
    <row r="116" ht="9" customHeight="1" x14ac:dyDescent="0.3"/>
    <row r="117" ht="9" customHeight="1" x14ac:dyDescent="0.3"/>
    <row r="118" ht="9" customHeight="1" x14ac:dyDescent="0.3"/>
    <row r="119" ht="9" customHeight="1" x14ac:dyDescent="0.3"/>
    <row r="120" ht="9" customHeight="1" x14ac:dyDescent="0.3"/>
    <row r="121" ht="9" customHeight="1" x14ac:dyDescent="0.3"/>
    <row r="122" ht="9" customHeight="1" x14ac:dyDescent="0.3"/>
    <row r="123" ht="9" customHeight="1" x14ac:dyDescent="0.3"/>
    <row r="124" ht="9" customHeight="1" x14ac:dyDescent="0.3"/>
    <row r="125" ht="9" customHeight="1" x14ac:dyDescent="0.3"/>
    <row r="126" ht="9" customHeight="1" x14ac:dyDescent="0.3"/>
    <row r="127" ht="9" customHeight="1" x14ac:dyDescent="0.3"/>
    <row r="128" ht="9" customHeight="1" x14ac:dyDescent="0.3"/>
    <row r="129" ht="9" customHeight="1" x14ac:dyDescent="0.3"/>
    <row r="130" ht="9" customHeight="1" x14ac:dyDescent="0.3"/>
    <row r="131" ht="9" customHeight="1" x14ac:dyDescent="0.3"/>
    <row r="132" ht="9" customHeight="1" x14ac:dyDescent="0.3"/>
    <row r="133" ht="9" customHeight="1" x14ac:dyDescent="0.3"/>
    <row r="134" ht="9" customHeight="1" x14ac:dyDescent="0.3"/>
    <row r="135" ht="9" customHeight="1" x14ac:dyDescent="0.3"/>
    <row r="136" ht="9" customHeight="1" x14ac:dyDescent="0.3"/>
    <row r="137" ht="9" customHeight="1" x14ac:dyDescent="0.3"/>
    <row r="138" ht="9" customHeight="1" x14ac:dyDescent="0.3"/>
    <row r="139" ht="9" customHeight="1" x14ac:dyDescent="0.3"/>
    <row r="140" ht="9" customHeight="1" x14ac:dyDescent="0.3"/>
    <row r="141" ht="9" customHeight="1" x14ac:dyDescent="0.3"/>
    <row r="142" ht="9" customHeight="1" x14ac:dyDescent="0.3"/>
    <row r="143" ht="9" customHeight="1" x14ac:dyDescent="0.3"/>
    <row r="144" ht="9" customHeight="1" x14ac:dyDescent="0.3"/>
    <row r="145" ht="9" customHeight="1" x14ac:dyDescent="0.3"/>
    <row r="146" ht="9" customHeight="1" x14ac:dyDescent="0.3"/>
    <row r="147" ht="9" customHeight="1" x14ac:dyDescent="0.3"/>
    <row r="148" ht="9" customHeight="1" x14ac:dyDescent="0.3"/>
    <row r="149" ht="9" customHeight="1" x14ac:dyDescent="0.3"/>
    <row r="150" ht="9" customHeight="1" x14ac:dyDescent="0.3"/>
    <row r="151" ht="9" customHeight="1" x14ac:dyDescent="0.3"/>
    <row r="152" ht="9" customHeight="1" x14ac:dyDescent="0.3"/>
    <row r="153" ht="9" customHeight="1" x14ac:dyDescent="0.3"/>
    <row r="154" ht="9" customHeight="1" x14ac:dyDescent="0.3"/>
    <row r="155" ht="9" customHeight="1" x14ac:dyDescent="0.3"/>
    <row r="156" ht="9" customHeight="1" x14ac:dyDescent="0.3"/>
    <row r="157" ht="9" customHeight="1" x14ac:dyDescent="0.3"/>
    <row r="158" ht="9" customHeight="1" x14ac:dyDescent="0.3"/>
    <row r="159" ht="9" customHeight="1" x14ac:dyDescent="0.3"/>
    <row r="160" ht="9" customHeight="1" x14ac:dyDescent="0.3"/>
    <row r="161" ht="9" customHeight="1" x14ac:dyDescent="0.3"/>
    <row r="162" ht="9" customHeight="1" x14ac:dyDescent="0.3"/>
    <row r="163" ht="9" customHeight="1" x14ac:dyDescent="0.3"/>
    <row r="164" ht="9" customHeight="1" x14ac:dyDescent="0.3"/>
    <row r="165" ht="9" customHeight="1" x14ac:dyDescent="0.3"/>
    <row r="166" ht="9" customHeight="1" x14ac:dyDescent="0.3"/>
    <row r="167" ht="9" customHeight="1" x14ac:dyDescent="0.3"/>
    <row r="168" ht="9" customHeight="1" x14ac:dyDescent="0.3"/>
    <row r="169" ht="9" customHeight="1" x14ac:dyDescent="0.3"/>
    <row r="170" ht="9" customHeight="1" x14ac:dyDescent="0.3"/>
    <row r="171" ht="9" customHeight="1" x14ac:dyDescent="0.3"/>
    <row r="172" ht="9" customHeight="1" x14ac:dyDescent="0.3"/>
    <row r="173" ht="9" customHeight="1" x14ac:dyDescent="0.3"/>
    <row r="174" ht="9" customHeight="1" x14ac:dyDescent="0.3"/>
    <row r="175" ht="9" customHeight="1" x14ac:dyDescent="0.3"/>
    <row r="176" ht="9" customHeight="1" x14ac:dyDescent="0.3"/>
    <row r="177" ht="9" customHeight="1" x14ac:dyDescent="0.3"/>
    <row r="178" ht="9" customHeight="1" x14ac:dyDescent="0.3"/>
    <row r="179" ht="9" customHeight="1" x14ac:dyDescent="0.3"/>
    <row r="180" ht="9" customHeight="1" x14ac:dyDescent="0.3"/>
    <row r="181" ht="9" customHeight="1" x14ac:dyDescent="0.3"/>
    <row r="182" ht="9" customHeight="1" x14ac:dyDescent="0.3"/>
    <row r="183" ht="9" customHeight="1" x14ac:dyDescent="0.3"/>
    <row r="184" ht="9" customHeight="1" x14ac:dyDescent="0.3"/>
    <row r="185" ht="9" customHeight="1" x14ac:dyDescent="0.3"/>
    <row r="186" ht="9" customHeight="1" x14ac:dyDescent="0.3"/>
    <row r="187" ht="9" customHeight="1" x14ac:dyDescent="0.3"/>
    <row r="188" ht="9" customHeight="1" x14ac:dyDescent="0.3"/>
    <row r="189" ht="9" customHeight="1" x14ac:dyDescent="0.3"/>
    <row r="190" ht="9" customHeight="1" x14ac:dyDescent="0.3"/>
    <row r="191" ht="9" customHeight="1" x14ac:dyDescent="0.3"/>
    <row r="192" ht="9" customHeight="1" x14ac:dyDescent="0.3"/>
    <row r="193" ht="9" customHeight="1" x14ac:dyDescent="0.3"/>
    <row r="194" ht="9" customHeight="1" x14ac:dyDescent="0.3"/>
    <row r="195" ht="9" customHeight="1" x14ac:dyDescent="0.3"/>
    <row r="196" ht="9" customHeight="1" x14ac:dyDescent="0.3"/>
    <row r="197" ht="9" customHeight="1" x14ac:dyDescent="0.3"/>
    <row r="198" ht="9" customHeight="1" x14ac:dyDescent="0.3"/>
    <row r="199" ht="9" customHeight="1" x14ac:dyDescent="0.3"/>
    <row r="200" ht="9" customHeight="1" x14ac:dyDescent="0.3"/>
    <row r="201" ht="9" customHeight="1" x14ac:dyDescent="0.3"/>
    <row r="202" ht="9" customHeight="1" x14ac:dyDescent="0.3"/>
    <row r="203" ht="9" customHeight="1" x14ac:dyDescent="0.3"/>
    <row r="204" ht="9" customHeight="1" x14ac:dyDescent="0.3"/>
    <row r="205" ht="9" customHeight="1" x14ac:dyDescent="0.3"/>
    <row r="206" ht="9" customHeight="1" x14ac:dyDescent="0.3"/>
    <row r="207" ht="9" customHeight="1" x14ac:dyDescent="0.3"/>
    <row r="208" ht="9" customHeight="1" x14ac:dyDescent="0.3"/>
    <row r="209" ht="9" customHeight="1" x14ac:dyDescent="0.3"/>
    <row r="210" ht="9" customHeight="1" x14ac:dyDescent="0.3"/>
    <row r="211" ht="9" customHeight="1" x14ac:dyDescent="0.3"/>
    <row r="212" ht="9" customHeight="1" x14ac:dyDescent="0.3"/>
    <row r="213" ht="9" customHeight="1" x14ac:dyDescent="0.3"/>
    <row r="214" ht="9" customHeight="1" x14ac:dyDescent="0.3"/>
    <row r="215" ht="9" customHeight="1" x14ac:dyDescent="0.3"/>
    <row r="216" ht="9" customHeight="1" x14ac:dyDescent="0.3"/>
    <row r="217" ht="9" customHeight="1" x14ac:dyDescent="0.3"/>
    <row r="218" ht="9" customHeight="1" x14ac:dyDescent="0.3"/>
    <row r="219" ht="9" customHeight="1" x14ac:dyDescent="0.3"/>
    <row r="220" ht="9" customHeight="1" x14ac:dyDescent="0.3"/>
    <row r="221" ht="9" customHeight="1" x14ac:dyDescent="0.3"/>
    <row r="222" ht="9" customHeight="1" x14ac:dyDescent="0.3"/>
    <row r="223" ht="9" customHeight="1" x14ac:dyDescent="0.3"/>
    <row r="224" ht="9" customHeight="1" x14ac:dyDescent="0.3"/>
    <row r="225" ht="9" customHeight="1" x14ac:dyDescent="0.3"/>
    <row r="226" ht="9" customHeight="1" x14ac:dyDescent="0.3"/>
    <row r="227" ht="9" customHeight="1" x14ac:dyDescent="0.3"/>
    <row r="228" ht="9" customHeight="1" x14ac:dyDescent="0.3"/>
    <row r="229" ht="9" customHeight="1" x14ac:dyDescent="0.3"/>
    <row r="230" ht="9" customHeight="1" x14ac:dyDescent="0.3"/>
    <row r="231" ht="9" customHeight="1" x14ac:dyDescent="0.3"/>
    <row r="232" ht="9" customHeight="1" x14ac:dyDescent="0.3"/>
    <row r="233" ht="9" customHeight="1" x14ac:dyDescent="0.3"/>
    <row r="234" ht="9" customHeight="1" x14ac:dyDescent="0.3"/>
    <row r="235" ht="9" customHeight="1" x14ac:dyDescent="0.3"/>
    <row r="236" ht="9" customHeight="1" x14ac:dyDescent="0.3"/>
    <row r="237" ht="9" customHeight="1" x14ac:dyDescent="0.3"/>
    <row r="238" ht="9" customHeight="1" x14ac:dyDescent="0.3"/>
    <row r="239" ht="9" customHeight="1" x14ac:dyDescent="0.3"/>
    <row r="240" ht="9" customHeight="1" x14ac:dyDescent="0.3"/>
    <row r="241" ht="9" customHeight="1" x14ac:dyDescent="0.3"/>
    <row r="242" ht="9" customHeight="1" x14ac:dyDescent="0.3"/>
    <row r="243" ht="9" customHeight="1" x14ac:dyDescent="0.3"/>
    <row r="244" ht="9" customHeight="1" x14ac:dyDescent="0.3"/>
    <row r="245" ht="9" customHeight="1" x14ac:dyDescent="0.3"/>
    <row r="246" ht="9" customHeight="1" x14ac:dyDescent="0.3"/>
    <row r="247" ht="9" customHeight="1" x14ac:dyDescent="0.3"/>
    <row r="248" ht="9" customHeight="1" x14ac:dyDescent="0.3"/>
    <row r="249" ht="9" customHeight="1" x14ac:dyDescent="0.3"/>
    <row r="250" ht="9" customHeight="1" x14ac:dyDescent="0.3"/>
    <row r="251" ht="9" customHeight="1" x14ac:dyDescent="0.3"/>
    <row r="252" ht="9" customHeight="1" x14ac:dyDescent="0.3"/>
    <row r="253" ht="9" customHeight="1" x14ac:dyDescent="0.3"/>
    <row r="254" ht="9" customHeight="1" x14ac:dyDescent="0.3"/>
    <row r="255" ht="9" customHeight="1" x14ac:dyDescent="0.3"/>
    <row r="256" ht="9" customHeight="1" x14ac:dyDescent="0.3"/>
    <row r="257" ht="9" customHeight="1" x14ac:dyDescent="0.3"/>
    <row r="258" ht="9" customHeight="1" x14ac:dyDescent="0.3"/>
    <row r="259" ht="9" customHeight="1" x14ac:dyDescent="0.3"/>
    <row r="260" ht="9" customHeight="1" x14ac:dyDescent="0.3"/>
    <row r="261" ht="9" customHeight="1" x14ac:dyDescent="0.3"/>
    <row r="262" ht="9" customHeight="1" x14ac:dyDescent="0.3"/>
    <row r="263" ht="9" customHeight="1" x14ac:dyDescent="0.3"/>
    <row r="264" ht="9" customHeight="1" x14ac:dyDescent="0.3"/>
    <row r="265" ht="9" customHeight="1" x14ac:dyDescent="0.3"/>
    <row r="266" ht="9" customHeight="1" x14ac:dyDescent="0.3"/>
    <row r="267" ht="9" customHeight="1" x14ac:dyDescent="0.3"/>
    <row r="268" ht="9" customHeight="1" x14ac:dyDescent="0.3"/>
    <row r="269" ht="9" customHeight="1" x14ac:dyDescent="0.3"/>
    <row r="270" ht="9" customHeight="1" x14ac:dyDescent="0.3"/>
    <row r="271" ht="9" customHeight="1" x14ac:dyDescent="0.3"/>
    <row r="272" ht="9" customHeight="1" x14ac:dyDescent="0.3"/>
    <row r="273" ht="9" customHeight="1" x14ac:dyDescent="0.3"/>
    <row r="274" ht="9" customHeight="1" x14ac:dyDescent="0.3"/>
    <row r="275" ht="9" customHeight="1" x14ac:dyDescent="0.3"/>
    <row r="276" ht="9" customHeight="1" x14ac:dyDescent="0.3"/>
    <row r="277" ht="9" customHeight="1" x14ac:dyDescent="0.3"/>
    <row r="278" ht="9" customHeight="1" x14ac:dyDescent="0.3"/>
    <row r="279" ht="9" customHeight="1" x14ac:dyDescent="0.3"/>
    <row r="280" ht="9" customHeight="1" x14ac:dyDescent="0.3"/>
    <row r="281" ht="9" customHeight="1" x14ac:dyDescent="0.3"/>
    <row r="282" ht="9" customHeight="1" x14ac:dyDescent="0.3"/>
    <row r="283" ht="9" customHeight="1" x14ac:dyDescent="0.3"/>
    <row r="284" ht="9" customHeight="1" x14ac:dyDescent="0.3"/>
    <row r="285" ht="9" customHeight="1" x14ac:dyDescent="0.3"/>
    <row r="286" ht="9" customHeight="1" x14ac:dyDescent="0.3"/>
    <row r="287" ht="9" customHeight="1" x14ac:dyDescent="0.3"/>
    <row r="288" ht="9" customHeight="1" x14ac:dyDescent="0.3"/>
    <row r="289" ht="9" customHeight="1" x14ac:dyDescent="0.3"/>
    <row r="290" ht="9" customHeight="1" x14ac:dyDescent="0.3"/>
    <row r="291" ht="9" customHeight="1" x14ac:dyDescent="0.3"/>
    <row r="292" ht="9" customHeight="1" x14ac:dyDescent="0.3"/>
    <row r="293" ht="9" customHeight="1" x14ac:dyDescent="0.3"/>
    <row r="294" ht="9" customHeight="1" x14ac:dyDescent="0.3"/>
    <row r="295" ht="9" customHeight="1" x14ac:dyDescent="0.3"/>
    <row r="296" ht="9" customHeight="1" x14ac:dyDescent="0.3"/>
    <row r="297" ht="9" customHeight="1" x14ac:dyDescent="0.3"/>
    <row r="298" ht="9" customHeight="1" x14ac:dyDescent="0.3"/>
    <row r="299" ht="9" customHeight="1" x14ac:dyDescent="0.3"/>
    <row r="300" ht="9" customHeight="1" x14ac:dyDescent="0.3"/>
    <row r="301" ht="9" customHeight="1" x14ac:dyDescent="0.3"/>
    <row r="302" ht="9" customHeight="1" x14ac:dyDescent="0.3"/>
    <row r="303" ht="9" customHeight="1" x14ac:dyDescent="0.3"/>
    <row r="304" ht="9" customHeight="1" x14ac:dyDescent="0.3"/>
    <row r="305" ht="9" customHeight="1" x14ac:dyDescent="0.3"/>
    <row r="306" ht="9" customHeight="1" x14ac:dyDescent="0.3"/>
    <row r="307" ht="9" customHeight="1" x14ac:dyDescent="0.3"/>
    <row r="308" ht="9" customHeight="1" x14ac:dyDescent="0.3"/>
    <row r="309" ht="9" customHeight="1" x14ac:dyDescent="0.3"/>
    <row r="310" ht="9" customHeight="1" x14ac:dyDescent="0.3"/>
    <row r="311" ht="9" customHeight="1" x14ac:dyDescent="0.3"/>
    <row r="312" ht="9" customHeight="1" x14ac:dyDescent="0.3"/>
    <row r="313" ht="9" customHeight="1" x14ac:dyDescent="0.3"/>
    <row r="314" ht="9" customHeight="1" x14ac:dyDescent="0.3"/>
    <row r="315" ht="9" customHeight="1" x14ac:dyDescent="0.3"/>
    <row r="316" ht="9" customHeight="1" x14ac:dyDescent="0.3"/>
    <row r="317" ht="9" customHeight="1" x14ac:dyDescent="0.3"/>
    <row r="318" ht="9" customHeight="1" x14ac:dyDescent="0.3"/>
    <row r="319" ht="9" customHeight="1" x14ac:dyDescent="0.3"/>
  </sheetData>
  <mergeCells count="274">
    <mergeCell ref="B2:BN2"/>
    <mergeCell ref="B1:BN1"/>
    <mergeCell ref="B5:K5"/>
    <mergeCell ref="B15:K17"/>
    <mergeCell ref="S14:T14"/>
    <mergeCell ref="U14:V14"/>
    <mergeCell ref="S58:V58"/>
    <mergeCell ref="B96:R96"/>
    <mergeCell ref="S96:V96"/>
    <mergeCell ref="B6:K14"/>
    <mergeCell ref="S93:V93"/>
    <mergeCell ref="B92:R92"/>
    <mergeCell ref="S92:V92"/>
    <mergeCell ref="B48:K48"/>
    <mergeCell ref="M48:V48"/>
    <mergeCell ref="B47:D47"/>
    <mergeCell ref="E47:K47"/>
    <mergeCell ref="M47:O47"/>
    <mergeCell ref="P47:V47"/>
    <mergeCell ref="B33:D33"/>
    <mergeCell ref="B91:R91"/>
    <mergeCell ref="S91:V91"/>
    <mergeCell ref="B58:G58"/>
    <mergeCell ref="H58:K58"/>
    <mergeCell ref="M58:R58"/>
    <mergeCell ref="BK96:BN96"/>
    <mergeCell ref="AT95:BJ95"/>
    <mergeCell ref="X95:AN95"/>
    <mergeCell ref="AO95:AR95"/>
    <mergeCell ref="AT96:BJ96"/>
    <mergeCell ref="BK95:BN95"/>
    <mergeCell ref="X94:AN94"/>
    <mergeCell ref="AO94:AR94"/>
    <mergeCell ref="AT94:BJ94"/>
    <mergeCell ref="BK94:BN94"/>
    <mergeCell ref="X96:AR96"/>
    <mergeCell ref="X93:AN93"/>
    <mergeCell ref="AO93:AR93"/>
    <mergeCell ref="AT93:BJ93"/>
    <mergeCell ref="BK93:BN93"/>
    <mergeCell ref="X92:AN92"/>
    <mergeCell ref="AO92:AR92"/>
    <mergeCell ref="B95:R95"/>
    <mergeCell ref="S95:V95"/>
    <mergeCell ref="B94:R94"/>
    <mergeCell ref="S94:V94"/>
    <mergeCell ref="B93:R93"/>
    <mergeCell ref="BK92:BN92"/>
    <mergeCell ref="AT92:BJ92"/>
    <mergeCell ref="X91:AN91"/>
    <mergeCell ref="AO91:AR91"/>
    <mergeCell ref="AT91:BJ91"/>
    <mergeCell ref="BK91:BN91"/>
    <mergeCell ref="AT89:BJ89"/>
    <mergeCell ref="BK89:BN89"/>
    <mergeCell ref="B90:R90"/>
    <mergeCell ref="S90:V90"/>
    <mergeCell ref="X90:AN90"/>
    <mergeCell ref="AO90:AR90"/>
    <mergeCell ref="AT90:BJ90"/>
    <mergeCell ref="BK90:BN90"/>
    <mergeCell ref="B89:G89"/>
    <mergeCell ref="H89:K89"/>
    <mergeCell ref="M89:R89"/>
    <mergeCell ref="S89:V89"/>
    <mergeCell ref="X89:AN89"/>
    <mergeCell ref="AO89:AR89"/>
    <mergeCell ref="AT87:AY87"/>
    <mergeCell ref="AZ87:BC87"/>
    <mergeCell ref="BE87:BJ87"/>
    <mergeCell ref="BK87:BN87"/>
    <mergeCell ref="B87:G87"/>
    <mergeCell ref="H87:K87"/>
    <mergeCell ref="M87:R87"/>
    <mergeCell ref="S87:V87"/>
    <mergeCell ref="X87:AC87"/>
    <mergeCell ref="AD87:AG87"/>
    <mergeCell ref="AI87:AN87"/>
    <mergeCell ref="AO87:AR87"/>
    <mergeCell ref="BH75:BN75"/>
    <mergeCell ref="B76:K76"/>
    <mergeCell ref="M76:V76"/>
    <mergeCell ref="X76:AG76"/>
    <mergeCell ref="AI76:AR76"/>
    <mergeCell ref="AT76:BC76"/>
    <mergeCell ref="BE76:BN76"/>
    <mergeCell ref="AI86:AN86"/>
    <mergeCell ref="AO86:AR86"/>
    <mergeCell ref="AT86:AY86"/>
    <mergeCell ref="AZ86:BC86"/>
    <mergeCell ref="BE86:BJ86"/>
    <mergeCell ref="BK86:BN86"/>
    <mergeCell ref="B86:G86"/>
    <mergeCell ref="H86:K86"/>
    <mergeCell ref="M86:R86"/>
    <mergeCell ref="S86:V86"/>
    <mergeCell ref="X86:AC86"/>
    <mergeCell ref="AD86:AG86"/>
    <mergeCell ref="BL73:BN73"/>
    <mergeCell ref="B75:D75"/>
    <mergeCell ref="E75:K75"/>
    <mergeCell ref="M75:O75"/>
    <mergeCell ref="P75:V75"/>
    <mergeCell ref="X75:Z75"/>
    <mergeCell ref="AA75:AG75"/>
    <mergeCell ref="AI75:AK75"/>
    <mergeCell ref="AL75:AR75"/>
    <mergeCell ref="AT75:AV75"/>
    <mergeCell ref="AI73:AN73"/>
    <mergeCell ref="AO73:AR73"/>
    <mergeCell ref="AT73:AX73"/>
    <mergeCell ref="AY73:AZ73"/>
    <mergeCell ref="BA73:BC73"/>
    <mergeCell ref="BJ73:BK73"/>
    <mergeCell ref="B73:G73"/>
    <mergeCell ref="H73:K73"/>
    <mergeCell ref="M73:R73"/>
    <mergeCell ref="S73:V73"/>
    <mergeCell ref="X73:AC73"/>
    <mergeCell ref="AD73:AG73"/>
    <mergeCell ref="AW75:BC75"/>
    <mergeCell ref="BE75:BG75"/>
    <mergeCell ref="BE62:BN62"/>
    <mergeCell ref="AY71:AZ71"/>
    <mergeCell ref="BA71:BC71"/>
    <mergeCell ref="AT72:AX72"/>
    <mergeCell ref="AY72:AZ72"/>
    <mergeCell ref="BA72:BC72"/>
    <mergeCell ref="BJ72:BK72"/>
    <mergeCell ref="BL72:BN72"/>
    <mergeCell ref="B62:K62"/>
    <mergeCell ref="M62:V62"/>
    <mergeCell ref="X62:AG62"/>
    <mergeCell ref="AI62:AR62"/>
    <mergeCell ref="AT62:AV62"/>
    <mergeCell ref="AW62:BC62"/>
    <mergeCell ref="AI63:AR63"/>
    <mergeCell ref="AI61:AK61"/>
    <mergeCell ref="AL61:AR61"/>
    <mergeCell ref="AT61:AV61"/>
    <mergeCell ref="AW61:BC61"/>
    <mergeCell ref="BE61:BG61"/>
    <mergeCell ref="BH61:BN61"/>
    <mergeCell ref="B61:D61"/>
    <mergeCell ref="E61:K61"/>
    <mergeCell ref="M61:O61"/>
    <mergeCell ref="P61:V61"/>
    <mergeCell ref="X61:Z61"/>
    <mergeCell ref="AA61:AG61"/>
    <mergeCell ref="AI59:AN59"/>
    <mergeCell ref="AO59:AR59"/>
    <mergeCell ref="AT59:AY59"/>
    <mergeCell ref="AZ59:BC59"/>
    <mergeCell ref="BE59:BJ59"/>
    <mergeCell ref="BK59:BN59"/>
    <mergeCell ref="B59:G59"/>
    <mergeCell ref="H59:K59"/>
    <mergeCell ref="M59:R59"/>
    <mergeCell ref="S59:V59"/>
    <mergeCell ref="X59:AC59"/>
    <mergeCell ref="AD59:AG59"/>
    <mergeCell ref="X48:AG48"/>
    <mergeCell ref="AI48:AR48"/>
    <mergeCell ref="AT48:BC48"/>
    <mergeCell ref="BE48:BN48"/>
    <mergeCell ref="AI47:AK47"/>
    <mergeCell ref="AL47:AR47"/>
    <mergeCell ref="AT47:AV47"/>
    <mergeCell ref="AW47:BC47"/>
    <mergeCell ref="BE47:BG47"/>
    <mergeCell ref="BH47:BN47"/>
    <mergeCell ref="X47:Z47"/>
    <mergeCell ref="AA47:AG47"/>
    <mergeCell ref="AI45:AN45"/>
    <mergeCell ref="AO45:AR45"/>
    <mergeCell ref="AT45:AY45"/>
    <mergeCell ref="AZ45:BC45"/>
    <mergeCell ref="BE45:BJ45"/>
    <mergeCell ref="BK45:BN45"/>
    <mergeCell ref="B34:K34"/>
    <mergeCell ref="M34:V34"/>
    <mergeCell ref="X34:AG34"/>
    <mergeCell ref="AI34:AR34"/>
    <mergeCell ref="B45:G45"/>
    <mergeCell ref="H45:K45"/>
    <mergeCell ref="M45:R45"/>
    <mergeCell ref="S45:V45"/>
    <mergeCell ref="X45:AC45"/>
    <mergeCell ref="AD45:AG45"/>
    <mergeCell ref="B35:K35"/>
    <mergeCell ref="M35:V35"/>
    <mergeCell ref="BE34:BN34"/>
    <mergeCell ref="X44:AG44"/>
    <mergeCell ref="AI44:AR44"/>
    <mergeCell ref="AI35:AR35"/>
    <mergeCell ref="AI33:AK33"/>
    <mergeCell ref="AL33:AR33"/>
    <mergeCell ref="AT33:AV33"/>
    <mergeCell ref="AW33:BC33"/>
    <mergeCell ref="BE33:BG33"/>
    <mergeCell ref="BH33:BN33"/>
    <mergeCell ref="AT31:AY31"/>
    <mergeCell ref="AZ31:BC31"/>
    <mergeCell ref="BE31:BJ31"/>
    <mergeCell ref="BK31:BN31"/>
    <mergeCell ref="AI31:AN31"/>
    <mergeCell ref="AO31:AR31"/>
    <mergeCell ref="X33:Z33"/>
    <mergeCell ref="AA33:AG33"/>
    <mergeCell ref="M31:R31"/>
    <mergeCell ref="S31:V31"/>
    <mergeCell ref="X31:AC31"/>
    <mergeCell ref="AD31:AG31"/>
    <mergeCell ref="B19:K31"/>
    <mergeCell ref="M19:O19"/>
    <mergeCell ref="P19:V19"/>
    <mergeCell ref="X19:Z19"/>
    <mergeCell ref="AA19:AG19"/>
    <mergeCell ref="M21:V21"/>
    <mergeCell ref="X21:AG21"/>
    <mergeCell ref="M33:O33"/>
    <mergeCell ref="E33:K33"/>
    <mergeCell ref="P33:V33"/>
    <mergeCell ref="BE19:BG19"/>
    <mergeCell ref="BH19:BN19"/>
    <mergeCell ref="M20:V20"/>
    <mergeCell ref="X20:AG20"/>
    <mergeCell ref="AI20:AR20"/>
    <mergeCell ref="AT20:BC20"/>
    <mergeCell ref="BE20:BN20"/>
    <mergeCell ref="BK17:BN17"/>
    <mergeCell ref="AT17:AY17"/>
    <mergeCell ref="BE17:BJ17"/>
    <mergeCell ref="M17:R17"/>
    <mergeCell ref="X17:AC17"/>
    <mergeCell ref="AI17:AN17"/>
    <mergeCell ref="AI21:AR21"/>
    <mergeCell ref="AZ16:BC16"/>
    <mergeCell ref="AZ17:BC17"/>
    <mergeCell ref="AT16:AY16"/>
    <mergeCell ref="M16:R16"/>
    <mergeCell ref="S16:V16"/>
    <mergeCell ref="AD16:AE16"/>
    <mergeCell ref="AF16:AG16"/>
    <mergeCell ref="AO16:AP16"/>
    <mergeCell ref="AQ16:AR16"/>
    <mergeCell ref="S17:V17"/>
    <mergeCell ref="AD17:AG17"/>
    <mergeCell ref="AO17:AR17"/>
    <mergeCell ref="AI19:AK19"/>
    <mergeCell ref="AL19:AR19"/>
    <mergeCell ref="AT19:AV19"/>
    <mergeCell ref="AW19:BC19"/>
    <mergeCell ref="BH5:BN5"/>
    <mergeCell ref="B3:K3"/>
    <mergeCell ref="AZ15:BA15"/>
    <mergeCell ref="BB15:BC15"/>
    <mergeCell ref="M15:R15"/>
    <mergeCell ref="S15:V15"/>
    <mergeCell ref="M6:V6"/>
    <mergeCell ref="X6:AG6"/>
    <mergeCell ref="AI6:AR6"/>
    <mergeCell ref="AT6:BC6"/>
    <mergeCell ref="BE6:BN6"/>
    <mergeCell ref="M5:O5"/>
    <mergeCell ref="P5:V5"/>
    <mergeCell ref="X5:Z5"/>
    <mergeCell ref="AA5:AG5"/>
    <mergeCell ref="M3:BN3"/>
    <mergeCell ref="AI5:AK5"/>
    <mergeCell ref="AL5:AR5"/>
    <mergeCell ref="AT5:AV5"/>
    <mergeCell ref="AW5:BC5"/>
    <mergeCell ref="BE5:BG5"/>
  </mergeCells>
  <pageMargins left="0.23622047244094491" right="0.23622047244094491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BN264"/>
  <sheetViews>
    <sheetView showGridLines="0" view="pageBreakPreview" topLeftCell="A70" zoomScale="85" zoomScaleSheetLayoutView="85" workbookViewId="0">
      <selection activeCell="BV1" sqref="BV1"/>
    </sheetView>
  </sheetViews>
  <sheetFormatPr defaultColWidth="9.109375" defaultRowHeight="13.8" x14ac:dyDescent="0.3"/>
  <cols>
    <col min="1" max="1" width="0.33203125" style="71" customWidth="1"/>
    <col min="2" max="6" width="1.6640625" style="71" customWidth="1"/>
    <col min="7" max="7" width="6" style="71" customWidth="1"/>
    <col min="8" max="8" width="2.44140625" style="71" customWidth="1"/>
    <col min="9" max="10" width="1.6640625" style="71" customWidth="1"/>
    <col min="11" max="11" width="3" style="71" customWidth="1"/>
    <col min="12" max="12" width="0.33203125" style="71" customWidth="1"/>
    <col min="13" max="17" width="1.6640625" style="71" customWidth="1"/>
    <col min="18" max="18" width="5.109375" style="71" customWidth="1"/>
    <col min="19" max="19" width="2.33203125" style="71" customWidth="1"/>
    <col min="20" max="20" width="3.77734375" style="71" customWidth="1"/>
    <col min="21" max="21" width="2.77734375" style="71" customWidth="1"/>
    <col min="22" max="22" width="3.44140625" style="71" customWidth="1"/>
    <col min="23" max="23" width="0.33203125" style="71" customWidth="1"/>
    <col min="24" max="28" width="1.6640625" style="71" customWidth="1"/>
    <col min="29" max="29" width="5.6640625" style="71" customWidth="1"/>
    <col min="30" max="30" width="2.44140625" style="71" customWidth="1"/>
    <col min="31" max="32" width="1.6640625" style="71" customWidth="1"/>
    <col min="33" max="33" width="2.77734375" style="71" customWidth="1"/>
    <col min="34" max="34" width="0.33203125" style="71" customWidth="1"/>
    <col min="35" max="39" width="1.6640625" style="71" customWidth="1"/>
    <col min="40" max="40" width="6.6640625" style="71" customWidth="1"/>
    <col min="41" max="44" width="1.6640625" style="71" customWidth="1"/>
    <col min="45" max="45" width="0.33203125" style="71" customWidth="1"/>
    <col min="46" max="50" width="1.6640625" style="71" customWidth="1"/>
    <col min="51" max="51" width="5.44140625" style="71" customWidth="1"/>
    <col min="52" max="52" width="3.44140625" style="71" customWidth="1"/>
    <col min="53" max="53" width="1.6640625" style="71" customWidth="1"/>
    <col min="54" max="54" width="3.109375" style="71" customWidth="1"/>
    <col min="55" max="55" width="2.6640625" style="71" customWidth="1"/>
    <col min="56" max="56" width="0.33203125" style="71" customWidth="1"/>
    <col min="57" max="61" width="1.6640625" style="71" customWidth="1"/>
    <col min="62" max="62" width="4" style="71" customWidth="1"/>
    <col min="63" max="63" width="4.6640625" style="71" customWidth="1"/>
    <col min="64" max="64" width="3.109375" style="71" customWidth="1"/>
    <col min="65" max="65" width="5" style="71" customWidth="1"/>
    <col min="66" max="66" width="3" style="71" customWidth="1"/>
    <col min="67" max="67" width="0.33203125" style="2" customWidth="1"/>
    <col min="68" max="16384" width="9.109375" style="2"/>
  </cols>
  <sheetData>
    <row r="1" spans="1:66" ht="111" customHeight="1" x14ac:dyDescent="0.3">
      <c r="A1" s="108"/>
      <c r="B1" s="302" t="s">
        <v>839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4"/>
    </row>
    <row r="2" spans="1:66" ht="3" customHeight="1" x14ac:dyDescent="0.3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ht="18" customHeight="1" x14ac:dyDescent="0.3">
      <c r="B3" s="300">
        <v>1.4</v>
      </c>
      <c r="C3" s="301"/>
      <c r="D3" s="301"/>
      <c r="E3" s="301"/>
      <c r="F3" s="301"/>
      <c r="G3" s="301"/>
      <c r="H3" s="301"/>
      <c r="I3" s="301"/>
      <c r="J3" s="301"/>
      <c r="K3" s="301"/>
      <c r="L3" s="110"/>
      <c r="M3" s="298" t="s">
        <v>95</v>
      </c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298"/>
      <c r="BJ3" s="298"/>
      <c r="BK3" s="298"/>
      <c r="BL3" s="298"/>
      <c r="BM3" s="298"/>
      <c r="BN3" s="299"/>
    </row>
    <row r="4" spans="1:66" ht="1.5" customHeight="1" x14ac:dyDescent="0.3"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</row>
    <row r="5" spans="1:66" ht="9" customHeight="1" x14ac:dyDescent="0.3">
      <c r="B5" s="305" t="s">
        <v>50</v>
      </c>
      <c r="C5" s="306"/>
      <c r="D5" s="307"/>
      <c r="E5" s="308" t="s">
        <v>52</v>
      </c>
      <c r="F5" s="309"/>
      <c r="G5" s="309"/>
      <c r="H5" s="309"/>
      <c r="I5" s="309"/>
      <c r="J5" s="309"/>
      <c r="K5" s="310"/>
      <c r="L5" s="73"/>
      <c r="M5" s="305" t="s">
        <v>97</v>
      </c>
      <c r="N5" s="306"/>
      <c r="O5" s="307"/>
      <c r="P5" s="308" t="s">
        <v>52</v>
      </c>
      <c r="Q5" s="309"/>
      <c r="R5" s="309"/>
      <c r="S5" s="309"/>
      <c r="T5" s="309"/>
      <c r="U5" s="309"/>
      <c r="V5" s="310"/>
      <c r="W5" s="73"/>
      <c r="X5" s="305" t="s">
        <v>104</v>
      </c>
      <c r="Y5" s="306"/>
      <c r="Z5" s="307"/>
      <c r="AA5" s="308" t="s">
        <v>52</v>
      </c>
      <c r="AB5" s="309"/>
      <c r="AC5" s="309"/>
      <c r="AD5" s="309"/>
      <c r="AE5" s="309"/>
      <c r="AF5" s="309"/>
      <c r="AG5" s="310"/>
      <c r="AH5" s="74"/>
      <c r="AI5" s="305" t="s">
        <v>100</v>
      </c>
      <c r="AJ5" s="306"/>
      <c r="AK5" s="307"/>
      <c r="AL5" s="308" t="s">
        <v>52</v>
      </c>
      <c r="AM5" s="309"/>
      <c r="AN5" s="309"/>
      <c r="AO5" s="309"/>
      <c r="AP5" s="309"/>
      <c r="AQ5" s="309"/>
      <c r="AR5" s="310"/>
      <c r="AS5" s="74"/>
      <c r="AT5" s="305" t="s">
        <v>97</v>
      </c>
      <c r="AU5" s="306"/>
      <c r="AV5" s="307"/>
      <c r="AW5" s="308" t="s">
        <v>52</v>
      </c>
      <c r="AX5" s="309"/>
      <c r="AY5" s="309"/>
      <c r="AZ5" s="309"/>
      <c r="BA5" s="309"/>
      <c r="BB5" s="309"/>
      <c r="BC5" s="310"/>
      <c r="BD5" s="74"/>
      <c r="BE5" s="312" t="s">
        <v>100</v>
      </c>
      <c r="BF5" s="312"/>
      <c r="BG5" s="312"/>
      <c r="BH5" s="312"/>
      <c r="BI5" s="308" t="s">
        <v>52</v>
      </c>
      <c r="BJ5" s="309"/>
      <c r="BK5" s="309"/>
      <c r="BL5" s="309"/>
      <c r="BM5" s="309"/>
      <c r="BN5" s="311"/>
    </row>
    <row r="6" spans="1:66" ht="9" customHeight="1" x14ac:dyDescent="0.3">
      <c r="B6" s="305" t="s">
        <v>51</v>
      </c>
      <c r="C6" s="306"/>
      <c r="D6" s="307"/>
      <c r="E6" s="82"/>
      <c r="F6" s="74"/>
      <c r="G6" s="74"/>
      <c r="H6" s="74"/>
      <c r="I6" s="74"/>
      <c r="J6" s="74"/>
      <c r="K6" s="81"/>
      <c r="L6" s="73"/>
      <c r="M6" s="305" t="s">
        <v>98</v>
      </c>
      <c r="N6" s="306"/>
      <c r="O6" s="307"/>
      <c r="P6" s="315" t="s">
        <v>157</v>
      </c>
      <c r="Q6" s="316"/>
      <c r="R6" s="316"/>
      <c r="S6" s="316"/>
      <c r="T6" s="316"/>
      <c r="U6" s="316"/>
      <c r="V6" s="319"/>
      <c r="W6" s="73"/>
      <c r="X6" s="305" t="s">
        <v>105</v>
      </c>
      <c r="Y6" s="306"/>
      <c r="Z6" s="307"/>
      <c r="AA6" s="315" t="s">
        <v>99</v>
      </c>
      <c r="AB6" s="316"/>
      <c r="AC6" s="316"/>
      <c r="AD6" s="316"/>
      <c r="AE6" s="316"/>
      <c r="AF6" s="316"/>
      <c r="AG6" s="319"/>
      <c r="AH6" s="74"/>
      <c r="AI6" s="305" t="s">
        <v>101</v>
      </c>
      <c r="AJ6" s="306"/>
      <c r="AK6" s="307"/>
      <c r="AL6" s="315" t="s">
        <v>159</v>
      </c>
      <c r="AM6" s="316"/>
      <c r="AN6" s="316"/>
      <c r="AO6" s="316"/>
      <c r="AP6" s="316"/>
      <c r="AQ6" s="316"/>
      <c r="AR6" s="319"/>
      <c r="AS6" s="74"/>
      <c r="AT6" s="305" t="s">
        <v>98</v>
      </c>
      <c r="AU6" s="306"/>
      <c r="AV6" s="307"/>
      <c r="AW6" s="315" t="s">
        <v>102</v>
      </c>
      <c r="AX6" s="316"/>
      <c r="AY6" s="316"/>
      <c r="AZ6" s="316"/>
      <c r="BA6" s="316"/>
      <c r="BB6" s="316"/>
      <c r="BC6" s="319"/>
      <c r="BD6" s="74"/>
      <c r="BE6" s="313" t="s">
        <v>101</v>
      </c>
      <c r="BF6" s="313"/>
      <c r="BG6" s="313"/>
      <c r="BH6" s="314"/>
      <c r="BI6" s="315" t="s">
        <v>102</v>
      </c>
      <c r="BJ6" s="316"/>
      <c r="BK6" s="316"/>
      <c r="BL6" s="316"/>
      <c r="BM6" s="316"/>
      <c r="BN6" s="317"/>
    </row>
    <row r="7" spans="1:66" ht="9" customHeight="1" x14ac:dyDescent="0.3">
      <c r="B7" s="80"/>
      <c r="C7" s="74"/>
      <c r="D7" s="74"/>
      <c r="E7" s="74"/>
      <c r="F7" s="74"/>
      <c r="G7" s="74"/>
      <c r="H7" s="74"/>
      <c r="I7" s="74"/>
      <c r="J7" s="74"/>
      <c r="K7" s="81"/>
      <c r="L7" s="73"/>
      <c r="M7" s="80"/>
      <c r="N7" s="74"/>
      <c r="O7" s="74"/>
      <c r="P7" s="74"/>
      <c r="Q7" s="74"/>
      <c r="R7" s="74"/>
      <c r="S7" s="74"/>
      <c r="T7" s="74"/>
      <c r="U7" s="74"/>
      <c r="V7" s="81"/>
      <c r="W7" s="73"/>
      <c r="X7" s="80"/>
      <c r="Y7" s="74"/>
      <c r="Z7" s="74"/>
      <c r="AA7" s="74"/>
      <c r="AB7" s="74"/>
      <c r="AC7" s="74"/>
      <c r="AD7" s="74"/>
      <c r="AE7" s="74"/>
      <c r="AF7" s="74"/>
      <c r="AG7" s="81"/>
      <c r="AH7" s="74"/>
      <c r="AI7" s="80"/>
      <c r="AJ7" s="74"/>
      <c r="AK7" s="74"/>
      <c r="AL7" s="74"/>
      <c r="AM7" s="74"/>
      <c r="AN7" s="74"/>
      <c r="AO7" s="74"/>
      <c r="AP7" s="74"/>
      <c r="AQ7" s="74"/>
      <c r="AR7" s="81"/>
      <c r="AS7" s="74"/>
      <c r="AT7" s="318" t="s">
        <v>158</v>
      </c>
      <c r="AU7" s="316"/>
      <c r="AV7" s="316"/>
      <c r="AW7" s="316"/>
      <c r="AX7" s="316"/>
      <c r="AY7" s="316"/>
      <c r="AZ7" s="316"/>
      <c r="BA7" s="316"/>
      <c r="BB7" s="316"/>
      <c r="BC7" s="319"/>
      <c r="BD7" s="74"/>
      <c r="BE7" s="315" t="s">
        <v>159</v>
      </c>
      <c r="BF7" s="316"/>
      <c r="BG7" s="316"/>
      <c r="BH7" s="316"/>
      <c r="BI7" s="316"/>
      <c r="BJ7" s="316"/>
      <c r="BK7" s="316"/>
      <c r="BL7" s="316"/>
      <c r="BM7" s="316"/>
      <c r="BN7" s="317"/>
    </row>
    <row r="8" spans="1:66" ht="9" customHeight="1" x14ac:dyDescent="0.3">
      <c r="B8" s="78"/>
      <c r="C8" s="73"/>
      <c r="D8" s="73"/>
      <c r="E8" s="73"/>
      <c r="F8" s="73"/>
      <c r="G8" s="73"/>
      <c r="H8" s="73"/>
      <c r="I8" s="73"/>
      <c r="J8" s="73"/>
      <c r="K8" s="79"/>
      <c r="L8" s="73"/>
      <c r="M8" s="75"/>
      <c r="N8" s="76"/>
      <c r="O8" s="76"/>
      <c r="P8" s="76"/>
      <c r="Q8" s="76"/>
      <c r="R8" s="76"/>
      <c r="S8" s="76"/>
      <c r="T8" s="76"/>
      <c r="U8" s="76"/>
      <c r="V8" s="77"/>
      <c r="W8" s="73"/>
      <c r="X8" s="75"/>
      <c r="Y8" s="76"/>
      <c r="Z8" s="76"/>
      <c r="AA8" s="76"/>
      <c r="AB8" s="76"/>
      <c r="AC8" s="76"/>
      <c r="AD8" s="76"/>
      <c r="AE8" s="76"/>
      <c r="AF8" s="76"/>
      <c r="AG8" s="77"/>
      <c r="AH8" s="74"/>
      <c r="AI8" s="80"/>
      <c r="AJ8" s="74"/>
      <c r="AK8" s="74"/>
      <c r="AL8" s="74"/>
      <c r="AM8" s="74"/>
      <c r="AN8" s="74"/>
      <c r="AO8" s="74"/>
      <c r="AP8" s="74"/>
      <c r="AQ8" s="74"/>
      <c r="AR8" s="81"/>
      <c r="AS8" s="74"/>
      <c r="AT8" s="80"/>
      <c r="AU8" s="74"/>
      <c r="AV8" s="74"/>
      <c r="AW8" s="74"/>
      <c r="AX8" s="74"/>
      <c r="AY8" s="74"/>
      <c r="AZ8" s="74"/>
      <c r="BA8" s="74"/>
      <c r="BB8" s="74"/>
      <c r="BC8" s="81"/>
      <c r="BD8" s="74"/>
      <c r="BE8" s="80"/>
      <c r="BF8" s="74"/>
      <c r="BG8" s="74"/>
      <c r="BH8" s="74"/>
      <c r="BI8" s="74"/>
      <c r="BJ8" s="74"/>
      <c r="BK8" s="74"/>
      <c r="BL8" s="74"/>
      <c r="BM8" s="74"/>
      <c r="BN8" s="81"/>
    </row>
    <row r="9" spans="1:66" ht="9" customHeight="1" x14ac:dyDescent="0.3">
      <c r="B9" s="80"/>
      <c r="C9" s="74"/>
      <c r="D9" s="74"/>
      <c r="E9" s="74"/>
      <c r="F9" s="74"/>
      <c r="G9" s="74"/>
      <c r="H9" s="74"/>
      <c r="I9" s="74"/>
      <c r="J9" s="74"/>
      <c r="K9" s="81"/>
      <c r="L9" s="73"/>
      <c r="M9" s="80"/>
      <c r="N9" s="74"/>
      <c r="O9" s="74"/>
      <c r="P9" s="74"/>
      <c r="Q9" s="74"/>
      <c r="R9" s="74"/>
      <c r="S9" s="74"/>
      <c r="T9" s="74"/>
      <c r="U9" s="74"/>
      <c r="V9" s="81"/>
      <c r="W9" s="73"/>
      <c r="X9" s="80"/>
      <c r="Y9" s="74"/>
      <c r="Z9" s="74"/>
      <c r="AA9" s="74"/>
      <c r="AB9" s="74"/>
      <c r="AC9" s="74"/>
      <c r="AD9" s="74"/>
      <c r="AE9" s="74"/>
      <c r="AF9" s="74"/>
      <c r="AG9" s="81"/>
      <c r="AH9" s="74"/>
      <c r="AI9" s="80"/>
      <c r="AJ9" s="74"/>
      <c r="AK9" s="74"/>
      <c r="AL9" s="74"/>
      <c r="AM9" s="74"/>
      <c r="AN9" s="74"/>
      <c r="AO9" s="74"/>
      <c r="AP9" s="74"/>
      <c r="AQ9" s="74"/>
      <c r="AR9" s="81"/>
      <c r="AS9" s="74"/>
      <c r="AT9" s="80"/>
      <c r="AU9" s="74"/>
      <c r="AV9" s="74"/>
      <c r="AW9" s="74"/>
      <c r="AX9" s="74"/>
      <c r="AY9" s="74"/>
      <c r="AZ9" s="74"/>
      <c r="BA9" s="74"/>
      <c r="BB9" s="74"/>
      <c r="BC9" s="81"/>
      <c r="BD9" s="74"/>
      <c r="BE9" s="80"/>
      <c r="BF9" s="74"/>
      <c r="BG9" s="74"/>
      <c r="BH9" s="74"/>
      <c r="BI9" s="74"/>
      <c r="BJ9" s="74"/>
      <c r="BK9" s="74"/>
      <c r="BL9" s="74"/>
      <c r="BM9" s="74"/>
      <c r="BN9" s="81"/>
    </row>
    <row r="10" spans="1:66" ht="9" customHeight="1" x14ac:dyDescent="0.3">
      <c r="B10" s="80"/>
      <c r="C10" s="74"/>
      <c r="D10" s="74"/>
      <c r="E10" s="74"/>
      <c r="F10" s="74"/>
      <c r="G10" s="74"/>
      <c r="H10" s="74"/>
      <c r="I10" s="74"/>
      <c r="J10" s="74"/>
      <c r="K10" s="81"/>
      <c r="L10" s="73"/>
      <c r="M10" s="80"/>
      <c r="N10" s="74"/>
      <c r="O10" s="74"/>
      <c r="P10" s="74"/>
      <c r="Q10" s="74"/>
      <c r="R10" s="74"/>
      <c r="S10" s="74"/>
      <c r="T10" s="74"/>
      <c r="U10" s="74"/>
      <c r="V10" s="81"/>
      <c r="W10" s="73"/>
      <c r="X10" s="80"/>
      <c r="Y10" s="74"/>
      <c r="Z10" s="74"/>
      <c r="AA10" s="74"/>
      <c r="AB10" s="74"/>
      <c r="AC10" s="74"/>
      <c r="AD10" s="74"/>
      <c r="AE10" s="74"/>
      <c r="AF10" s="74"/>
      <c r="AG10" s="81"/>
      <c r="AH10" s="74"/>
      <c r="AI10" s="80"/>
      <c r="AJ10" s="74"/>
      <c r="AK10" s="74"/>
      <c r="AL10" s="74"/>
      <c r="AM10" s="74"/>
      <c r="AN10" s="74"/>
      <c r="AO10" s="74"/>
      <c r="AP10" s="74"/>
      <c r="AQ10" s="74"/>
      <c r="AR10" s="81"/>
      <c r="AS10" s="74"/>
      <c r="AT10" s="80"/>
      <c r="AU10" s="74"/>
      <c r="AV10" s="74"/>
      <c r="AW10" s="74"/>
      <c r="AX10" s="74"/>
      <c r="AY10" s="74"/>
      <c r="AZ10" s="74"/>
      <c r="BA10" s="74"/>
      <c r="BB10" s="74"/>
      <c r="BC10" s="81"/>
      <c r="BD10" s="74"/>
      <c r="BE10" s="80"/>
      <c r="BF10" s="74"/>
      <c r="BG10" s="74"/>
      <c r="BH10" s="74"/>
      <c r="BI10" s="74"/>
      <c r="BJ10" s="74"/>
      <c r="BK10" s="74"/>
      <c r="BL10" s="74"/>
      <c r="BM10" s="74"/>
      <c r="BN10" s="81"/>
    </row>
    <row r="11" spans="1:66" ht="9" customHeight="1" x14ac:dyDescent="0.3">
      <c r="B11" s="80"/>
      <c r="C11" s="74"/>
      <c r="D11" s="74"/>
      <c r="E11" s="74"/>
      <c r="F11" s="74"/>
      <c r="G11" s="74"/>
      <c r="H11" s="74"/>
      <c r="I11" s="74"/>
      <c r="J11" s="74"/>
      <c r="K11" s="81"/>
      <c r="L11" s="73"/>
      <c r="M11" s="80"/>
      <c r="N11" s="74"/>
      <c r="O11" s="74"/>
      <c r="P11" s="74"/>
      <c r="Q11" s="74"/>
      <c r="R11" s="74"/>
      <c r="S11" s="74"/>
      <c r="T11" s="74"/>
      <c r="U11" s="74"/>
      <c r="V11" s="81"/>
      <c r="W11" s="73"/>
      <c r="X11" s="80"/>
      <c r="Y11" s="74"/>
      <c r="Z11" s="74"/>
      <c r="AA11" s="74"/>
      <c r="AB11" s="74"/>
      <c r="AC11" s="74"/>
      <c r="AD11" s="74"/>
      <c r="AE11" s="74"/>
      <c r="AF11" s="74"/>
      <c r="AG11" s="81"/>
      <c r="AH11" s="74"/>
      <c r="AI11" s="80"/>
      <c r="AJ11" s="74"/>
      <c r="AK11" s="74"/>
      <c r="AL11" s="74"/>
      <c r="AM11" s="74"/>
      <c r="AN11" s="74"/>
      <c r="AO11" s="74"/>
      <c r="AP11" s="74"/>
      <c r="AQ11" s="74"/>
      <c r="AR11" s="81"/>
      <c r="AS11" s="74"/>
      <c r="AT11" s="80"/>
      <c r="AU11" s="74"/>
      <c r="AV11" s="74"/>
      <c r="AW11" s="74"/>
      <c r="AX11" s="74"/>
      <c r="AY11" s="74"/>
      <c r="AZ11" s="74"/>
      <c r="BA11" s="74"/>
      <c r="BB11" s="74"/>
      <c r="BC11" s="81"/>
      <c r="BD11" s="74"/>
      <c r="BE11" s="80"/>
      <c r="BF11" s="74"/>
      <c r="BG11" s="74"/>
      <c r="BH11" s="74"/>
      <c r="BI11" s="74"/>
      <c r="BJ11" s="74"/>
      <c r="BK11" s="74"/>
      <c r="BL11" s="74"/>
      <c r="BM11" s="74"/>
      <c r="BN11" s="81"/>
    </row>
    <row r="12" spans="1:66" ht="9" customHeight="1" x14ac:dyDescent="0.3">
      <c r="B12" s="80"/>
      <c r="C12" s="74"/>
      <c r="D12" s="74"/>
      <c r="E12" s="74"/>
      <c r="F12" s="74"/>
      <c r="G12" s="74"/>
      <c r="H12" s="74"/>
      <c r="I12" s="74"/>
      <c r="J12" s="74"/>
      <c r="K12" s="81"/>
      <c r="L12" s="73"/>
      <c r="M12" s="80"/>
      <c r="N12" s="74"/>
      <c r="O12" s="74"/>
      <c r="P12" s="74"/>
      <c r="Q12" s="74"/>
      <c r="R12" s="74"/>
      <c r="S12" s="74"/>
      <c r="T12" s="74"/>
      <c r="U12" s="74"/>
      <c r="V12" s="81"/>
      <c r="W12" s="73"/>
      <c r="X12" s="80"/>
      <c r="Y12" s="74"/>
      <c r="Z12" s="74"/>
      <c r="AA12" s="74"/>
      <c r="AB12" s="74"/>
      <c r="AC12" s="74"/>
      <c r="AD12" s="74"/>
      <c r="AE12" s="74"/>
      <c r="AF12" s="74"/>
      <c r="AG12" s="81"/>
      <c r="AH12" s="74"/>
      <c r="AI12" s="80"/>
      <c r="AJ12" s="74"/>
      <c r="AK12" s="74"/>
      <c r="AL12" s="74"/>
      <c r="AM12" s="74"/>
      <c r="AN12" s="74"/>
      <c r="AO12" s="74"/>
      <c r="AP12" s="74"/>
      <c r="AQ12" s="74"/>
      <c r="AR12" s="81"/>
      <c r="AS12" s="74"/>
      <c r="AT12" s="80"/>
      <c r="AU12" s="74"/>
      <c r="AV12" s="74"/>
      <c r="AW12" s="74"/>
      <c r="AX12" s="74"/>
      <c r="AY12" s="74"/>
      <c r="AZ12" s="74"/>
      <c r="BA12" s="74"/>
      <c r="BB12" s="74"/>
      <c r="BC12" s="81"/>
      <c r="BD12" s="74"/>
      <c r="BE12" s="80"/>
      <c r="BF12" s="74"/>
      <c r="BG12" s="74"/>
      <c r="BH12" s="74"/>
      <c r="BI12" s="74"/>
      <c r="BJ12" s="74"/>
      <c r="BK12" s="74"/>
      <c r="BL12" s="74"/>
      <c r="BM12" s="74"/>
      <c r="BN12" s="81"/>
    </row>
    <row r="13" spans="1:66" ht="9" customHeight="1" x14ac:dyDescent="0.3">
      <c r="B13" s="80"/>
      <c r="C13" s="74"/>
      <c r="D13" s="74"/>
      <c r="E13" s="74"/>
      <c r="F13" s="74"/>
      <c r="G13" s="74"/>
      <c r="H13" s="74"/>
      <c r="I13" s="74"/>
      <c r="J13" s="74"/>
      <c r="K13" s="81"/>
      <c r="L13" s="73"/>
      <c r="M13" s="80"/>
      <c r="N13" s="74"/>
      <c r="O13" s="74"/>
      <c r="P13" s="74"/>
      <c r="Q13" s="74"/>
      <c r="R13" s="74"/>
      <c r="S13" s="74"/>
      <c r="T13" s="74"/>
      <c r="U13" s="74"/>
      <c r="V13" s="81"/>
      <c r="W13" s="73"/>
      <c r="X13" s="80"/>
      <c r="Y13" s="74"/>
      <c r="Z13" s="74"/>
      <c r="AA13" s="74"/>
      <c r="AB13" s="74"/>
      <c r="AC13" s="74"/>
      <c r="AD13" s="74"/>
      <c r="AE13" s="74"/>
      <c r="AF13" s="74"/>
      <c r="AG13" s="81"/>
      <c r="AH13" s="74"/>
      <c r="AI13" s="80"/>
      <c r="AJ13" s="74"/>
      <c r="AK13" s="74"/>
      <c r="AL13" s="74"/>
      <c r="AM13" s="74"/>
      <c r="AN13" s="74"/>
      <c r="AO13" s="74"/>
      <c r="AP13" s="74"/>
      <c r="AQ13" s="74"/>
      <c r="AR13" s="81"/>
      <c r="AS13" s="74"/>
      <c r="AT13" s="80"/>
      <c r="AU13" s="74"/>
      <c r="AV13" s="74"/>
      <c r="AW13" s="74"/>
      <c r="AX13" s="74"/>
      <c r="AY13" s="74"/>
      <c r="AZ13" s="74"/>
      <c r="BA13" s="74"/>
      <c r="BB13" s="74"/>
      <c r="BC13" s="81"/>
      <c r="BD13" s="74"/>
      <c r="BE13" s="80"/>
      <c r="BF13" s="74"/>
      <c r="BG13" s="74"/>
      <c r="BH13" s="74"/>
      <c r="BI13" s="74"/>
      <c r="BJ13" s="74"/>
      <c r="BK13" s="74"/>
      <c r="BL13" s="74"/>
      <c r="BM13" s="74"/>
      <c r="BN13" s="81"/>
    </row>
    <row r="14" spans="1:66" ht="9" customHeight="1" x14ac:dyDescent="0.3">
      <c r="B14" s="80"/>
      <c r="C14" s="74"/>
      <c r="D14" s="74"/>
      <c r="E14" s="74"/>
      <c r="F14" s="74"/>
      <c r="G14" s="74"/>
      <c r="H14" s="74"/>
      <c r="I14" s="74"/>
      <c r="J14" s="74"/>
      <c r="K14" s="81"/>
      <c r="L14" s="73"/>
      <c r="M14" s="80"/>
      <c r="N14" s="74"/>
      <c r="O14" s="74"/>
      <c r="P14" s="74"/>
      <c r="Q14" s="74"/>
      <c r="R14" s="74"/>
      <c r="S14" s="74"/>
      <c r="T14" s="74"/>
      <c r="U14" s="74"/>
      <c r="V14" s="81"/>
      <c r="W14" s="73"/>
      <c r="X14" s="80"/>
      <c r="Y14" s="74"/>
      <c r="Z14" s="74"/>
      <c r="AA14" s="74"/>
      <c r="AB14" s="74"/>
      <c r="AC14" s="74"/>
      <c r="AD14" s="74"/>
      <c r="AE14" s="74"/>
      <c r="AF14" s="74"/>
      <c r="AG14" s="81"/>
      <c r="AH14" s="74"/>
      <c r="AI14" s="80"/>
      <c r="AJ14" s="74"/>
      <c r="AK14" s="74"/>
      <c r="AL14" s="74"/>
      <c r="AM14" s="74"/>
      <c r="AN14" s="74"/>
      <c r="AO14" s="74"/>
      <c r="AP14" s="74"/>
      <c r="AQ14" s="74"/>
      <c r="AR14" s="81"/>
      <c r="AS14" s="74"/>
      <c r="AT14" s="80"/>
      <c r="AU14" s="74"/>
      <c r="AV14" s="74"/>
      <c r="AW14" s="74"/>
      <c r="AX14" s="74"/>
      <c r="AY14" s="74"/>
      <c r="AZ14" s="74"/>
      <c r="BA14" s="74"/>
      <c r="BB14" s="74"/>
      <c r="BC14" s="81"/>
      <c r="BD14" s="74"/>
      <c r="BE14" s="80"/>
      <c r="BF14" s="74"/>
      <c r="BG14" s="74"/>
      <c r="BH14" s="74"/>
      <c r="BI14" s="74"/>
      <c r="BJ14" s="74"/>
      <c r="BK14" s="74"/>
      <c r="BL14" s="74"/>
      <c r="BM14" s="74"/>
      <c r="BN14" s="81"/>
    </row>
    <row r="15" spans="1:66" ht="9" customHeight="1" x14ac:dyDescent="0.3">
      <c r="B15" s="80"/>
      <c r="C15" s="74"/>
      <c r="D15" s="74"/>
      <c r="E15" s="74"/>
      <c r="F15" s="74"/>
      <c r="G15" s="74"/>
      <c r="H15" s="74"/>
      <c r="I15" s="74"/>
      <c r="J15" s="74"/>
      <c r="K15" s="81"/>
      <c r="L15" s="73"/>
      <c r="M15" s="80"/>
      <c r="N15" s="74"/>
      <c r="O15" s="74"/>
      <c r="P15" s="74"/>
      <c r="Q15" s="74"/>
      <c r="R15" s="74"/>
      <c r="S15" s="74"/>
      <c r="T15" s="74"/>
      <c r="U15" s="74"/>
      <c r="V15" s="81"/>
      <c r="W15" s="73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74"/>
      <c r="AT15" s="80"/>
      <c r="AU15" s="74"/>
      <c r="AV15" s="74"/>
      <c r="AW15" s="74"/>
      <c r="AX15" s="74"/>
      <c r="AY15" s="74"/>
      <c r="AZ15" s="74"/>
      <c r="BA15" s="74"/>
      <c r="BB15" s="74"/>
      <c r="BC15" s="81"/>
      <c r="BD15" s="74"/>
      <c r="BE15" s="80"/>
      <c r="BF15" s="74"/>
      <c r="BG15" s="74"/>
      <c r="BH15" s="74"/>
      <c r="BI15" s="74"/>
      <c r="BJ15" s="74"/>
      <c r="BK15" s="74"/>
      <c r="BL15" s="74"/>
      <c r="BM15" s="74"/>
      <c r="BN15" s="81"/>
    </row>
    <row r="16" spans="1:66" ht="9" customHeight="1" x14ac:dyDescent="0.3">
      <c r="B16" s="320" t="s">
        <v>787</v>
      </c>
      <c r="C16" s="321"/>
      <c r="D16" s="321"/>
      <c r="E16" s="321"/>
      <c r="F16" s="321"/>
      <c r="G16" s="321"/>
      <c r="H16" s="321"/>
      <c r="I16" s="321"/>
      <c r="J16" s="321"/>
      <c r="K16" s="322"/>
      <c r="L16" s="73"/>
      <c r="M16" s="320" t="s">
        <v>787</v>
      </c>
      <c r="N16" s="321"/>
      <c r="O16" s="321"/>
      <c r="P16" s="321"/>
      <c r="Q16" s="321"/>
      <c r="R16" s="321"/>
      <c r="S16" s="321"/>
      <c r="T16" s="321"/>
      <c r="U16" s="321"/>
      <c r="V16" s="322"/>
      <c r="W16" s="73"/>
      <c r="X16" s="320" t="s">
        <v>788</v>
      </c>
      <c r="Y16" s="321"/>
      <c r="Z16" s="321"/>
      <c r="AA16" s="321"/>
      <c r="AB16" s="321"/>
      <c r="AC16" s="321"/>
      <c r="AD16" s="321"/>
      <c r="AE16" s="321"/>
      <c r="AF16" s="321"/>
      <c r="AG16" s="322"/>
      <c r="AH16" s="74"/>
      <c r="AI16" s="320" t="s">
        <v>788</v>
      </c>
      <c r="AJ16" s="321"/>
      <c r="AK16" s="321"/>
      <c r="AL16" s="321"/>
      <c r="AM16" s="321"/>
      <c r="AN16" s="321"/>
      <c r="AO16" s="321"/>
      <c r="AP16" s="321"/>
      <c r="AQ16" s="321"/>
      <c r="AR16" s="322"/>
      <c r="AS16" s="74"/>
      <c r="AT16" s="320" t="s">
        <v>787</v>
      </c>
      <c r="AU16" s="321"/>
      <c r="AV16" s="321"/>
      <c r="AW16" s="321"/>
      <c r="AX16" s="321"/>
      <c r="AY16" s="321"/>
      <c r="AZ16" s="321"/>
      <c r="BA16" s="321"/>
      <c r="BB16" s="321"/>
      <c r="BC16" s="322"/>
      <c r="BD16" s="74"/>
      <c r="BE16" s="320" t="s">
        <v>788</v>
      </c>
      <c r="BF16" s="321"/>
      <c r="BG16" s="321"/>
      <c r="BH16" s="321"/>
      <c r="BI16" s="321"/>
      <c r="BJ16" s="321"/>
      <c r="BK16" s="321"/>
      <c r="BL16" s="321"/>
      <c r="BM16" s="321"/>
      <c r="BN16" s="322"/>
    </row>
    <row r="17" spans="1:66" s="5" customFormat="1" ht="9" customHeight="1" x14ac:dyDescent="0.3">
      <c r="A17" s="86"/>
      <c r="B17" s="323" t="s">
        <v>53</v>
      </c>
      <c r="C17" s="323"/>
      <c r="D17" s="323"/>
      <c r="E17" s="323"/>
      <c r="F17" s="323"/>
      <c r="G17" s="323"/>
      <c r="H17" s="324">
        <f>CEILING(1249*B3,1)</f>
        <v>1749</v>
      </c>
      <c r="I17" s="324"/>
      <c r="J17" s="324"/>
      <c r="K17" s="324"/>
      <c r="L17" s="83"/>
      <c r="M17" s="323" t="s">
        <v>53</v>
      </c>
      <c r="N17" s="323"/>
      <c r="O17" s="323"/>
      <c r="P17" s="323"/>
      <c r="Q17" s="323"/>
      <c r="R17" s="323"/>
      <c r="S17" s="324">
        <f>CEILING(1913*B3,1)</f>
        <v>2679</v>
      </c>
      <c r="T17" s="324"/>
      <c r="U17" s="324"/>
      <c r="V17" s="324"/>
      <c r="W17" s="83"/>
      <c r="X17" s="323" t="s">
        <v>53</v>
      </c>
      <c r="Y17" s="323"/>
      <c r="Z17" s="323"/>
      <c r="AA17" s="323"/>
      <c r="AB17" s="323"/>
      <c r="AC17" s="323"/>
      <c r="AD17" s="324">
        <f>CEILING(1322*B3,1)</f>
        <v>1851</v>
      </c>
      <c r="AE17" s="324"/>
      <c r="AF17" s="324"/>
      <c r="AG17" s="324"/>
      <c r="AH17" s="85"/>
      <c r="AI17" s="323" t="s">
        <v>53</v>
      </c>
      <c r="AJ17" s="323"/>
      <c r="AK17" s="323"/>
      <c r="AL17" s="323"/>
      <c r="AM17" s="323"/>
      <c r="AN17" s="323"/>
      <c r="AO17" s="324">
        <f>CEILING(1986*B3,1)</f>
        <v>2781</v>
      </c>
      <c r="AP17" s="324"/>
      <c r="AQ17" s="324"/>
      <c r="AR17" s="324"/>
      <c r="AS17" s="85"/>
      <c r="AT17" s="323" t="s">
        <v>53</v>
      </c>
      <c r="AU17" s="323"/>
      <c r="AV17" s="323"/>
      <c r="AW17" s="323"/>
      <c r="AX17" s="323"/>
      <c r="AY17" s="323"/>
      <c r="AZ17" s="324">
        <f>CEILING(2113*B3,1)</f>
        <v>2959</v>
      </c>
      <c r="BA17" s="324"/>
      <c r="BB17" s="324"/>
      <c r="BC17" s="324"/>
      <c r="BD17" s="85"/>
      <c r="BE17" s="323" t="s">
        <v>53</v>
      </c>
      <c r="BF17" s="323"/>
      <c r="BG17" s="323"/>
      <c r="BH17" s="323"/>
      <c r="BI17" s="323"/>
      <c r="BJ17" s="323"/>
      <c r="BK17" s="324">
        <f>CEILING(2192*B3,1)</f>
        <v>3069</v>
      </c>
      <c r="BL17" s="324"/>
      <c r="BM17" s="324"/>
      <c r="BN17" s="324"/>
    </row>
    <row r="18" spans="1:66" s="5" customFormat="1" ht="9" customHeight="1" x14ac:dyDescent="0.3">
      <c r="A18" s="86"/>
      <c r="B18" s="323" t="s">
        <v>54</v>
      </c>
      <c r="C18" s="323"/>
      <c r="D18" s="323"/>
      <c r="E18" s="323"/>
      <c r="F18" s="323"/>
      <c r="G18" s="323"/>
      <c r="H18" s="324">
        <f>CEILING(1678*B3,1)</f>
        <v>2350</v>
      </c>
      <c r="I18" s="324"/>
      <c r="J18" s="324"/>
      <c r="K18" s="324"/>
      <c r="L18" s="83"/>
      <c r="M18" s="323" t="s">
        <v>54</v>
      </c>
      <c r="N18" s="323"/>
      <c r="O18" s="323"/>
      <c r="P18" s="323"/>
      <c r="Q18" s="323"/>
      <c r="R18" s="323"/>
      <c r="S18" s="324">
        <f>CEILING(2345*B3,1)</f>
        <v>3283</v>
      </c>
      <c r="T18" s="324"/>
      <c r="U18" s="324"/>
      <c r="V18" s="324"/>
      <c r="W18" s="83"/>
      <c r="X18" s="323" t="s">
        <v>54</v>
      </c>
      <c r="Y18" s="323"/>
      <c r="Z18" s="323"/>
      <c r="AA18" s="323"/>
      <c r="AB18" s="323"/>
      <c r="AC18" s="323"/>
      <c r="AD18" s="324">
        <f>CEILING(1776*B3,1)</f>
        <v>2487</v>
      </c>
      <c r="AE18" s="324"/>
      <c r="AF18" s="324"/>
      <c r="AG18" s="324"/>
      <c r="AH18" s="85"/>
      <c r="AI18" s="323" t="s">
        <v>54</v>
      </c>
      <c r="AJ18" s="323"/>
      <c r="AK18" s="323"/>
      <c r="AL18" s="323"/>
      <c r="AM18" s="323"/>
      <c r="AN18" s="323"/>
      <c r="AO18" s="324">
        <f>CEILING(2442*B3,1)</f>
        <v>3419</v>
      </c>
      <c r="AP18" s="324"/>
      <c r="AQ18" s="324"/>
      <c r="AR18" s="324"/>
      <c r="AS18" s="85"/>
      <c r="AT18" s="323" t="s">
        <v>54</v>
      </c>
      <c r="AU18" s="323"/>
      <c r="AV18" s="323"/>
      <c r="AW18" s="323"/>
      <c r="AX18" s="323"/>
      <c r="AY18" s="323"/>
      <c r="AZ18" s="324">
        <f>CEILING(2564*B3,1)</f>
        <v>3590</v>
      </c>
      <c r="BA18" s="324"/>
      <c r="BB18" s="324"/>
      <c r="BC18" s="324"/>
      <c r="BD18" s="85"/>
      <c r="BE18" s="323" t="s">
        <v>54</v>
      </c>
      <c r="BF18" s="323"/>
      <c r="BG18" s="323"/>
      <c r="BH18" s="323"/>
      <c r="BI18" s="323"/>
      <c r="BJ18" s="323"/>
      <c r="BK18" s="324">
        <f>CEILING(2682*B3,1)</f>
        <v>3755</v>
      </c>
      <c r="BL18" s="324"/>
      <c r="BM18" s="324"/>
      <c r="BN18" s="324"/>
    </row>
    <row r="19" spans="1:66" ht="1.95" customHeight="1" x14ac:dyDescent="0.3"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</row>
    <row r="20" spans="1:66" ht="9" customHeight="1" x14ac:dyDescent="0.3">
      <c r="B20" s="305" t="s">
        <v>55</v>
      </c>
      <c r="C20" s="306"/>
      <c r="D20" s="307"/>
      <c r="E20" s="308" t="s">
        <v>588</v>
      </c>
      <c r="F20" s="309"/>
      <c r="G20" s="309"/>
      <c r="H20" s="309"/>
      <c r="I20" s="309"/>
      <c r="J20" s="309"/>
      <c r="K20" s="310"/>
      <c r="L20" s="73"/>
      <c r="M20" s="305" t="s">
        <v>56</v>
      </c>
      <c r="N20" s="306"/>
      <c r="O20" s="307"/>
      <c r="P20" s="308" t="s">
        <v>588</v>
      </c>
      <c r="Q20" s="309"/>
      <c r="R20" s="309"/>
      <c r="S20" s="309"/>
      <c r="T20" s="309"/>
      <c r="U20" s="309"/>
      <c r="V20" s="310"/>
      <c r="W20" s="73"/>
      <c r="X20" s="305" t="s">
        <v>106</v>
      </c>
      <c r="Y20" s="306"/>
      <c r="Z20" s="307"/>
      <c r="AA20" s="308" t="s">
        <v>588</v>
      </c>
      <c r="AB20" s="309"/>
      <c r="AC20" s="309"/>
      <c r="AD20" s="309"/>
      <c r="AE20" s="309"/>
      <c r="AF20" s="309"/>
      <c r="AG20" s="310"/>
      <c r="AH20" s="74"/>
      <c r="AI20" s="305" t="s">
        <v>114</v>
      </c>
      <c r="AJ20" s="306"/>
      <c r="AK20" s="307"/>
      <c r="AL20" s="308" t="s">
        <v>588</v>
      </c>
      <c r="AM20" s="309"/>
      <c r="AN20" s="309"/>
      <c r="AO20" s="309"/>
      <c r="AP20" s="309"/>
      <c r="AQ20" s="309"/>
      <c r="AR20" s="310"/>
      <c r="AS20" s="74"/>
      <c r="AT20" s="305" t="s">
        <v>108</v>
      </c>
      <c r="AU20" s="306"/>
      <c r="AV20" s="307"/>
      <c r="AW20" s="308" t="s">
        <v>107</v>
      </c>
      <c r="AX20" s="309"/>
      <c r="AY20" s="309"/>
      <c r="AZ20" s="309"/>
      <c r="BA20" s="309"/>
      <c r="BB20" s="309"/>
      <c r="BC20" s="310"/>
      <c r="BD20" s="74"/>
      <c r="BE20" s="305" t="s">
        <v>109</v>
      </c>
      <c r="BF20" s="306"/>
      <c r="BG20" s="307"/>
      <c r="BH20" s="308" t="s">
        <v>107</v>
      </c>
      <c r="BI20" s="309"/>
      <c r="BJ20" s="309"/>
      <c r="BK20" s="309"/>
      <c r="BL20" s="309"/>
      <c r="BM20" s="309"/>
      <c r="BN20" s="310"/>
    </row>
    <row r="21" spans="1:66" ht="9" customHeight="1" x14ac:dyDescent="0.3">
      <c r="B21" s="318" t="s">
        <v>587</v>
      </c>
      <c r="C21" s="316"/>
      <c r="D21" s="316"/>
      <c r="E21" s="316"/>
      <c r="F21" s="316"/>
      <c r="G21" s="316"/>
      <c r="H21" s="316"/>
      <c r="I21" s="316"/>
      <c r="J21" s="316"/>
      <c r="K21" s="319"/>
      <c r="L21" s="74"/>
      <c r="M21" s="318" t="s">
        <v>587</v>
      </c>
      <c r="N21" s="316"/>
      <c r="O21" s="316"/>
      <c r="P21" s="316"/>
      <c r="Q21" s="316"/>
      <c r="R21" s="316"/>
      <c r="S21" s="316"/>
      <c r="T21" s="316"/>
      <c r="U21" s="316"/>
      <c r="V21" s="319"/>
      <c r="W21" s="74"/>
      <c r="X21" s="318" t="s">
        <v>589</v>
      </c>
      <c r="Y21" s="316"/>
      <c r="Z21" s="316"/>
      <c r="AA21" s="316"/>
      <c r="AB21" s="316"/>
      <c r="AC21" s="316"/>
      <c r="AD21" s="316"/>
      <c r="AE21" s="316"/>
      <c r="AF21" s="316"/>
      <c r="AG21" s="319"/>
      <c r="AH21" s="74"/>
      <c r="AI21" s="318" t="s">
        <v>589</v>
      </c>
      <c r="AJ21" s="316"/>
      <c r="AK21" s="316"/>
      <c r="AL21" s="316"/>
      <c r="AM21" s="316"/>
      <c r="AN21" s="316"/>
      <c r="AO21" s="316"/>
      <c r="AP21" s="316"/>
      <c r="AQ21" s="316"/>
      <c r="AR21" s="319"/>
      <c r="AS21" s="74"/>
      <c r="AT21" s="80"/>
      <c r="AU21" s="74"/>
      <c r="AV21" s="74"/>
      <c r="AW21" s="74"/>
      <c r="AX21" s="74"/>
      <c r="AY21" s="74"/>
      <c r="AZ21" s="74"/>
      <c r="BA21" s="74"/>
      <c r="BB21" s="74"/>
      <c r="BC21" s="81"/>
      <c r="BD21" s="74"/>
      <c r="BE21" s="318" t="s">
        <v>160</v>
      </c>
      <c r="BF21" s="316"/>
      <c r="BG21" s="316"/>
      <c r="BH21" s="316"/>
      <c r="BI21" s="316"/>
      <c r="BJ21" s="316"/>
      <c r="BK21" s="316"/>
      <c r="BL21" s="316"/>
      <c r="BM21" s="316"/>
      <c r="BN21" s="319"/>
    </row>
    <row r="22" spans="1:66" ht="9" customHeight="1" x14ac:dyDescent="0.3">
      <c r="B22" s="80"/>
      <c r="C22" s="74"/>
      <c r="D22" s="74"/>
      <c r="E22" s="74"/>
      <c r="F22" s="74"/>
      <c r="G22" s="74"/>
      <c r="H22" s="74"/>
      <c r="I22" s="74"/>
      <c r="J22" s="74"/>
      <c r="K22" s="81"/>
      <c r="L22" s="74"/>
      <c r="M22" s="80"/>
      <c r="N22" s="74"/>
      <c r="O22" s="74"/>
      <c r="P22" s="74"/>
      <c r="Q22" s="74"/>
      <c r="R22" s="74"/>
      <c r="S22" s="74"/>
      <c r="T22" s="74"/>
      <c r="U22" s="74"/>
      <c r="V22" s="81"/>
      <c r="W22" s="74"/>
      <c r="X22" s="80"/>
      <c r="Y22" s="74"/>
      <c r="Z22" s="74"/>
      <c r="AA22" s="74"/>
      <c r="AB22" s="74"/>
      <c r="AC22" s="74"/>
      <c r="AD22" s="74"/>
      <c r="AE22" s="74"/>
      <c r="AF22" s="74"/>
      <c r="AG22" s="81"/>
      <c r="AH22" s="74"/>
      <c r="AI22" s="80"/>
      <c r="AJ22" s="74"/>
      <c r="AK22" s="74"/>
      <c r="AL22" s="74"/>
      <c r="AM22" s="74"/>
      <c r="AN22" s="74"/>
      <c r="AO22" s="74"/>
      <c r="AP22" s="74"/>
      <c r="AQ22" s="74"/>
      <c r="AR22" s="81"/>
      <c r="AS22" s="74"/>
      <c r="AT22" s="80"/>
      <c r="AU22" s="74"/>
      <c r="AV22" s="74"/>
      <c r="AW22" s="74"/>
      <c r="AX22" s="74"/>
      <c r="AY22" s="74"/>
      <c r="AZ22" s="74"/>
      <c r="BA22" s="74"/>
      <c r="BB22" s="74"/>
      <c r="BC22" s="81"/>
      <c r="BD22" s="74"/>
      <c r="BE22" s="80"/>
      <c r="BF22" s="74"/>
      <c r="BG22" s="74"/>
      <c r="BH22" s="74"/>
      <c r="BI22" s="74"/>
      <c r="BJ22" s="74"/>
      <c r="BK22" s="74"/>
      <c r="BL22" s="74"/>
      <c r="BM22" s="74"/>
      <c r="BN22" s="81"/>
    </row>
    <row r="23" spans="1:66" ht="9" customHeight="1" x14ac:dyDescent="0.3">
      <c r="B23" s="80"/>
      <c r="C23" s="74"/>
      <c r="D23" s="74"/>
      <c r="E23" s="74"/>
      <c r="F23" s="74"/>
      <c r="G23" s="74"/>
      <c r="H23" s="74"/>
      <c r="I23" s="74"/>
      <c r="J23" s="74"/>
      <c r="K23" s="81"/>
      <c r="L23" s="74"/>
      <c r="M23" s="80"/>
      <c r="N23" s="74"/>
      <c r="O23" s="74"/>
      <c r="P23" s="74"/>
      <c r="Q23" s="74"/>
      <c r="R23" s="74"/>
      <c r="S23" s="74"/>
      <c r="T23" s="74"/>
      <c r="U23" s="74"/>
      <c r="V23" s="81"/>
      <c r="W23" s="74"/>
      <c r="X23" s="80"/>
      <c r="Y23" s="74"/>
      <c r="Z23" s="74"/>
      <c r="AA23" s="74"/>
      <c r="AB23" s="74"/>
      <c r="AC23" s="74"/>
      <c r="AD23" s="74"/>
      <c r="AE23" s="74"/>
      <c r="AF23" s="74"/>
      <c r="AG23" s="81"/>
      <c r="AH23" s="74"/>
      <c r="AI23" s="80"/>
      <c r="AJ23" s="74"/>
      <c r="AK23" s="74"/>
      <c r="AL23" s="74"/>
      <c r="AM23" s="74"/>
      <c r="AN23" s="74"/>
      <c r="AO23" s="74"/>
      <c r="AP23" s="74"/>
      <c r="AQ23" s="74"/>
      <c r="AR23" s="81"/>
      <c r="AS23" s="74"/>
      <c r="AT23" s="80"/>
      <c r="AU23" s="74"/>
      <c r="AV23" s="74"/>
      <c r="AW23" s="74"/>
      <c r="AX23" s="74"/>
      <c r="AY23" s="74"/>
      <c r="AZ23" s="74"/>
      <c r="BA23" s="74"/>
      <c r="BB23" s="74"/>
      <c r="BC23" s="81"/>
      <c r="BD23" s="74"/>
      <c r="BE23" s="80"/>
      <c r="BF23" s="74"/>
      <c r="BG23" s="74"/>
      <c r="BH23" s="74"/>
      <c r="BI23" s="74"/>
      <c r="BJ23" s="74"/>
      <c r="BK23" s="74"/>
      <c r="BL23" s="74"/>
      <c r="BM23" s="74"/>
      <c r="BN23" s="81"/>
    </row>
    <row r="24" spans="1:66" ht="9" customHeight="1" x14ac:dyDescent="0.3">
      <c r="B24" s="80"/>
      <c r="C24" s="74"/>
      <c r="D24" s="74"/>
      <c r="E24" s="74"/>
      <c r="F24" s="74"/>
      <c r="G24" s="74"/>
      <c r="H24" s="74"/>
      <c r="I24" s="74"/>
      <c r="J24" s="74"/>
      <c r="K24" s="81"/>
      <c r="L24" s="74"/>
      <c r="M24" s="80"/>
      <c r="N24" s="74"/>
      <c r="O24" s="74"/>
      <c r="P24" s="74"/>
      <c r="Q24" s="74"/>
      <c r="R24" s="74"/>
      <c r="S24" s="74"/>
      <c r="T24" s="74"/>
      <c r="U24" s="74"/>
      <c r="V24" s="81"/>
      <c r="W24" s="74"/>
      <c r="X24" s="80"/>
      <c r="Y24" s="74"/>
      <c r="Z24" s="74"/>
      <c r="AA24" s="74"/>
      <c r="AB24" s="74"/>
      <c r="AC24" s="74"/>
      <c r="AD24" s="74"/>
      <c r="AE24" s="74"/>
      <c r="AF24" s="74"/>
      <c r="AG24" s="81"/>
      <c r="AH24" s="74"/>
      <c r="AI24" s="80"/>
      <c r="AJ24" s="74"/>
      <c r="AK24" s="74"/>
      <c r="AL24" s="74"/>
      <c r="AM24" s="74"/>
      <c r="AN24" s="74"/>
      <c r="AO24" s="74"/>
      <c r="AP24" s="74"/>
      <c r="AQ24" s="74"/>
      <c r="AR24" s="81"/>
      <c r="AS24" s="74"/>
      <c r="AT24" s="80"/>
      <c r="AU24" s="74"/>
      <c r="AV24" s="74"/>
      <c r="AW24" s="74"/>
      <c r="AX24" s="74"/>
      <c r="AY24" s="74"/>
      <c r="AZ24" s="74"/>
      <c r="BA24" s="74"/>
      <c r="BB24" s="74"/>
      <c r="BC24" s="81"/>
      <c r="BD24" s="74"/>
      <c r="BE24" s="80"/>
      <c r="BF24" s="74"/>
      <c r="BG24" s="74"/>
      <c r="BH24" s="74"/>
      <c r="BI24" s="74"/>
      <c r="BJ24" s="74"/>
      <c r="BK24" s="74"/>
      <c r="BL24" s="74"/>
      <c r="BM24" s="74"/>
      <c r="BN24" s="81"/>
    </row>
    <row r="25" spans="1:66" ht="9" customHeight="1" x14ac:dyDescent="0.3">
      <c r="B25" s="80"/>
      <c r="C25" s="74"/>
      <c r="D25" s="74"/>
      <c r="E25" s="74"/>
      <c r="F25" s="74"/>
      <c r="G25" s="74"/>
      <c r="H25" s="74"/>
      <c r="I25" s="74"/>
      <c r="J25" s="74"/>
      <c r="K25" s="81"/>
      <c r="L25" s="74"/>
      <c r="M25" s="80"/>
      <c r="N25" s="74"/>
      <c r="O25" s="74"/>
      <c r="P25" s="74"/>
      <c r="Q25" s="74"/>
      <c r="R25" s="74"/>
      <c r="S25" s="74"/>
      <c r="T25" s="74"/>
      <c r="U25" s="74"/>
      <c r="V25" s="81"/>
      <c r="W25" s="74"/>
      <c r="X25" s="80"/>
      <c r="Y25" s="74"/>
      <c r="Z25" s="74"/>
      <c r="AA25" s="74"/>
      <c r="AB25" s="74"/>
      <c r="AC25" s="74"/>
      <c r="AD25" s="74"/>
      <c r="AE25" s="74"/>
      <c r="AF25" s="74"/>
      <c r="AG25" s="81"/>
      <c r="AH25" s="74"/>
      <c r="AI25" s="80"/>
      <c r="AJ25" s="74"/>
      <c r="AK25" s="74"/>
      <c r="AL25" s="74"/>
      <c r="AM25" s="74"/>
      <c r="AN25" s="74"/>
      <c r="AO25" s="74"/>
      <c r="AP25" s="74"/>
      <c r="AQ25" s="74"/>
      <c r="AR25" s="81"/>
      <c r="AS25" s="74"/>
      <c r="AT25" s="80"/>
      <c r="AU25" s="74"/>
      <c r="AV25" s="74"/>
      <c r="AW25" s="74"/>
      <c r="AX25" s="74"/>
      <c r="AY25" s="74"/>
      <c r="AZ25" s="74"/>
      <c r="BA25" s="74"/>
      <c r="BB25" s="74"/>
      <c r="BC25" s="81"/>
      <c r="BD25" s="74"/>
      <c r="BE25" s="80"/>
      <c r="BF25" s="74"/>
      <c r="BG25" s="74"/>
      <c r="BH25" s="74"/>
      <c r="BI25" s="74"/>
      <c r="BJ25" s="74"/>
      <c r="BK25" s="74"/>
      <c r="BL25" s="74"/>
      <c r="BM25" s="74"/>
      <c r="BN25" s="81"/>
    </row>
    <row r="26" spans="1:66" ht="9" customHeight="1" x14ac:dyDescent="0.3">
      <c r="B26" s="80"/>
      <c r="C26" s="74"/>
      <c r="D26" s="74"/>
      <c r="E26" s="74"/>
      <c r="F26" s="74"/>
      <c r="G26" s="74"/>
      <c r="H26" s="74"/>
      <c r="I26" s="74"/>
      <c r="J26" s="74"/>
      <c r="K26" s="81"/>
      <c r="L26" s="74"/>
      <c r="M26" s="80"/>
      <c r="N26" s="74"/>
      <c r="O26" s="74"/>
      <c r="P26" s="74"/>
      <c r="Q26" s="74"/>
      <c r="R26" s="74"/>
      <c r="S26" s="74"/>
      <c r="T26" s="74"/>
      <c r="U26" s="74"/>
      <c r="V26" s="81"/>
      <c r="W26" s="74"/>
      <c r="X26" s="80"/>
      <c r="Y26" s="74"/>
      <c r="Z26" s="74"/>
      <c r="AA26" s="74"/>
      <c r="AB26" s="74"/>
      <c r="AC26" s="74"/>
      <c r="AD26" s="74"/>
      <c r="AE26" s="74"/>
      <c r="AF26" s="74"/>
      <c r="AG26" s="81"/>
      <c r="AH26" s="74"/>
      <c r="AI26" s="80"/>
      <c r="AJ26" s="74"/>
      <c r="AK26" s="74"/>
      <c r="AL26" s="74"/>
      <c r="AM26" s="74"/>
      <c r="AN26" s="74"/>
      <c r="AO26" s="74"/>
      <c r="AP26" s="74"/>
      <c r="AQ26" s="74"/>
      <c r="AR26" s="81"/>
      <c r="AS26" s="74"/>
      <c r="AT26" s="80"/>
      <c r="AU26" s="74"/>
      <c r="AV26" s="74"/>
      <c r="AW26" s="74"/>
      <c r="AX26" s="74"/>
      <c r="AY26" s="74"/>
      <c r="AZ26" s="74"/>
      <c r="BA26" s="74"/>
      <c r="BB26" s="74"/>
      <c r="BC26" s="81"/>
      <c r="BD26" s="74"/>
      <c r="BE26" s="80"/>
      <c r="BF26" s="74"/>
      <c r="BG26" s="74"/>
      <c r="BH26" s="74"/>
      <c r="BI26" s="74"/>
      <c r="BJ26" s="74"/>
      <c r="BK26" s="74"/>
      <c r="BL26" s="74"/>
      <c r="BM26" s="74"/>
      <c r="BN26" s="81"/>
    </row>
    <row r="27" spans="1:66" ht="9" customHeight="1" x14ac:dyDescent="0.3">
      <c r="B27" s="80"/>
      <c r="C27" s="74"/>
      <c r="D27" s="74"/>
      <c r="E27" s="74"/>
      <c r="F27" s="74"/>
      <c r="G27" s="74"/>
      <c r="H27" s="74"/>
      <c r="I27" s="74"/>
      <c r="J27" s="74"/>
      <c r="K27" s="81"/>
      <c r="L27" s="74"/>
      <c r="M27" s="80"/>
      <c r="N27" s="74"/>
      <c r="O27" s="74"/>
      <c r="P27" s="74"/>
      <c r="Q27" s="74"/>
      <c r="R27" s="74"/>
      <c r="S27" s="74"/>
      <c r="T27" s="74"/>
      <c r="U27" s="74"/>
      <c r="V27" s="81"/>
      <c r="W27" s="74"/>
      <c r="X27" s="80"/>
      <c r="Y27" s="74"/>
      <c r="Z27" s="74"/>
      <c r="AA27" s="74"/>
      <c r="AB27" s="74"/>
      <c r="AC27" s="74"/>
      <c r="AD27" s="74"/>
      <c r="AE27" s="74"/>
      <c r="AF27" s="74"/>
      <c r="AG27" s="81"/>
      <c r="AH27" s="74"/>
      <c r="AI27" s="80"/>
      <c r="AJ27" s="74"/>
      <c r="AK27" s="74"/>
      <c r="AL27" s="74"/>
      <c r="AM27" s="74"/>
      <c r="AN27" s="74"/>
      <c r="AO27" s="74"/>
      <c r="AP27" s="74"/>
      <c r="AQ27" s="74"/>
      <c r="AR27" s="81"/>
      <c r="AS27" s="74"/>
      <c r="AT27" s="80"/>
      <c r="AU27" s="74"/>
      <c r="AV27" s="74"/>
      <c r="AW27" s="74"/>
      <c r="AX27" s="74"/>
      <c r="AY27" s="74"/>
      <c r="AZ27" s="74"/>
      <c r="BA27" s="74"/>
      <c r="BB27" s="74"/>
      <c r="BC27" s="81"/>
      <c r="BD27" s="74"/>
      <c r="BE27" s="80"/>
      <c r="BF27" s="74"/>
      <c r="BG27" s="74"/>
      <c r="BH27" s="74"/>
      <c r="BI27" s="74"/>
      <c r="BJ27" s="74"/>
      <c r="BK27" s="74"/>
      <c r="BL27" s="74"/>
      <c r="BM27" s="74"/>
      <c r="BN27" s="81"/>
    </row>
    <row r="28" spans="1:66" ht="9" customHeight="1" x14ac:dyDescent="0.3">
      <c r="B28" s="80"/>
      <c r="C28" s="74"/>
      <c r="D28" s="74"/>
      <c r="E28" s="74"/>
      <c r="F28" s="74"/>
      <c r="G28" s="74"/>
      <c r="H28" s="74"/>
      <c r="I28" s="74"/>
      <c r="J28" s="74"/>
      <c r="K28" s="81"/>
      <c r="L28" s="74"/>
      <c r="M28" s="80"/>
      <c r="N28" s="74"/>
      <c r="O28" s="74"/>
      <c r="P28" s="74"/>
      <c r="Q28" s="74"/>
      <c r="R28" s="74"/>
      <c r="S28" s="74"/>
      <c r="T28" s="74"/>
      <c r="U28" s="74"/>
      <c r="V28" s="81"/>
      <c r="W28" s="74"/>
      <c r="X28" s="80"/>
      <c r="Y28" s="74"/>
      <c r="Z28" s="74"/>
      <c r="AA28" s="74"/>
      <c r="AB28" s="74"/>
      <c r="AC28" s="74"/>
      <c r="AD28" s="74"/>
      <c r="AE28" s="74"/>
      <c r="AF28" s="74"/>
      <c r="AG28" s="81"/>
      <c r="AH28" s="74"/>
      <c r="AI28" s="80"/>
      <c r="AJ28" s="74"/>
      <c r="AK28" s="74"/>
      <c r="AL28" s="74"/>
      <c r="AM28" s="74"/>
      <c r="AN28" s="74"/>
      <c r="AO28" s="74"/>
      <c r="AP28" s="74"/>
      <c r="AQ28" s="74"/>
      <c r="AR28" s="81"/>
      <c r="AS28" s="74"/>
      <c r="AT28" s="80"/>
      <c r="AU28" s="74"/>
      <c r="AV28" s="74"/>
      <c r="AW28" s="74"/>
      <c r="AX28" s="74"/>
      <c r="AY28" s="74"/>
      <c r="AZ28" s="74"/>
      <c r="BA28" s="74"/>
      <c r="BB28" s="74"/>
      <c r="BC28" s="81"/>
      <c r="BD28" s="74"/>
      <c r="BE28" s="80"/>
      <c r="BF28" s="74"/>
      <c r="BG28" s="74"/>
      <c r="BH28" s="74"/>
      <c r="BI28" s="74"/>
      <c r="BJ28" s="74"/>
      <c r="BK28" s="74"/>
      <c r="BL28" s="74"/>
      <c r="BM28" s="74"/>
      <c r="BN28" s="81"/>
    </row>
    <row r="29" spans="1:66" ht="9" customHeight="1" x14ac:dyDescent="0.3">
      <c r="B29" s="80"/>
      <c r="C29" s="74"/>
      <c r="D29" s="74"/>
      <c r="E29" s="74"/>
      <c r="F29" s="74"/>
      <c r="G29" s="74"/>
      <c r="H29" s="74"/>
      <c r="I29" s="74"/>
      <c r="J29" s="74"/>
      <c r="K29" s="81"/>
      <c r="L29" s="74"/>
      <c r="M29" s="80"/>
      <c r="N29" s="74"/>
      <c r="O29" s="74"/>
      <c r="P29" s="74"/>
      <c r="Q29" s="74"/>
      <c r="R29" s="74"/>
      <c r="S29" s="74"/>
      <c r="T29" s="74"/>
      <c r="U29" s="74"/>
      <c r="V29" s="81"/>
      <c r="W29" s="74"/>
      <c r="X29" s="80"/>
      <c r="Y29" s="74"/>
      <c r="Z29" s="74"/>
      <c r="AA29" s="74"/>
      <c r="AB29" s="74"/>
      <c r="AC29" s="74"/>
      <c r="AD29" s="74"/>
      <c r="AE29" s="74"/>
      <c r="AF29" s="74"/>
      <c r="AG29" s="81"/>
      <c r="AH29" s="74"/>
      <c r="AI29" s="80"/>
      <c r="AJ29" s="74"/>
      <c r="AK29" s="74"/>
      <c r="AL29" s="74"/>
      <c r="AM29" s="74"/>
      <c r="AN29" s="74"/>
      <c r="AO29" s="74"/>
      <c r="AP29" s="74"/>
      <c r="AQ29" s="74"/>
      <c r="AR29" s="81"/>
      <c r="AS29" s="74"/>
      <c r="AT29" s="80"/>
      <c r="AU29" s="74"/>
      <c r="AV29" s="74"/>
      <c r="AW29" s="74"/>
      <c r="AX29" s="74"/>
      <c r="AY29" s="74"/>
      <c r="AZ29" s="74"/>
      <c r="BA29" s="74"/>
      <c r="BB29" s="74"/>
      <c r="BC29" s="81"/>
      <c r="BD29" s="74"/>
      <c r="BE29" s="80"/>
      <c r="BF29" s="74"/>
      <c r="BG29" s="74"/>
      <c r="BH29" s="74"/>
      <c r="BI29" s="74"/>
      <c r="BJ29" s="74"/>
      <c r="BK29" s="74"/>
      <c r="BL29" s="74"/>
      <c r="BM29" s="74"/>
      <c r="BN29" s="81"/>
    </row>
    <row r="30" spans="1:66" ht="9" customHeight="1" x14ac:dyDescent="0.3">
      <c r="B30" s="80"/>
      <c r="C30" s="74"/>
      <c r="D30" s="74"/>
      <c r="E30" s="74"/>
      <c r="F30" s="74"/>
      <c r="G30" s="74"/>
      <c r="H30" s="74"/>
      <c r="I30" s="74"/>
      <c r="J30" s="74"/>
      <c r="K30" s="81"/>
      <c r="L30" s="74"/>
      <c r="M30" s="80"/>
      <c r="N30" s="74"/>
      <c r="O30" s="74"/>
      <c r="P30" s="74"/>
      <c r="Q30" s="74"/>
      <c r="R30" s="74"/>
      <c r="S30" s="74"/>
      <c r="T30" s="74"/>
      <c r="U30" s="74"/>
      <c r="V30" s="81"/>
      <c r="W30" s="74"/>
      <c r="X30" s="80"/>
      <c r="Y30" s="74"/>
      <c r="Z30" s="74"/>
      <c r="AA30" s="74"/>
      <c r="AB30" s="74"/>
      <c r="AC30" s="74"/>
      <c r="AD30" s="74"/>
      <c r="AE30" s="74"/>
      <c r="AF30" s="74"/>
      <c r="AG30" s="81"/>
      <c r="AH30" s="74"/>
      <c r="AI30" s="80"/>
      <c r="AJ30" s="74"/>
      <c r="AK30" s="74"/>
      <c r="AL30" s="74"/>
      <c r="AM30" s="74"/>
      <c r="AN30" s="74"/>
      <c r="AO30" s="74"/>
      <c r="AP30" s="74"/>
      <c r="AQ30" s="74"/>
      <c r="AR30" s="81"/>
      <c r="AS30" s="74"/>
      <c r="AT30" s="80"/>
      <c r="AU30" s="74"/>
      <c r="AV30" s="74"/>
      <c r="AW30" s="74"/>
      <c r="AX30" s="74"/>
      <c r="AY30" s="74"/>
      <c r="AZ30" s="74"/>
      <c r="BA30" s="74"/>
      <c r="BB30" s="74"/>
      <c r="BC30" s="81"/>
      <c r="BD30" s="74"/>
      <c r="BE30" s="80"/>
      <c r="BF30" s="74"/>
      <c r="BG30" s="74"/>
      <c r="BH30" s="74"/>
      <c r="BI30" s="74"/>
      <c r="BJ30" s="74"/>
      <c r="BK30" s="74"/>
      <c r="BL30" s="74"/>
      <c r="BM30" s="74"/>
      <c r="BN30" s="81"/>
    </row>
    <row r="31" spans="1:66" ht="9" customHeight="1" x14ac:dyDescent="0.3">
      <c r="B31" s="318" t="s">
        <v>789</v>
      </c>
      <c r="C31" s="316"/>
      <c r="D31" s="316"/>
      <c r="E31" s="316"/>
      <c r="F31" s="316"/>
      <c r="G31" s="316"/>
      <c r="H31" s="316"/>
      <c r="I31" s="316"/>
      <c r="J31" s="316"/>
      <c r="K31" s="319"/>
      <c r="L31" s="74"/>
      <c r="M31" s="318" t="s">
        <v>790</v>
      </c>
      <c r="N31" s="316"/>
      <c r="O31" s="316"/>
      <c r="P31" s="316"/>
      <c r="Q31" s="316"/>
      <c r="R31" s="316"/>
      <c r="S31" s="316"/>
      <c r="T31" s="316"/>
      <c r="U31" s="316"/>
      <c r="V31" s="319"/>
      <c r="W31" s="74"/>
      <c r="X31" s="318" t="s">
        <v>791</v>
      </c>
      <c r="Y31" s="316"/>
      <c r="Z31" s="316"/>
      <c r="AA31" s="316"/>
      <c r="AB31" s="316"/>
      <c r="AC31" s="316"/>
      <c r="AD31" s="316"/>
      <c r="AE31" s="316"/>
      <c r="AF31" s="316"/>
      <c r="AG31" s="319"/>
      <c r="AH31" s="74"/>
      <c r="AI31" s="320" t="s">
        <v>788</v>
      </c>
      <c r="AJ31" s="321"/>
      <c r="AK31" s="321"/>
      <c r="AL31" s="321"/>
      <c r="AM31" s="321"/>
      <c r="AN31" s="321"/>
      <c r="AO31" s="321"/>
      <c r="AP31" s="321"/>
      <c r="AQ31" s="321"/>
      <c r="AR31" s="322"/>
      <c r="AS31" s="74"/>
      <c r="AT31" s="318" t="s">
        <v>792</v>
      </c>
      <c r="AU31" s="316"/>
      <c r="AV31" s="316"/>
      <c r="AW31" s="316"/>
      <c r="AX31" s="316"/>
      <c r="AY31" s="316"/>
      <c r="AZ31" s="316"/>
      <c r="BA31" s="316"/>
      <c r="BB31" s="316"/>
      <c r="BC31" s="319"/>
      <c r="BD31" s="74"/>
      <c r="BE31" s="318" t="s">
        <v>793</v>
      </c>
      <c r="BF31" s="316"/>
      <c r="BG31" s="316"/>
      <c r="BH31" s="316"/>
      <c r="BI31" s="316"/>
      <c r="BJ31" s="316"/>
      <c r="BK31" s="316"/>
      <c r="BL31" s="316"/>
      <c r="BM31" s="316"/>
      <c r="BN31" s="319"/>
    </row>
    <row r="32" spans="1:66" s="5" customFormat="1" ht="9" customHeight="1" x14ac:dyDescent="0.3">
      <c r="A32" s="86"/>
      <c r="B32" s="325" t="s">
        <v>53</v>
      </c>
      <c r="C32" s="325"/>
      <c r="D32" s="325"/>
      <c r="E32" s="325"/>
      <c r="F32" s="325"/>
      <c r="G32" s="325"/>
      <c r="H32" s="326">
        <f>CEILING(2306*B3,1)</f>
        <v>3229</v>
      </c>
      <c r="I32" s="326"/>
      <c r="J32" s="326"/>
      <c r="K32" s="326"/>
      <c r="L32" s="111"/>
      <c r="M32" s="325" t="s">
        <v>54</v>
      </c>
      <c r="N32" s="325"/>
      <c r="O32" s="325"/>
      <c r="P32" s="325"/>
      <c r="Q32" s="325"/>
      <c r="R32" s="325"/>
      <c r="S32" s="326">
        <f>CEILING(3795*B3,1)</f>
        <v>5313</v>
      </c>
      <c r="T32" s="326"/>
      <c r="U32" s="326"/>
      <c r="V32" s="326"/>
      <c r="W32" s="111"/>
      <c r="X32" s="325" t="s">
        <v>53</v>
      </c>
      <c r="Y32" s="325"/>
      <c r="Z32" s="325"/>
      <c r="AA32" s="325"/>
      <c r="AB32" s="325"/>
      <c r="AC32" s="325"/>
      <c r="AD32" s="326">
        <f>CEILING(2398*B3,1)</f>
        <v>3358</v>
      </c>
      <c r="AE32" s="326"/>
      <c r="AF32" s="326"/>
      <c r="AG32" s="326"/>
      <c r="AH32" s="111"/>
      <c r="AI32" s="325" t="s">
        <v>54</v>
      </c>
      <c r="AJ32" s="325"/>
      <c r="AK32" s="325"/>
      <c r="AL32" s="325"/>
      <c r="AM32" s="325"/>
      <c r="AN32" s="325"/>
      <c r="AO32" s="326">
        <f>CEILING(3930*B3,1)</f>
        <v>5502</v>
      </c>
      <c r="AP32" s="326"/>
      <c r="AQ32" s="326"/>
      <c r="AR32" s="326"/>
      <c r="AS32" s="111"/>
      <c r="AT32" s="325"/>
      <c r="AU32" s="325"/>
      <c r="AV32" s="325"/>
      <c r="AW32" s="325"/>
      <c r="AX32" s="325"/>
      <c r="AY32" s="325"/>
      <c r="AZ32" s="326">
        <f>CEILING(2703*B3,1)</f>
        <v>3785</v>
      </c>
      <c r="BA32" s="326"/>
      <c r="BB32" s="326"/>
      <c r="BC32" s="326"/>
      <c r="BD32" s="111"/>
      <c r="BE32" s="325"/>
      <c r="BF32" s="325"/>
      <c r="BG32" s="325"/>
      <c r="BH32" s="325"/>
      <c r="BI32" s="325"/>
      <c r="BJ32" s="325"/>
      <c r="BK32" s="326">
        <f>CEILING(2925*B3,1)</f>
        <v>4095</v>
      </c>
      <c r="BL32" s="326"/>
      <c r="BM32" s="326"/>
      <c r="BN32" s="326"/>
    </row>
    <row r="33" spans="1:66" ht="1.95" customHeight="1" x14ac:dyDescent="0.3"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</row>
    <row r="34" spans="1:66" ht="9" customHeight="1" x14ac:dyDescent="0.3">
      <c r="B34" s="305" t="s">
        <v>110</v>
      </c>
      <c r="C34" s="306"/>
      <c r="D34" s="307"/>
      <c r="E34" s="308" t="s">
        <v>107</v>
      </c>
      <c r="F34" s="309"/>
      <c r="G34" s="309"/>
      <c r="H34" s="309"/>
      <c r="I34" s="309"/>
      <c r="J34" s="309"/>
      <c r="K34" s="310"/>
      <c r="L34" s="74"/>
      <c r="M34" s="305" t="s">
        <v>111</v>
      </c>
      <c r="N34" s="306"/>
      <c r="O34" s="307"/>
      <c r="P34" s="308" t="s">
        <v>107</v>
      </c>
      <c r="Q34" s="309"/>
      <c r="R34" s="309"/>
      <c r="S34" s="309"/>
      <c r="T34" s="309"/>
      <c r="U34" s="309"/>
      <c r="V34" s="310"/>
      <c r="W34" s="74"/>
      <c r="X34" s="305" t="s">
        <v>108</v>
      </c>
      <c r="Y34" s="306"/>
      <c r="Z34" s="307"/>
      <c r="AA34" s="308" t="s">
        <v>107</v>
      </c>
      <c r="AB34" s="309"/>
      <c r="AC34" s="309"/>
      <c r="AD34" s="309"/>
      <c r="AE34" s="309"/>
      <c r="AF34" s="309"/>
      <c r="AG34" s="310"/>
      <c r="AH34" s="74"/>
      <c r="AI34" s="312" t="s">
        <v>109</v>
      </c>
      <c r="AJ34" s="312"/>
      <c r="AK34" s="312"/>
      <c r="AL34" s="312"/>
      <c r="AM34" s="327" t="s">
        <v>107</v>
      </c>
      <c r="AN34" s="327"/>
      <c r="AO34" s="327"/>
      <c r="AP34" s="327"/>
      <c r="AQ34" s="327"/>
      <c r="AR34" s="328"/>
      <c r="AS34" s="74"/>
      <c r="AT34" s="305" t="s">
        <v>110</v>
      </c>
      <c r="AU34" s="306"/>
      <c r="AV34" s="307"/>
      <c r="AW34" s="308" t="s">
        <v>107</v>
      </c>
      <c r="AX34" s="309"/>
      <c r="AY34" s="309"/>
      <c r="AZ34" s="309"/>
      <c r="BA34" s="309"/>
      <c r="BB34" s="309"/>
      <c r="BC34" s="310"/>
      <c r="BD34" s="74"/>
      <c r="BE34" s="312" t="s">
        <v>111</v>
      </c>
      <c r="BF34" s="312"/>
      <c r="BG34" s="312"/>
      <c r="BH34" s="312"/>
      <c r="BI34" s="327" t="s">
        <v>107</v>
      </c>
      <c r="BJ34" s="327"/>
      <c r="BK34" s="327"/>
      <c r="BL34" s="327"/>
      <c r="BM34" s="327"/>
      <c r="BN34" s="328"/>
    </row>
    <row r="35" spans="1:66" ht="9" customHeight="1" x14ac:dyDescent="0.3">
      <c r="B35" s="80" t="s">
        <v>161</v>
      </c>
      <c r="C35" s="74"/>
      <c r="D35" s="74"/>
      <c r="E35" s="74"/>
      <c r="F35" s="74"/>
      <c r="G35" s="74"/>
      <c r="H35" s="74"/>
      <c r="I35" s="74"/>
      <c r="J35" s="74"/>
      <c r="K35" s="81"/>
      <c r="L35" s="74"/>
      <c r="M35" s="318" t="s">
        <v>99</v>
      </c>
      <c r="N35" s="316"/>
      <c r="O35" s="316"/>
      <c r="P35" s="316"/>
      <c r="Q35" s="316"/>
      <c r="R35" s="316"/>
      <c r="S35" s="316"/>
      <c r="T35" s="316"/>
      <c r="U35" s="316"/>
      <c r="V35" s="319"/>
      <c r="W35" s="74"/>
      <c r="X35" s="318" t="s">
        <v>841</v>
      </c>
      <c r="Y35" s="316"/>
      <c r="Z35" s="316"/>
      <c r="AA35" s="316"/>
      <c r="AB35" s="316"/>
      <c r="AC35" s="316"/>
      <c r="AD35" s="316"/>
      <c r="AE35" s="316"/>
      <c r="AF35" s="316"/>
      <c r="AG35" s="319"/>
      <c r="AH35" s="74"/>
      <c r="AI35" s="318" t="s">
        <v>842</v>
      </c>
      <c r="AJ35" s="316"/>
      <c r="AK35" s="316"/>
      <c r="AL35" s="316"/>
      <c r="AM35" s="316"/>
      <c r="AN35" s="316"/>
      <c r="AO35" s="316"/>
      <c r="AP35" s="316"/>
      <c r="AQ35" s="316"/>
      <c r="AR35" s="319"/>
      <c r="AS35" s="74"/>
      <c r="AT35" s="318" t="s">
        <v>102</v>
      </c>
      <c r="AU35" s="316"/>
      <c r="AV35" s="316"/>
      <c r="AW35" s="316"/>
      <c r="AX35" s="316"/>
      <c r="AY35" s="316"/>
      <c r="AZ35" s="316"/>
      <c r="BA35" s="316"/>
      <c r="BB35" s="316"/>
      <c r="BC35" s="319"/>
      <c r="BD35" s="74"/>
      <c r="BE35" s="318" t="s">
        <v>842</v>
      </c>
      <c r="BF35" s="316"/>
      <c r="BG35" s="316"/>
      <c r="BH35" s="316"/>
      <c r="BI35" s="316"/>
      <c r="BJ35" s="316"/>
      <c r="BK35" s="316"/>
      <c r="BL35" s="316"/>
      <c r="BM35" s="316"/>
      <c r="BN35" s="319"/>
    </row>
    <row r="36" spans="1:66" ht="9" customHeight="1" x14ac:dyDescent="0.3">
      <c r="B36" s="80"/>
      <c r="C36" s="74"/>
      <c r="D36" s="74"/>
      <c r="E36" s="74"/>
      <c r="F36" s="74"/>
      <c r="G36" s="74"/>
      <c r="H36" s="74"/>
      <c r="I36" s="74"/>
      <c r="J36" s="74"/>
      <c r="K36" s="81"/>
      <c r="L36" s="74"/>
      <c r="M36" s="318"/>
      <c r="N36" s="316"/>
      <c r="O36" s="316"/>
      <c r="P36" s="316"/>
      <c r="Q36" s="316"/>
      <c r="R36" s="316"/>
      <c r="S36" s="316"/>
      <c r="T36" s="316"/>
      <c r="U36" s="316"/>
      <c r="V36" s="319"/>
      <c r="W36" s="74"/>
      <c r="X36" s="318"/>
      <c r="Y36" s="316"/>
      <c r="Z36" s="316"/>
      <c r="AA36" s="316"/>
      <c r="AB36" s="316"/>
      <c r="AC36" s="316"/>
      <c r="AD36" s="316"/>
      <c r="AE36" s="316"/>
      <c r="AF36" s="316"/>
      <c r="AG36" s="319"/>
      <c r="AH36" s="74"/>
      <c r="AI36" s="318" t="s">
        <v>157</v>
      </c>
      <c r="AJ36" s="316"/>
      <c r="AK36" s="316"/>
      <c r="AL36" s="316"/>
      <c r="AM36" s="316"/>
      <c r="AN36" s="316"/>
      <c r="AO36" s="316"/>
      <c r="AP36" s="316"/>
      <c r="AQ36" s="316"/>
      <c r="AR36" s="319"/>
      <c r="AS36" s="74"/>
      <c r="AT36" s="318" t="s">
        <v>157</v>
      </c>
      <c r="AU36" s="316"/>
      <c r="AV36" s="316"/>
      <c r="AW36" s="316"/>
      <c r="AX36" s="316"/>
      <c r="AY36" s="316"/>
      <c r="AZ36" s="316"/>
      <c r="BA36" s="316"/>
      <c r="BB36" s="316"/>
      <c r="BC36" s="319"/>
      <c r="BD36" s="74"/>
      <c r="BE36" s="318" t="s">
        <v>157</v>
      </c>
      <c r="BF36" s="316"/>
      <c r="BG36" s="316"/>
      <c r="BH36" s="316"/>
      <c r="BI36" s="316"/>
      <c r="BJ36" s="316"/>
      <c r="BK36" s="316"/>
      <c r="BL36" s="316"/>
      <c r="BM36" s="316"/>
      <c r="BN36" s="319"/>
    </row>
    <row r="37" spans="1:66" ht="9" customHeight="1" x14ac:dyDescent="0.3">
      <c r="B37" s="80"/>
      <c r="C37" s="74"/>
      <c r="D37" s="74"/>
      <c r="E37" s="74"/>
      <c r="F37" s="74"/>
      <c r="G37" s="74"/>
      <c r="H37" s="74"/>
      <c r="I37" s="74"/>
      <c r="J37" s="74"/>
      <c r="K37" s="81"/>
      <c r="L37" s="74"/>
      <c r="M37" s="80"/>
      <c r="N37" s="74"/>
      <c r="O37" s="74"/>
      <c r="P37" s="74"/>
      <c r="Q37" s="74"/>
      <c r="R37" s="74"/>
      <c r="S37" s="74"/>
      <c r="T37" s="74"/>
      <c r="U37" s="74"/>
      <c r="V37" s="81"/>
      <c r="W37" s="74"/>
      <c r="X37" s="80"/>
      <c r="Y37" s="74"/>
      <c r="Z37" s="74"/>
      <c r="AA37" s="74"/>
      <c r="AB37" s="74"/>
      <c r="AC37" s="74"/>
      <c r="AD37" s="74"/>
      <c r="AE37" s="74"/>
      <c r="AF37" s="74"/>
      <c r="AG37" s="81"/>
      <c r="AH37" s="74"/>
      <c r="AI37" s="80"/>
      <c r="AJ37" s="74"/>
      <c r="AK37" s="74"/>
      <c r="AL37" s="74"/>
      <c r="AM37" s="74"/>
      <c r="AN37" s="74"/>
      <c r="AO37" s="74"/>
      <c r="AP37" s="74"/>
      <c r="AQ37" s="74"/>
      <c r="AR37" s="81"/>
      <c r="AS37" s="74"/>
      <c r="AT37" s="80"/>
      <c r="AU37" s="74"/>
      <c r="AV37" s="74"/>
      <c r="AW37" s="74"/>
      <c r="AX37" s="74"/>
      <c r="AY37" s="74"/>
      <c r="AZ37" s="74"/>
      <c r="BA37" s="74"/>
      <c r="BB37" s="74"/>
      <c r="BC37" s="81"/>
      <c r="BD37" s="74"/>
      <c r="BE37" s="80"/>
      <c r="BF37" s="74"/>
      <c r="BG37" s="74"/>
      <c r="BH37" s="74"/>
      <c r="BI37" s="74"/>
      <c r="BJ37" s="74"/>
      <c r="BK37" s="74"/>
      <c r="BL37" s="74"/>
      <c r="BM37" s="74"/>
      <c r="BN37" s="81"/>
    </row>
    <row r="38" spans="1:66" ht="9" customHeight="1" x14ac:dyDescent="0.3">
      <c r="B38" s="80"/>
      <c r="C38" s="74"/>
      <c r="D38" s="74"/>
      <c r="E38" s="74"/>
      <c r="F38" s="74"/>
      <c r="G38" s="74"/>
      <c r="H38" s="74"/>
      <c r="I38" s="74"/>
      <c r="J38" s="74"/>
      <c r="K38" s="81"/>
      <c r="L38" s="74"/>
      <c r="M38" s="80"/>
      <c r="N38" s="74"/>
      <c r="O38" s="74"/>
      <c r="P38" s="74"/>
      <c r="Q38" s="74"/>
      <c r="R38" s="74"/>
      <c r="S38" s="74"/>
      <c r="T38" s="74"/>
      <c r="U38" s="74"/>
      <c r="V38" s="81"/>
      <c r="W38" s="74"/>
      <c r="X38" s="80"/>
      <c r="Y38" s="74"/>
      <c r="Z38" s="74"/>
      <c r="AA38" s="74"/>
      <c r="AB38" s="74"/>
      <c r="AC38" s="74"/>
      <c r="AD38" s="74"/>
      <c r="AE38" s="74"/>
      <c r="AF38" s="74"/>
      <c r="AG38" s="81"/>
      <c r="AH38" s="74"/>
      <c r="AI38" s="80"/>
      <c r="AJ38" s="74"/>
      <c r="AK38" s="74"/>
      <c r="AL38" s="74"/>
      <c r="AM38" s="74"/>
      <c r="AN38" s="74"/>
      <c r="AO38" s="74"/>
      <c r="AP38" s="74"/>
      <c r="AQ38" s="74"/>
      <c r="AR38" s="81"/>
      <c r="AS38" s="74"/>
      <c r="AT38" s="80"/>
      <c r="AU38" s="74"/>
      <c r="AV38" s="74"/>
      <c r="AW38" s="74"/>
      <c r="AX38" s="74"/>
      <c r="AY38" s="74"/>
      <c r="AZ38" s="74"/>
      <c r="BA38" s="74"/>
      <c r="BB38" s="74"/>
      <c r="BC38" s="81"/>
      <c r="BD38" s="74"/>
      <c r="BE38" s="80"/>
      <c r="BF38" s="74"/>
      <c r="BG38" s="74"/>
      <c r="BH38" s="74"/>
      <c r="BI38" s="74"/>
      <c r="BJ38" s="74"/>
      <c r="BK38" s="74"/>
      <c r="BL38" s="74"/>
      <c r="BM38" s="74"/>
      <c r="BN38" s="81"/>
    </row>
    <row r="39" spans="1:66" ht="9" customHeight="1" x14ac:dyDescent="0.3">
      <c r="B39" s="80"/>
      <c r="C39" s="74"/>
      <c r="D39" s="74"/>
      <c r="E39" s="74"/>
      <c r="F39" s="74"/>
      <c r="G39" s="74"/>
      <c r="H39" s="74"/>
      <c r="I39" s="74"/>
      <c r="J39" s="74"/>
      <c r="K39" s="81"/>
      <c r="L39" s="74"/>
      <c r="M39" s="80"/>
      <c r="N39" s="74"/>
      <c r="O39" s="74"/>
      <c r="P39" s="74"/>
      <c r="Q39" s="74"/>
      <c r="R39" s="74"/>
      <c r="S39" s="74"/>
      <c r="T39" s="74"/>
      <c r="U39" s="74"/>
      <c r="V39" s="81"/>
      <c r="W39" s="74"/>
      <c r="X39" s="80"/>
      <c r="Y39" s="74"/>
      <c r="Z39" s="74"/>
      <c r="AA39" s="74"/>
      <c r="AB39" s="74"/>
      <c r="AC39" s="74"/>
      <c r="AD39" s="74"/>
      <c r="AE39" s="74"/>
      <c r="AF39" s="74"/>
      <c r="AG39" s="81"/>
      <c r="AH39" s="74"/>
      <c r="AI39" s="80"/>
      <c r="AJ39" s="74"/>
      <c r="AK39" s="74"/>
      <c r="AL39" s="74"/>
      <c r="AM39" s="74"/>
      <c r="AN39" s="74"/>
      <c r="AO39" s="74"/>
      <c r="AP39" s="74"/>
      <c r="AQ39" s="74"/>
      <c r="AR39" s="81"/>
      <c r="AS39" s="74"/>
      <c r="AT39" s="80"/>
      <c r="AU39" s="74"/>
      <c r="AV39" s="74"/>
      <c r="AW39" s="74"/>
      <c r="AX39" s="74"/>
      <c r="AY39" s="74"/>
      <c r="AZ39" s="74"/>
      <c r="BA39" s="74"/>
      <c r="BB39" s="74"/>
      <c r="BC39" s="81"/>
      <c r="BD39" s="74"/>
      <c r="BE39" s="80"/>
      <c r="BF39" s="74"/>
      <c r="BG39" s="74"/>
      <c r="BH39" s="74"/>
      <c r="BI39" s="74"/>
      <c r="BJ39" s="74"/>
      <c r="BK39" s="74"/>
      <c r="BL39" s="74"/>
      <c r="BM39" s="74"/>
      <c r="BN39" s="81"/>
    </row>
    <row r="40" spans="1:66" ht="9" customHeight="1" x14ac:dyDescent="0.3">
      <c r="B40" s="80"/>
      <c r="C40" s="74"/>
      <c r="D40" s="74"/>
      <c r="E40" s="74"/>
      <c r="F40" s="74"/>
      <c r="G40" s="74"/>
      <c r="H40" s="74"/>
      <c r="I40" s="74"/>
      <c r="J40" s="74"/>
      <c r="K40" s="81"/>
      <c r="L40" s="74"/>
      <c r="M40" s="80"/>
      <c r="N40" s="74"/>
      <c r="O40" s="74"/>
      <c r="P40" s="74"/>
      <c r="Q40" s="74"/>
      <c r="R40" s="74"/>
      <c r="S40" s="74"/>
      <c r="T40" s="74"/>
      <c r="U40" s="74"/>
      <c r="V40" s="81"/>
      <c r="W40" s="74"/>
      <c r="X40" s="80"/>
      <c r="Y40" s="74"/>
      <c r="Z40" s="74"/>
      <c r="AA40" s="74"/>
      <c r="AB40" s="74"/>
      <c r="AC40" s="74"/>
      <c r="AD40" s="74"/>
      <c r="AE40" s="74"/>
      <c r="AF40" s="74"/>
      <c r="AG40" s="81"/>
      <c r="AH40" s="74"/>
      <c r="AI40" s="80"/>
      <c r="AJ40" s="74"/>
      <c r="AK40" s="74"/>
      <c r="AL40" s="74"/>
      <c r="AM40" s="74"/>
      <c r="AN40" s="74"/>
      <c r="AO40" s="74"/>
      <c r="AP40" s="74"/>
      <c r="AQ40" s="74"/>
      <c r="AR40" s="81"/>
      <c r="AS40" s="74"/>
      <c r="AT40" s="80"/>
      <c r="AU40" s="74"/>
      <c r="AV40" s="74"/>
      <c r="AW40" s="74"/>
      <c r="AX40" s="74"/>
      <c r="AY40" s="74"/>
      <c r="AZ40" s="74"/>
      <c r="BA40" s="74"/>
      <c r="BB40" s="74"/>
      <c r="BC40" s="81"/>
      <c r="BD40" s="74"/>
      <c r="BE40" s="80"/>
      <c r="BF40" s="74"/>
      <c r="BG40" s="74"/>
      <c r="BH40" s="74"/>
      <c r="BI40" s="74"/>
      <c r="BJ40" s="74"/>
      <c r="BK40" s="74"/>
      <c r="BL40" s="74"/>
      <c r="BM40" s="74"/>
      <c r="BN40" s="81"/>
    </row>
    <row r="41" spans="1:66" ht="9" customHeight="1" x14ac:dyDescent="0.3">
      <c r="B41" s="80"/>
      <c r="C41" s="74"/>
      <c r="D41" s="74"/>
      <c r="E41" s="74"/>
      <c r="F41" s="74"/>
      <c r="G41" s="74"/>
      <c r="H41" s="74"/>
      <c r="I41" s="74"/>
      <c r="J41" s="74"/>
      <c r="K41" s="81"/>
      <c r="L41" s="74"/>
      <c r="M41" s="80"/>
      <c r="N41" s="74"/>
      <c r="O41" s="74"/>
      <c r="P41" s="74"/>
      <c r="Q41" s="74"/>
      <c r="R41" s="74"/>
      <c r="S41" s="74"/>
      <c r="T41" s="74"/>
      <c r="U41" s="74"/>
      <c r="V41" s="81"/>
      <c r="W41" s="74"/>
      <c r="X41" s="80"/>
      <c r="Y41" s="74"/>
      <c r="Z41" s="74"/>
      <c r="AA41" s="74"/>
      <c r="AB41" s="74"/>
      <c r="AC41" s="74"/>
      <c r="AD41" s="74"/>
      <c r="AE41" s="74"/>
      <c r="AF41" s="74"/>
      <c r="AG41" s="81"/>
      <c r="AH41" s="74"/>
      <c r="AI41" s="80"/>
      <c r="AJ41" s="74"/>
      <c r="AK41" s="74"/>
      <c r="AL41" s="74"/>
      <c r="AM41" s="74"/>
      <c r="AN41" s="74"/>
      <c r="AO41" s="74"/>
      <c r="AP41" s="74"/>
      <c r="AQ41" s="74"/>
      <c r="AR41" s="81"/>
      <c r="AS41" s="74"/>
      <c r="AT41" s="80"/>
      <c r="AU41" s="74"/>
      <c r="AV41" s="74"/>
      <c r="AW41" s="74"/>
      <c r="AX41" s="74"/>
      <c r="AY41" s="74"/>
      <c r="AZ41" s="74"/>
      <c r="BA41" s="74"/>
      <c r="BB41" s="74"/>
      <c r="BC41" s="81"/>
      <c r="BD41" s="74"/>
      <c r="BE41" s="80"/>
      <c r="BF41" s="74"/>
      <c r="BG41" s="74"/>
      <c r="BH41" s="74"/>
      <c r="BI41" s="74"/>
      <c r="BJ41" s="74"/>
      <c r="BK41" s="74"/>
      <c r="BL41" s="74"/>
      <c r="BM41" s="74"/>
      <c r="BN41" s="81"/>
    </row>
    <row r="42" spans="1:66" ht="9" customHeight="1" x14ac:dyDescent="0.3">
      <c r="B42" s="80"/>
      <c r="C42" s="74"/>
      <c r="D42" s="74"/>
      <c r="E42" s="74"/>
      <c r="F42" s="74"/>
      <c r="G42" s="74"/>
      <c r="H42" s="74"/>
      <c r="I42" s="74"/>
      <c r="J42" s="74"/>
      <c r="K42" s="81"/>
      <c r="L42" s="74"/>
      <c r="M42" s="80"/>
      <c r="N42" s="74"/>
      <c r="O42" s="74"/>
      <c r="P42" s="74"/>
      <c r="Q42" s="74"/>
      <c r="R42" s="74"/>
      <c r="S42" s="74"/>
      <c r="T42" s="74"/>
      <c r="U42" s="74"/>
      <c r="V42" s="81"/>
      <c r="W42" s="74"/>
      <c r="X42" s="80"/>
      <c r="Y42" s="74"/>
      <c r="Z42" s="74"/>
      <c r="AA42" s="74"/>
      <c r="AB42" s="74"/>
      <c r="AC42" s="74"/>
      <c r="AD42" s="74"/>
      <c r="AE42" s="74"/>
      <c r="AF42" s="74"/>
      <c r="AG42" s="81"/>
      <c r="AH42" s="74"/>
      <c r="AI42" s="80"/>
      <c r="AJ42" s="74"/>
      <c r="AK42" s="74"/>
      <c r="AL42" s="74"/>
      <c r="AM42" s="74"/>
      <c r="AN42" s="74"/>
      <c r="AO42" s="74"/>
      <c r="AP42" s="74"/>
      <c r="AQ42" s="74"/>
      <c r="AR42" s="81"/>
      <c r="AS42" s="74"/>
      <c r="AT42" s="80"/>
      <c r="AU42" s="74"/>
      <c r="AV42" s="74"/>
      <c r="AW42" s="74"/>
      <c r="AX42" s="74"/>
      <c r="AY42" s="74"/>
      <c r="AZ42" s="74"/>
      <c r="BA42" s="74"/>
      <c r="BB42" s="74"/>
      <c r="BC42" s="81"/>
      <c r="BD42" s="74"/>
      <c r="BE42" s="80"/>
      <c r="BF42" s="74"/>
      <c r="BG42" s="74"/>
      <c r="BH42" s="74"/>
      <c r="BI42" s="74"/>
      <c r="BJ42" s="74"/>
      <c r="BK42" s="74"/>
      <c r="BL42" s="74"/>
      <c r="BM42" s="74"/>
      <c r="BN42" s="81"/>
    </row>
    <row r="43" spans="1:66" ht="9" customHeight="1" x14ac:dyDescent="0.3">
      <c r="B43" s="80"/>
      <c r="C43" s="74"/>
      <c r="D43" s="74"/>
      <c r="E43" s="74"/>
      <c r="F43" s="74"/>
      <c r="G43" s="74"/>
      <c r="H43" s="74"/>
      <c r="I43" s="74"/>
      <c r="J43" s="74"/>
      <c r="K43" s="81"/>
      <c r="L43" s="74"/>
      <c r="M43" s="80"/>
      <c r="N43" s="74"/>
      <c r="O43" s="74"/>
      <c r="P43" s="74"/>
      <c r="Q43" s="74"/>
      <c r="R43" s="74"/>
      <c r="S43" s="74"/>
      <c r="T43" s="74"/>
      <c r="U43" s="74"/>
      <c r="V43" s="81"/>
      <c r="W43" s="74"/>
      <c r="X43" s="80"/>
      <c r="Y43" s="74"/>
      <c r="Z43" s="74"/>
      <c r="AA43" s="74"/>
      <c r="AB43" s="74"/>
      <c r="AC43" s="74"/>
      <c r="AD43" s="74"/>
      <c r="AE43" s="74"/>
      <c r="AF43" s="74"/>
      <c r="AG43" s="81"/>
      <c r="AH43" s="74"/>
      <c r="AI43" s="80"/>
      <c r="AJ43" s="74"/>
      <c r="AK43" s="74"/>
      <c r="AL43" s="74"/>
      <c r="AM43" s="74"/>
      <c r="AN43" s="74"/>
      <c r="AO43" s="74"/>
      <c r="AP43" s="74"/>
      <c r="AQ43" s="74"/>
      <c r="AR43" s="81"/>
      <c r="AS43" s="74"/>
      <c r="AT43" s="80"/>
      <c r="AU43" s="74"/>
      <c r="AV43" s="74"/>
      <c r="AW43" s="74"/>
      <c r="AX43" s="74"/>
      <c r="AY43" s="74"/>
      <c r="AZ43" s="74"/>
      <c r="BA43" s="74"/>
      <c r="BB43" s="74"/>
      <c r="BC43" s="81"/>
      <c r="BD43" s="74"/>
      <c r="BE43" s="80"/>
      <c r="BF43" s="74"/>
      <c r="BG43" s="74"/>
      <c r="BH43" s="74"/>
      <c r="BI43" s="74"/>
      <c r="BJ43" s="74"/>
      <c r="BK43" s="74"/>
      <c r="BL43" s="74"/>
      <c r="BM43" s="74"/>
      <c r="BN43" s="81"/>
    </row>
    <row r="44" spans="1:66" ht="9" customHeight="1" x14ac:dyDescent="0.3">
      <c r="B44" s="80"/>
      <c r="C44" s="74"/>
      <c r="D44" s="74"/>
      <c r="E44" s="74"/>
      <c r="F44" s="74"/>
      <c r="G44" s="74"/>
      <c r="H44" s="74"/>
      <c r="I44" s="74"/>
      <c r="J44" s="74"/>
      <c r="K44" s="81"/>
      <c r="L44" s="74"/>
      <c r="M44" s="80"/>
      <c r="N44" s="74"/>
      <c r="O44" s="74"/>
      <c r="P44" s="74"/>
      <c r="Q44" s="74"/>
      <c r="R44" s="74"/>
      <c r="S44" s="74"/>
      <c r="T44" s="74"/>
      <c r="U44" s="74"/>
      <c r="V44" s="81"/>
      <c r="W44" s="74"/>
      <c r="X44" s="80"/>
      <c r="Y44" s="74"/>
      <c r="Z44" s="74"/>
      <c r="AA44" s="74"/>
      <c r="AB44" s="74"/>
      <c r="AC44" s="74"/>
      <c r="AD44" s="74"/>
      <c r="AE44" s="74"/>
      <c r="AF44" s="74"/>
      <c r="AG44" s="81"/>
      <c r="AH44" s="74"/>
      <c r="AI44" s="80"/>
      <c r="AJ44" s="74"/>
      <c r="AK44" s="74"/>
      <c r="AL44" s="74"/>
      <c r="AM44" s="74"/>
      <c r="AN44" s="74"/>
      <c r="AO44" s="74"/>
      <c r="AP44" s="74"/>
      <c r="AQ44" s="74"/>
      <c r="AR44" s="81"/>
      <c r="AS44" s="74"/>
      <c r="AT44" s="80"/>
      <c r="AU44" s="74"/>
      <c r="AV44" s="74"/>
      <c r="AW44" s="74"/>
      <c r="AX44" s="74"/>
      <c r="AY44" s="74"/>
      <c r="AZ44" s="74"/>
      <c r="BA44" s="74"/>
      <c r="BB44" s="74"/>
      <c r="BC44" s="81"/>
      <c r="BD44" s="74"/>
      <c r="BE44" s="80"/>
      <c r="BF44" s="74"/>
      <c r="BG44" s="74"/>
      <c r="BH44" s="74"/>
      <c r="BI44" s="74"/>
      <c r="BJ44" s="74"/>
      <c r="BK44" s="74"/>
      <c r="BL44" s="74"/>
      <c r="BM44" s="74"/>
      <c r="BN44" s="81"/>
    </row>
    <row r="45" spans="1:66" ht="9" customHeight="1" x14ac:dyDescent="0.3">
      <c r="B45" s="318" t="s">
        <v>790</v>
      </c>
      <c r="C45" s="316"/>
      <c r="D45" s="316"/>
      <c r="E45" s="316"/>
      <c r="F45" s="316"/>
      <c r="G45" s="316"/>
      <c r="H45" s="316"/>
      <c r="I45" s="316"/>
      <c r="J45" s="316"/>
      <c r="K45" s="319"/>
      <c r="L45" s="74"/>
      <c r="M45" s="318" t="s">
        <v>794</v>
      </c>
      <c r="N45" s="316"/>
      <c r="O45" s="316"/>
      <c r="P45" s="316"/>
      <c r="Q45" s="316"/>
      <c r="R45" s="316"/>
      <c r="S45" s="316"/>
      <c r="T45" s="316"/>
      <c r="U45" s="316"/>
      <c r="V45" s="319"/>
      <c r="W45" s="74"/>
      <c r="X45" s="318" t="s">
        <v>792</v>
      </c>
      <c r="Y45" s="316"/>
      <c r="Z45" s="316"/>
      <c r="AA45" s="316"/>
      <c r="AB45" s="316"/>
      <c r="AC45" s="316"/>
      <c r="AD45" s="316"/>
      <c r="AE45" s="316"/>
      <c r="AF45" s="316"/>
      <c r="AG45" s="319"/>
      <c r="AH45" s="74"/>
      <c r="AI45" s="318" t="s">
        <v>795</v>
      </c>
      <c r="AJ45" s="316"/>
      <c r="AK45" s="316"/>
      <c r="AL45" s="316"/>
      <c r="AM45" s="316"/>
      <c r="AN45" s="316"/>
      <c r="AO45" s="316"/>
      <c r="AP45" s="316"/>
      <c r="AQ45" s="316"/>
      <c r="AR45" s="319"/>
      <c r="AS45" s="74"/>
      <c r="AT45" s="318" t="s">
        <v>790</v>
      </c>
      <c r="AU45" s="316"/>
      <c r="AV45" s="316"/>
      <c r="AW45" s="316"/>
      <c r="AX45" s="316"/>
      <c r="AY45" s="316"/>
      <c r="AZ45" s="316"/>
      <c r="BA45" s="316"/>
      <c r="BB45" s="316"/>
      <c r="BC45" s="319"/>
      <c r="BD45" s="74"/>
      <c r="BE45" s="318" t="s">
        <v>794</v>
      </c>
      <c r="BF45" s="316"/>
      <c r="BG45" s="316"/>
      <c r="BH45" s="316"/>
      <c r="BI45" s="316"/>
      <c r="BJ45" s="316"/>
      <c r="BK45" s="316"/>
      <c r="BL45" s="316"/>
      <c r="BM45" s="316"/>
      <c r="BN45" s="319"/>
    </row>
    <row r="46" spans="1:66" s="5" customFormat="1" ht="9" customHeight="1" x14ac:dyDescent="0.3">
      <c r="A46" s="112"/>
      <c r="B46" s="323"/>
      <c r="C46" s="323"/>
      <c r="D46" s="323"/>
      <c r="E46" s="323"/>
      <c r="F46" s="323"/>
      <c r="G46" s="323"/>
      <c r="H46" s="324">
        <f>CEILING(3454*B3,1)</f>
        <v>4836</v>
      </c>
      <c r="I46" s="324"/>
      <c r="J46" s="324"/>
      <c r="K46" s="324"/>
      <c r="L46" s="85"/>
      <c r="M46" s="323"/>
      <c r="N46" s="323"/>
      <c r="O46" s="323"/>
      <c r="P46" s="323"/>
      <c r="Q46" s="323"/>
      <c r="R46" s="323"/>
      <c r="S46" s="324">
        <f>CEILING(3745*B3,1)</f>
        <v>5243</v>
      </c>
      <c r="T46" s="324"/>
      <c r="U46" s="324"/>
      <c r="V46" s="324"/>
      <c r="W46" s="85"/>
      <c r="X46" s="323"/>
      <c r="Y46" s="323"/>
      <c r="Z46" s="323"/>
      <c r="AA46" s="323"/>
      <c r="AB46" s="323"/>
      <c r="AC46" s="323"/>
      <c r="AD46" s="324">
        <f>CEILING(3422*B3,1)</f>
        <v>4791</v>
      </c>
      <c r="AE46" s="324"/>
      <c r="AF46" s="324"/>
      <c r="AG46" s="324"/>
      <c r="AH46" s="85"/>
      <c r="AI46" s="323"/>
      <c r="AJ46" s="323"/>
      <c r="AK46" s="323"/>
      <c r="AL46" s="323"/>
      <c r="AM46" s="323"/>
      <c r="AN46" s="323"/>
      <c r="AO46" s="324">
        <f>CEILING(3639*B3,1)</f>
        <v>5095</v>
      </c>
      <c r="AP46" s="324"/>
      <c r="AQ46" s="324"/>
      <c r="AR46" s="324"/>
      <c r="AS46" s="85"/>
      <c r="AT46" s="323"/>
      <c r="AU46" s="323"/>
      <c r="AV46" s="323"/>
      <c r="AW46" s="323"/>
      <c r="AX46" s="323"/>
      <c r="AY46" s="323"/>
      <c r="AZ46" s="324">
        <f>CEILING(4172*B3,1)</f>
        <v>5841</v>
      </c>
      <c r="BA46" s="324"/>
      <c r="BB46" s="324"/>
      <c r="BC46" s="324"/>
      <c r="BD46" s="85"/>
      <c r="BE46" s="323"/>
      <c r="BF46" s="323"/>
      <c r="BG46" s="323"/>
      <c r="BH46" s="323"/>
      <c r="BI46" s="323"/>
      <c r="BJ46" s="323"/>
      <c r="BK46" s="324">
        <f>CEILING(4463*B3,1)</f>
        <v>6249</v>
      </c>
      <c r="BL46" s="324"/>
      <c r="BM46" s="324"/>
      <c r="BN46" s="324"/>
    </row>
    <row r="47" spans="1:66" ht="1.95" customHeight="1" x14ac:dyDescent="0.3"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</row>
    <row r="48" spans="1:66" ht="9" customHeight="1" x14ac:dyDescent="0.3">
      <c r="B48" s="305" t="s">
        <v>112</v>
      </c>
      <c r="C48" s="306"/>
      <c r="D48" s="307"/>
      <c r="E48" s="308" t="s">
        <v>52</v>
      </c>
      <c r="F48" s="309"/>
      <c r="G48" s="309"/>
      <c r="H48" s="309"/>
      <c r="I48" s="309"/>
      <c r="J48" s="309"/>
      <c r="K48" s="310"/>
      <c r="L48" s="74"/>
      <c r="M48" s="305" t="s">
        <v>116</v>
      </c>
      <c r="N48" s="306"/>
      <c r="O48" s="307"/>
      <c r="P48" s="308" t="s">
        <v>162</v>
      </c>
      <c r="Q48" s="309"/>
      <c r="R48" s="309"/>
      <c r="S48" s="309"/>
      <c r="T48" s="309"/>
      <c r="U48" s="309"/>
      <c r="V48" s="310"/>
      <c r="W48" s="74"/>
      <c r="X48" s="305" t="s">
        <v>591</v>
      </c>
      <c r="Y48" s="306"/>
      <c r="Z48" s="307"/>
      <c r="AA48" s="308" t="s">
        <v>59</v>
      </c>
      <c r="AB48" s="309"/>
      <c r="AC48" s="309"/>
      <c r="AD48" s="309"/>
      <c r="AE48" s="309"/>
      <c r="AF48" s="309"/>
      <c r="AG48" s="310"/>
      <c r="AH48" s="74"/>
      <c r="AI48" s="305" t="s">
        <v>590</v>
      </c>
      <c r="AJ48" s="306"/>
      <c r="AK48" s="307"/>
      <c r="AL48" s="308" t="s">
        <v>59</v>
      </c>
      <c r="AM48" s="309"/>
      <c r="AN48" s="309"/>
      <c r="AO48" s="309"/>
      <c r="AP48" s="309"/>
      <c r="AQ48" s="309"/>
      <c r="AR48" s="310"/>
      <c r="AS48" s="74"/>
      <c r="AT48" s="305" t="s">
        <v>57</v>
      </c>
      <c r="AU48" s="306"/>
      <c r="AV48" s="307"/>
      <c r="AW48" s="308" t="s">
        <v>62</v>
      </c>
      <c r="AX48" s="309"/>
      <c r="AY48" s="309"/>
      <c r="AZ48" s="309"/>
      <c r="BA48" s="309"/>
      <c r="BB48" s="309"/>
      <c r="BC48" s="310"/>
      <c r="BD48" s="74"/>
      <c r="BE48" s="305" t="s">
        <v>58</v>
      </c>
      <c r="BF48" s="306"/>
      <c r="BG48" s="307"/>
      <c r="BH48" s="308" t="s">
        <v>64</v>
      </c>
      <c r="BI48" s="309"/>
      <c r="BJ48" s="309"/>
      <c r="BK48" s="309"/>
      <c r="BL48" s="309"/>
      <c r="BM48" s="309"/>
      <c r="BN48" s="310"/>
    </row>
    <row r="49" spans="1:66" ht="9" customHeight="1" x14ac:dyDescent="0.3">
      <c r="B49" s="329" t="s">
        <v>723</v>
      </c>
      <c r="C49" s="330"/>
      <c r="D49" s="330"/>
      <c r="E49" s="330"/>
      <c r="F49" s="330"/>
      <c r="G49" s="330"/>
      <c r="H49" s="330"/>
      <c r="I49" s="330"/>
      <c r="J49" s="330"/>
      <c r="K49" s="331"/>
      <c r="L49" s="74"/>
      <c r="M49" s="318" t="s">
        <v>629</v>
      </c>
      <c r="N49" s="316"/>
      <c r="O49" s="316"/>
      <c r="P49" s="316"/>
      <c r="Q49" s="316"/>
      <c r="R49" s="316"/>
      <c r="S49" s="316"/>
      <c r="T49" s="316"/>
      <c r="U49" s="316"/>
      <c r="V49" s="319"/>
      <c r="W49" s="74"/>
      <c r="X49" s="80"/>
      <c r="Y49" s="74"/>
      <c r="Z49" s="74"/>
      <c r="AA49" s="74"/>
      <c r="AB49" s="74"/>
      <c r="AC49" s="74"/>
      <c r="AD49" s="74"/>
      <c r="AE49" s="74"/>
      <c r="AF49" s="74"/>
      <c r="AG49" s="81"/>
      <c r="AH49" s="74"/>
      <c r="AI49" s="80"/>
      <c r="AJ49" s="74"/>
      <c r="AK49" s="74"/>
      <c r="AL49" s="74"/>
      <c r="AM49" s="74"/>
      <c r="AN49" s="74"/>
      <c r="AO49" s="74"/>
      <c r="AP49" s="74"/>
      <c r="AQ49" s="74"/>
      <c r="AR49" s="81"/>
      <c r="AS49" s="74"/>
      <c r="AT49" s="318" t="s">
        <v>63</v>
      </c>
      <c r="AU49" s="316"/>
      <c r="AV49" s="316"/>
      <c r="AW49" s="316"/>
      <c r="AX49" s="316"/>
      <c r="AY49" s="316"/>
      <c r="AZ49" s="316"/>
      <c r="BA49" s="316"/>
      <c r="BB49" s="316"/>
      <c r="BC49" s="319"/>
      <c r="BD49" s="74"/>
      <c r="BE49" s="318" t="s">
        <v>63</v>
      </c>
      <c r="BF49" s="316"/>
      <c r="BG49" s="316"/>
      <c r="BH49" s="316"/>
      <c r="BI49" s="316"/>
      <c r="BJ49" s="316"/>
      <c r="BK49" s="316"/>
      <c r="BL49" s="316"/>
      <c r="BM49" s="316"/>
      <c r="BN49" s="319"/>
    </row>
    <row r="50" spans="1:66" ht="9" customHeight="1" x14ac:dyDescent="0.3">
      <c r="B50" s="318" t="s">
        <v>722</v>
      </c>
      <c r="C50" s="316"/>
      <c r="D50" s="316"/>
      <c r="E50" s="316"/>
      <c r="F50" s="316"/>
      <c r="G50" s="316"/>
      <c r="H50" s="316"/>
      <c r="I50" s="316"/>
      <c r="J50" s="316"/>
      <c r="K50" s="319"/>
      <c r="L50" s="74"/>
      <c r="M50" s="80"/>
      <c r="N50" s="74"/>
      <c r="O50" s="74"/>
      <c r="P50" s="74"/>
      <c r="Q50" s="74"/>
      <c r="R50" s="74"/>
      <c r="S50" s="74"/>
      <c r="T50" s="74"/>
      <c r="U50" s="74"/>
      <c r="V50" s="81"/>
      <c r="W50" s="74"/>
      <c r="X50" s="80"/>
      <c r="Y50" s="74"/>
      <c r="Z50" s="74"/>
      <c r="AA50" s="74"/>
      <c r="AB50" s="74"/>
      <c r="AC50" s="74"/>
      <c r="AD50" s="74"/>
      <c r="AE50" s="74"/>
      <c r="AF50" s="74"/>
      <c r="AG50" s="81"/>
      <c r="AH50" s="74"/>
      <c r="AI50" s="80"/>
      <c r="AJ50" s="74"/>
      <c r="AK50" s="74"/>
      <c r="AL50" s="74"/>
      <c r="AM50" s="74"/>
      <c r="AN50" s="74"/>
      <c r="AO50" s="74"/>
      <c r="AP50" s="74"/>
      <c r="AQ50" s="74"/>
      <c r="AR50" s="81"/>
      <c r="AS50" s="74"/>
      <c r="AT50" s="80"/>
      <c r="AU50" s="74"/>
      <c r="AV50" s="74"/>
      <c r="AW50" s="74"/>
      <c r="AX50" s="74"/>
      <c r="AY50" s="74"/>
      <c r="AZ50" s="74"/>
      <c r="BA50" s="74"/>
      <c r="BB50" s="74"/>
      <c r="BC50" s="81"/>
      <c r="BD50" s="74"/>
      <c r="BE50" s="80"/>
      <c r="BF50" s="74"/>
      <c r="BG50" s="74"/>
      <c r="BH50" s="74"/>
      <c r="BI50" s="74"/>
      <c r="BJ50" s="74"/>
      <c r="BK50" s="74"/>
      <c r="BL50" s="74"/>
      <c r="BM50" s="74"/>
      <c r="BN50" s="81"/>
    </row>
    <row r="51" spans="1:66" ht="9" customHeight="1" x14ac:dyDescent="0.3">
      <c r="B51" s="80"/>
      <c r="C51" s="74"/>
      <c r="D51" s="74"/>
      <c r="E51" s="74"/>
      <c r="F51" s="74"/>
      <c r="G51" s="74"/>
      <c r="H51" s="74"/>
      <c r="I51" s="74"/>
      <c r="J51" s="74"/>
      <c r="K51" s="81"/>
      <c r="L51" s="74"/>
      <c r="M51" s="80"/>
      <c r="N51" s="74"/>
      <c r="O51" s="74"/>
      <c r="P51" s="74"/>
      <c r="Q51" s="74"/>
      <c r="R51" s="74"/>
      <c r="S51" s="74"/>
      <c r="T51" s="74"/>
      <c r="U51" s="74"/>
      <c r="V51" s="81"/>
      <c r="W51" s="74"/>
      <c r="X51" s="80"/>
      <c r="Y51" s="74"/>
      <c r="Z51" s="74"/>
      <c r="AA51" s="74"/>
      <c r="AB51" s="74"/>
      <c r="AC51" s="74"/>
      <c r="AD51" s="74"/>
      <c r="AE51" s="74"/>
      <c r="AF51" s="74"/>
      <c r="AG51" s="81"/>
      <c r="AH51" s="74"/>
      <c r="AI51" s="80"/>
      <c r="AJ51" s="74"/>
      <c r="AK51" s="74"/>
      <c r="AL51" s="74"/>
      <c r="AM51" s="74"/>
      <c r="AN51" s="74"/>
      <c r="AO51" s="74"/>
      <c r="AP51" s="74"/>
      <c r="AQ51" s="74"/>
      <c r="AR51" s="81"/>
      <c r="AS51" s="74"/>
      <c r="AT51" s="80"/>
      <c r="AU51" s="74"/>
      <c r="AV51" s="74"/>
      <c r="AW51" s="74"/>
      <c r="AX51" s="74"/>
      <c r="AY51" s="74"/>
      <c r="AZ51" s="74"/>
      <c r="BA51" s="74"/>
      <c r="BB51" s="74"/>
      <c r="BC51" s="81"/>
      <c r="BD51" s="74"/>
      <c r="BE51" s="80"/>
      <c r="BF51" s="74"/>
      <c r="BG51" s="74"/>
      <c r="BH51" s="74"/>
      <c r="BI51" s="74"/>
      <c r="BJ51" s="74"/>
      <c r="BK51" s="74"/>
      <c r="BL51" s="74"/>
      <c r="BM51" s="74"/>
      <c r="BN51" s="81"/>
    </row>
    <row r="52" spans="1:66" ht="9" customHeight="1" x14ac:dyDescent="0.3">
      <c r="B52" s="80"/>
      <c r="C52" s="74"/>
      <c r="D52" s="74"/>
      <c r="E52" s="74"/>
      <c r="F52" s="74"/>
      <c r="G52" s="74"/>
      <c r="H52" s="74"/>
      <c r="I52" s="74"/>
      <c r="J52" s="74"/>
      <c r="K52" s="81"/>
      <c r="L52" s="74"/>
      <c r="M52" s="80"/>
      <c r="N52" s="74"/>
      <c r="O52" s="74"/>
      <c r="P52" s="74"/>
      <c r="Q52" s="74"/>
      <c r="R52" s="74"/>
      <c r="S52" s="74"/>
      <c r="T52" s="74"/>
      <c r="U52" s="74"/>
      <c r="V52" s="81"/>
      <c r="W52" s="74"/>
      <c r="X52" s="80"/>
      <c r="Y52" s="74"/>
      <c r="Z52" s="74"/>
      <c r="AA52" s="74"/>
      <c r="AB52" s="74"/>
      <c r="AC52" s="74"/>
      <c r="AD52" s="74"/>
      <c r="AE52" s="74"/>
      <c r="AF52" s="74"/>
      <c r="AG52" s="81"/>
      <c r="AH52" s="74"/>
      <c r="AI52" s="80"/>
      <c r="AJ52" s="74"/>
      <c r="AK52" s="74"/>
      <c r="AL52" s="74"/>
      <c r="AM52" s="74"/>
      <c r="AN52" s="74"/>
      <c r="AO52" s="74"/>
      <c r="AP52" s="74"/>
      <c r="AQ52" s="74"/>
      <c r="AR52" s="81"/>
      <c r="AS52" s="74"/>
      <c r="AT52" s="80"/>
      <c r="AU52" s="74"/>
      <c r="AV52" s="74"/>
      <c r="AW52" s="74"/>
      <c r="AX52" s="74"/>
      <c r="AY52" s="74"/>
      <c r="AZ52" s="74"/>
      <c r="BA52" s="74"/>
      <c r="BB52" s="74"/>
      <c r="BC52" s="81"/>
      <c r="BD52" s="74"/>
      <c r="BE52" s="80"/>
      <c r="BF52" s="74"/>
      <c r="BG52" s="74"/>
      <c r="BH52" s="74"/>
      <c r="BI52" s="74"/>
      <c r="BJ52" s="74"/>
      <c r="BK52" s="74"/>
      <c r="BL52" s="74"/>
      <c r="BM52" s="74"/>
      <c r="BN52" s="81"/>
    </row>
    <row r="53" spans="1:66" ht="9" customHeight="1" x14ac:dyDescent="0.3">
      <c r="B53" s="80"/>
      <c r="C53" s="74"/>
      <c r="D53" s="74"/>
      <c r="E53" s="74"/>
      <c r="F53" s="74"/>
      <c r="G53" s="74"/>
      <c r="H53" s="74"/>
      <c r="I53" s="74"/>
      <c r="J53" s="74"/>
      <c r="K53" s="81"/>
      <c r="L53" s="74"/>
      <c r="M53" s="80"/>
      <c r="N53" s="74"/>
      <c r="O53" s="74"/>
      <c r="P53" s="74"/>
      <c r="Q53" s="74"/>
      <c r="R53" s="74"/>
      <c r="S53" s="74"/>
      <c r="T53" s="74"/>
      <c r="U53" s="74"/>
      <c r="V53" s="81"/>
      <c r="W53" s="74"/>
      <c r="X53" s="80"/>
      <c r="Y53" s="74"/>
      <c r="Z53" s="74"/>
      <c r="AA53" s="74"/>
      <c r="AB53" s="74"/>
      <c r="AC53" s="74"/>
      <c r="AD53" s="74"/>
      <c r="AE53" s="74"/>
      <c r="AF53" s="74"/>
      <c r="AG53" s="81"/>
      <c r="AH53" s="74"/>
      <c r="AI53" s="80"/>
      <c r="AJ53" s="74"/>
      <c r="AK53" s="74"/>
      <c r="AL53" s="74"/>
      <c r="AM53" s="74"/>
      <c r="AN53" s="74"/>
      <c r="AO53" s="74"/>
      <c r="AP53" s="74"/>
      <c r="AQ53" s="74"/>
      <c r="AR53" s="81"/>
      <c r="AS53" s="74"/>
      <c r="AT53" s="80"/>
      <c r="AU53" s="74"/>
      <c r="AV53" s="74"/>
      <c r="AW53" s="74"/>
      <c r="AX53" s="74"/>
      <c r="AY53" s="74"/>
      <c r="AZ53" s="74"/>
      <c r="BA53" s="74"/>
      <c r="BB53" s="74"/>
      <c r="BC53" s="81"/>
      <c r="BD53" s="74"/>
      <c r="BE53" s="80"/>
      <c r="BF53" s="74"/>
      <c r="BG53" s="74"/>
      <c r="BH53" s="74"/>
      <c r="BI53" s="74"/>
      <c r="BJ53" s="74"/>
      <c r="BK53" s="74"/>
      <c r="BL53" s="74"/>
      <c r="BM53" s="74"/>
      <c r="BN53" s="81"/>
    </row>
    <row r="54" spans="1:66" ht="9" customHeight="1" x14ac:dyDescent="0.3">
      <c r="B54" s="80"/>
      <c r="C54" s="74"/>
      <c r="D54" s="74"/>
      <c r="E54" s="74"/>
      <c r="F54" s="74"/>
      <c r="G54" s="74"/>
      <c r="H54" s="74"/>
      <c r="I54" s="74"/>
      <c r="J54" s="74"/>
      <c r="K54" s="81"/>
      <c r="L54" s="74"/>
      <c r="M54" s="80"/>
      <c r="N54" s="74"/>
      <c r="O54" s="74"/>
      <c r="P54" s="74"/>
      <c r="Q54" s="74"/>
      <c r="R54" s="74"/>
      <c r="S54" s="74"/>
      <c r="T54" s="74"/>
      <c r="U54" s="74"/>
      <c r="V54" s="81"/>
      <c r="W54" s="74"/>
      <c r="X54" s="80"/>
      <c r="Y54" s="74"/>
      <c r="Z54" s="74"/>
      <c r="AA54" s="74"/>
      <c r="AB54" s="74"/>
      <c r="AC54" s="74"/>
      <c r="AD54" s="74"/>
      <c r="AE54" s="74"/>
      <c r="AF54" s="74"/>
      <c r="AG54" s="81"/>
      <c r="AH54" s="74"/>
      <c r="AI54" s="80"/>
      <c r="AJ54" s="74"/>
      <c r="AK54" s="74"/>
      <c r="AL54" s="74"/>
      <c r="AM54" s="74"/>
      <c r="AN54" s="74"/>
      <c r="AO54" s="74"/>
      <c r="AP54" s="74"/>
      <c r="AQ54" s="74"/>
      <c r="AR54" s="81"/>
      <c r="AS54" s="74"/>
      <c r="AT54" s="80"/>
      <c r="AU54" s="74"/>
      <c r="AV54" s="74"/>
      <c r="AW54" s="74"/>
      <c r="AX54" s="74"/>
      <c r="AY54" s="74"/>
      <c r="AZ54" s="74"/>
      <c r="BA54" s="74"/>
      <c r="BB54" s="74"/>
      <c r="BC54" s="81"/>
      <c r="BD54" s="74"/>
      <c r="BE54" s="80"/>
      <c r="BF54" s="74"/>
      <c r="BG54" s="74"/>
      <c r="BH54" s="74"/>
      <c r="BI54" s="74"/>
      <c r="BJ54" s="74"/>
      <c r="BK54" s="74"/>
      <c r="BL54" s="74"/>
      <c r="BM54" s="74"/>
      <c r="BN54" s="81"/>
    </row>
    <row r="55" spans="1:66" ht="9" customHeight="1" x14ac:dyDescent="0.3">
      <c r="B55" s="80"/>
      <c r="C55" s="74"/>
      <c r="D55" s="74"/>
      <c r="E55" s="74"/>
      <c r="F55" s="74"/>
      <c r="G55" s="74"/>
      <c r="H55" s="74"/>
      <c r="I55" s="74"/>
      <c r="J55" s="74"/>
      <c r="K55" s="81"/>
      <c r="L55" s="74"/>
      <c r="M55" s="80"/>
      <c r="N55" s="74"/>
      <c r="O55" s="74"/>
      <c r="P55" s="74"/>
      <c r="Q55" s="74"/>
      <c r="R55" s="74"/>
      <c r="S55" s="74"/>
      <c r="T55" s="74"/>
      <c r="U55" s="74"/>
      <c r="V55" s="81"/>
      <c r="W55" s="74"/>
      <c r="X55" s="80"/>
      <c r="Y55" s="74"/>
      <c r="Z55" s="74"/>
      <c r="AA55" s="74"/>
      <c r="AB55" s="74"/>
      <c r="AC55" s="74"/>
      <c r="AD55" s="74"/>
      <c r="AE55" s="74"/>
      <c r="AF55" s="74"/>
      <c r="AG55" s="81"/>
      <c r="AH55" s="74"/>
      <c r="AI55" s="80"/>
      <c r="AJ55" s="74"/>
      <c r="AK55" s="74"/>
      <c r="AL55" s="74"/>
      <c r="AM55" s="74"/>
      <c r="AN55" s="74"/>
      <c r="AO55" s="74"/>
      <c r="AP55" s="74"/>
      <c r="AQ55" s="74"/>
      <c r="AR55" s="81"/>
      <c r="AS55" s="74"/>
      <c r="AT55" s="80"/>
      <c r="AU55" s="74"/>
      <c r="AV55" s="74"/>
      <c r="AW55" s="74"/>
      <c r="AX55" s="74"/>
      <c r="AY55" s="74"/>
      <c r="AZ55" s="74"/>
      <c r="BA55" s="74"/>
      <c r="BB55" s="74"/>
      <c r="BC55" s="81"/>
      <c r="BD55" s="74"/>
      <c r="BE55" s="80"/>
      <c r="BF55" s="74"/>
      <c r="BG55" s="74"/>
      <c r="BH55" s="74"/>
      <c r="BI55" s="74"/>
      <c r="BJ55" s="74"/>
      <c r="BK55" s="74"/>
      <c r="BL55" s="74"/>
      <c r="BM55" s="74"/>
      <c r="BN55" s="81"/>
    </row>
    <row r="56" spans="1:66" ht="9" customHeight="1" x14ac:dyDescent="0.3">
      <c r="B56" s="80"/>
      <c r="C56" s="74"/>
      <c r="D56" s="74"/>
      <c r="E56" s="74"/>
      <c r="F56" s="74"/>
      <c r="G56" s="74"/>
      <c r="H56" s="74"/>
      <c r="I56" s="74"/>
      <c r="J56" s="74"/>
      <c r="K56" s="81"/>
      <c r="L56" s="74"/>
      <c r="M56" s="80"/>
      <c r="N56" s="74"/>
      <c r="O56" s="74"/>
      <c r="P56" s="74"/>
      <c r="Q56" s="74"/>
      <c r="R56" s="74"/>
      <c r="S56" s="74"/>
      <c r="T56" s="74"/>
      <c r="U56" s="74"/>
      <c r="V56" s="81"/>
      <c r="W56" s="74"/>
      <c r="X56" s="80"/>
      <c r="Y56" s="74"/>
      <c r="Z56" s="74"/>
      <c r="AA56" s="74"/>
      <c r="AB56" s="74"/>
      <c r="AC56" s="74"/>
      <c r="AD56" s="74"/>
      <c r="AE56" s="74"/>
      <c r="AF56" s="74"/>
      <c r="AG56" s="81"/>
      <c r="AH56" s="74"/>
      <c r="AI56" s="80"/>
      <c r="AJ56" s="74"/>
      <c r="AK56" s="74"/>
      <c r="AL56" s="74"/>
      <c r="AM56" s="74"/>
      <c r="AN56" s="74"/>
      <c r="AO56" s="74"/>
      <c r="AP56" s="74"/>
      <c r="AQ56" s="74"/>
      <c r="AR56" s="81"/>
      <c r="AS56" s="74"/>
      <c r="AT56" s="80"/>
      <c r="AU56" s="74"/>
      <c r="AV56" s="74"/>
      <c r="AW56" s="74"/>
      <c r="AX56" s="74"/>
      <c r="AY56" s="74"/>
      <c r="AZ56" s="74"/>
      <c r="BA56" s="74"/>
      <c r="BB56" s="74"/>
      <c r="BC56" s="81"/>
      <c r="BD56" s="74"/>
      <c r="BE56" s="80"/>
      <c r="BF56" s="74"/>
      <c r="BG56" s="74"/>
      <c r="BH56" s="74"/>
      <c r="BI56" s="74"/>
      <c r="BJ56" s="74"/>
      <c r="BK56" s="74"/>
      <c r="BL56" s="74"/>
      <c r="BM56" s="74"/>
      <c r="BN56" s="81"/>
    </row>
    <row r="57" spans="1:66" ht="9" customHeight="1" x14ac:dyDescent="0.3">
      <c r="B57" s="80"/>
      <c r="C57" s="74"/>
      <c r="D57" s="74"/>
      <c r="E57" s="74"/>
      <c r="F57" s="74"/>
      <c r="G57" s="74"/>
      <c r="H57" s="74"/>
      <c r="I57" s="74"/>
      <c r="J57" s="74"/>
      <c r="K57" s="81"/>
      <c r="L57" s="74"/>
      <c r="M57" s="80"/>
      <c r="N57" s="74"/>
      <c r="O57" s="74"/>
      <c r="P57" s="74"/>
      <c r="Q57" s="74"/>
      <c r="R57" s="74"/>
      <c r="S57" s="74"/>
      <c r="T57" s="74"/>
      <c r="U57" s="74"/>
      <c r="V57" s="81"/>
      <c r="W57" s="74"/>
      <c r="X57" s="80"/>
      <c r="Y57" s="74"/>
      <c r="Z57" s="74"/>
      <c r="AA57" s="74"/>
      <c r="AB57" s="74"/>
      <c r="AC57" s="74"/>
      <c r="AD57" s="74"/>
      <c r="AE57" s="74"/>
      <c r="AF57" s="74"/>
      <c r="AG57" s="81"/>
      <c r="AH57" s="74"/>
      <c r="AI57" s="80"/>
      <c r="AJ57" s="74"/>
      <c r="AK57" s="74"/>
      <c r="AL57" s="74"/>
      <c r="AM57" s="74"/>
      <c r="AN57" s="74"/>
      <c r="AO57" s="74"/>
      <c r="AP57" s="74"/>
      <c r="AQ57" s="74"/>
      <c r="AR57" s="81"/>
      <c r="AS57" s="74"/>
      <c r="AT57" s="80"/>
      <c r="AU57" s="74"/>
      <c r="AV57" s="74"/>
      <c r="AW57" s="74"/>
      <c r="AX57" s="74"/>
      <c r="AY57" s="74"/>
      <c r="AZ57" s="74"/>
      <c r="BA57" s="74"/>
      <c r="BB57" s="74"/>
      <c r="BC57" s="81"/>
      <c r="BD57" s="74"/>
      <c r="BE57" s="80"/>
      <c r="BF57" s="74"/>
      <c r="BG57" s="74"/>
      <c r="BH57" s="74"/>
      <c r="BI57" s="74"/>
      <c r="BJ57" s="74"/>
      <c r="BK57" s="74"/>
      <c r="BL57" s="74"/>
      <c r="BM57" s="74"/>
      <c r="BN57" s="81"/>
    </row>
    <row r="58" spans="1:66" ht="9" customHeight="1" x14ac:dyDescent="0.3">
      <c r="B58" s="80"/>
      <c r="C58" s="74"/>
      <c r="D58" s="74"/>
      <c r="E58" s="74"/>
      <c r="F58" s="74"/>
      <c r="G58" s="74"/>
      <c r="H58" s="74"/>
      <c r="I58" s="74"/>
      <c r="J58" s="74"/>
      <c r="K58" s="81"/>
      <c r="L58" s="74"/>
      <c r="M58" s="80"/>
      <c r="N58" s="74"/>
      <c r="O58" s="74"/>
      <c r="P58" s="74"/>
      <c r="Q58" s="74"/>
      <c r="R58" s="74"/>
      <c r="S58" s="74"/>
      <c r="T58" s="74"/>
      <c r="U58" s="74"/>
      <c r="V58" s="81"/>
      <c r="W58" s="74"/>
      <c r="X58" s="80"/>
      <c r="Y58" s="74"/>
      <c r="Z58" s="74"/>
      <c r="AA58" s="74"/>
      <c r="AB58" s="74"/>
      <c r="AC58" s="74"/>
      <c r="AD58" s="74"/>
      <c r="AE58" s="74"/>
      <c r="AF58" s="74"/>
      <c r="AG58" s="81"/>
      <c r="AH58" s="74"/>
      <c r="AI58" s="80"/>
      <c r="AJ58" s="74"/>
      <c r="AK58" s="74"/>
      <c r="AL58" s="74"/>
      <c r="AM58" s="74"/>
      <c r="AN58" s="74"/>
      <c r="AO58" s="74"/>
      <c r="AP58" s="74"/>
      <c r="AQ58" s="74"/>
      <c r="AR58" s="81"/>
      <c r="AS58" s="74"/>
      <c r="AT58" s="80"/>
      <c r="AU58" s="74"/>
      <c r="AV58" s="74"/>
      <c r="AW58" s="74"/>
      <c r="AX58" s="74"/>
      <c r="AY58" s="74"/>
      <c r="AZ58" s="74"/>
      <c r="BA58" s="74"/>
      <c r="BB58" s="74"/>
      <c r="BC58" s="81"/>
      <c r="BD58" s="74"/>
      <c r="BE58" s="80"/>
      <c r="BF58" s="74"/>
      <c r="BG58" s="74"/>
      <c r="BH58" s="74"/>
      <c r="BI58" s="74"/>
      <c r="BJ58" s="74"/>
      <c r="BK58" s="74"/>
      <c r="BL58" s="74"/>
      <c r="BM58" s="74"/>
      <c r="BN58" s="81"/>
    </row>
    <row r="59" spans="1:66" ht="9" customHeight="1" x14ac:dyDescent="0.3">
      <c r="B59" s="318" t="s">
        <v>796</v>
      </c>
      <c r="C59" s="316"/>
      <c r="D59" s="316"/>
      <c r="E59" s="316"/>
      <c r="F59" s="316"/>
      <c r="G59" s="316"/>
      <c r="H59" s="316"/>
      <c r="I59" s="316"/>
      <c r="J59" s="316"/>
      <c r="K59" s="319"/>
      <c r="L59" s="74"/>
      <c r="M59" s="320" t="s">
        <v>797</v>
      </c>
      <c r="N59" s="321"/>
      <c r="O59" s="321"/>
      <c r="P59" s="321"/>
      <c r="Q59" s="321"/>
      <c r="R59" s="322"/>
      <c r="S59" s="332" t="s">
        <v>139</v>
      </c>
      <c r="T59" s="333"/>
      <c r="U59" s="333" t="s">
        <v>84</v>
      </c>
      <c r="V59" s="334"/>
      <c r="W59" s="74"/>
      <c r="X59" s="318" t="s">
        <v>792</v>
      </c>
      <c r="Y59" s="316"/>
      <c r="Z59" s="316"/>
      <c r="AA59" s="316"/>
      <c r="AB59" s="316"/>
      <c r="AC59" s="316"/>
      <c r="AD59" s="316"/>
      <c r="AE59" s="316"/>
      <c r="AF59" s="316"/>
      <c r="AG59" s="319"/>
      <c r="AH59" s="74"/>
      <c r="AI59" s="318" t="s">
        <v>792</v>
      </c>
      <c r="AJ59" s="316"/>
      <c r="AK59" s="316"/>
      <c r="AL59" s="316"/>
      <c r="AM59" s="316"/>
      <c r="AN59" s="316"/>
      <c r="AO59" s="316"/>
      <c r="AP59" s="316"/>
      <c r="AQ59" s="316"/>
      <c r="AR59" s="319"/>
      <c r="AS59" s="74"/>
      <c r="AT59" s="320" t="s">
        <v>792</v>
      </c>
      <c r="AU59" s="321"/>
      <c r="AV59" s="321"/>
      <c r="AW59" s="321"/>
      <c r="AX59" s="321"/>
      <c r="AY59" s="321"/>
      <c r="AZ59" s="321"/>
      <c r="BA59" s="321"/>
      <c r="BB59" s="321"/>
      <c r="BC59" s="322"/>
      <c r="BD59" s="74"/>
      <c r="BE59" s="320" t="s">
        <v>798</v>
      </c>
      <c r="BF59" s="321"/>
      <c r="BG59" s="321"/>
      <c r="BH59" s="321"/>
      <c r="BI59" s="321"/>
      <c r="BJ59" s="321"/>
      <c r="BK59" s="321"/>
      <c r="BL59" s="321"/>
      <c r="BM59" s="321"/>
      <c r="BN59" s="322"/>
    </row>
    <row r="60" spans="1:66" s="5" customFormat="1" ht="9" customHeight="1" x14ac:dyDescent="0.3">
      <c r="A60" s="86"/>
      <c r="B60" s="323" t="s">
        <v>628</v>
      </c>
      <c r="C60" s="323"/>
      <c r="D60" s="323"/>
      <c r="E60" s="323"/>
      <c r="F60" s="323"/>
      <c r="G60" s="323"/>
      <c r="H60" s="324">
        <f>CEILING(6371*B3,1)</f>
        <v>8920</v>
      </c>
      <c r="I60" s="324"/>
      <c r="J60" s="324"/>
      <c r="K60" s="324"/>
      <c r="L60" s="85"/>
      <c r="M60" s="323" t="s">
        <v>628</v>
      </c>
      <c r="N60" s="323"/>
      <c r="O60" s="323"/>
      <c r="P60" s="323"/>
      <c r="Q60" s="323"/>
      <c r="R60" s="323"/>
      <c r="S60" s="324">
        <f>CEILING(2151*B3,1)</f>
        <v>3012</v>
      </c>
      <c r="T60" s="324"/>
      <c r="U60" s="324">
        <f>CEILING(3046*B3,1)</f>
        <v>4265</v>
      </c>
      <c r="V60" s="324"/>
      <c r="W60" s="85"/>
      <c r="X60" s="323" t="s">
        <v>60</v>
      </c>
      <c r="Y60" s="323"/>
      <c r="Z60" s="323"/>
      <c r="AA60" s="323"/>
      <c r="AB60" s="323"/>
      <c r="AC60" s="323"/>
      <c r="AD60" s="324">
        <f>CEILING(1714*B3,1)</f>
        <v>2400</v>
      </c>
      <c r="AE60" s="324"/>
      <c r="AF60" s="324"/>
      <c r="AG60" s="324"/>
      <c r="AH60" s="85"/>
      <c r="AI60" s="323" t="s">
        <v>60</v>
      </c>
      <c r="AJ60" s="323"/>
      <c r="AK60" s="323"/>
      <c r="AL60" s="323"/>
      <c r="AM60" s="323"/>
      <c r="AN60" s="323"/>
      <c r="AO60" s="324">
        <f>CEILING(2047*B3,1)</f>
        <v>2866</v>
      </c>
      <c r="AP60" s="324"/>
      <c r="AQ60" s="324"/>
      <c r="AR60" s="324"/>
      <c r="AS60" s="85"/>
      <c r="AT60" s="323" t="s">
        <v>53</v>
      </c>
      <c r="AU60" s="323"/>
      <c r="AV60" s="323"/>
      <c r="AW60" s="323"/>
      <c r="AX60" s="323"/>
      <c r="AY60" s="323"/>
      <c r="AZ60" s="324">
        <f>CEILING(1986*B3,1)</f>
        <v>2781</v>
      </c>
      <c r="BA60" s="324"/>
      <c r="BB60" s="324"/>
      <c r="BC60" s="324"/>
      <c r="BD60" s="85"/>
      <c r="BE60" s="323" t="s">
        <v>54</v>
      </c>
      <c r="BF60" s="323"/>
      <c r="BG60" s="323"/>
      <c r="BH60" s="323"/>
      <c r="BI60" s="323"/>
      <c r="BJ60" s="323"/>
      <c r="BK60" s="324">
        <f>CEILING(2767*B3,1)</f>
        <v>3874</v>
      </c>
      <c r="BL60" s="324"/>
      <c r="BM60" s="324"/>
      <c r="BN60" s="324"/>
    </row>
    <row r="61" spans="1:66" ht="1.95" customHeight="1" x14ac:dyDescent="0.3"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</row>
    <row r="62" spans="1:66" ht="9" customHeight="1" x14ac:dyDescent="0.3">
      <c r="B62" s="305" t="s">
        <v>177</v>
      </c>
      <c r="C62" s="306"/>
      <c r="D62" s="307"/>
      <c r="E62" s="308" t="s">
        <v>52</v>
      </c>
      <c r="F62" s="309"/>
      <c r="G62" s="309"/>
      <c r="H62" s="309"/>
      <c r="I62" s="309"/>
      <c r="J62" s="309"/>
      <c r="K62" s="310"/>
      <c r="L62" s="74"/>
      <c r="M62" s="305" t="s">
        <v>115</v>
      </c>
      <c r="N62" s="306"/>
      <c r="O62" s="307"/>
      <c r="P62" s="308" t="s">
        <v>167</v>
      </c>
      <c r="Q62" s="309"/>
      <c r="R62" s="309"/>
      <c r="S62" s="309"/>
      <c r="T62" s="309"/>
      <c r="U62" s="309"/>
      <c r="V62" s="310"/>
      <c r="W62" s="74"/>
      <c r="X62" s="305" t="s">
        <v>65</v>
      </c>
      <c r="Y62" s="306"/>
      <c r="Z62" s="307"/>
      <c r="AA62" s="308" t="s">
        <v>66</v>
      </c>
      <c r="AB62" s="309"/>
      <c r="AC62" s="309"/>
      <c r="AD62" s="309"/>
      <c r="AE62" s="309"/>
      <c r="AF62" s="309"/>
      <c r="AG62" s="310"/>
      <c r="AH62" s="74"/>
      <c r="AI62" s="305" t="s">
        <v>67</v>
      </c>
      <c r="AJ62" s="306"/>
      <c r="AK62" s="307"/>
      <c r="AL62" s="308" t="s">
        <v>66</v>
      </c>
      <c r="AM62" s="309"/>
      <c r="AN62" s="309"/>
      <c r="AO62" s="309"/>
      <c r="AP62" s="309"/>
      <c r="AQ62" s="309"/>
      <c r="AR62" s="310"/>
      <c r="AS62" s="74"/>
      <c r="AT62" s="305" t="s">
        <v>68</v>
      </c>
      <c r="AU62" s="306"/>
      <c r="AV62" s="307"/>
      <c r="AW62" s="308" t="s">
        <v>66</v>
      </c>
      <c r="AX62" s="309"/>
      <c r="AY62" s="309"/>
      <c r="AZ62" s="309"/>
      <c r="BA62" s="309"/>
      <c r="BB62" s="309"/>
      <c r="BC62" s="310"/>
      <c r="BD62" s="74"/>
      <c r="BE62" s="305" t="s">
        <v>69</v>
      </c>
      <c r="BF62" s="306"/>
      <c r="BG62" s="307"/>
      <c r="BH62" s="308" t="s">
        <v>138</v>
      </c>
      <c r="BI62" s="309"/>
      <c r="BJ62" s="309"/>
      <c r="BK62" s="309"/>
      <c r="BL62" s="309"/>
      <c r="BM62" s="309"/>
      <c r="BN62" s="310"/>
    </row>
    <row r="63" spans="1:66" ht="9" customHeight="1" x14ac:dyDescent="0.3">
      <c r="B63" s="318" t="s">
        <v>168</v>
      </c>
      <c r="C63" s="316"/>
      <c r="D63" s="316"/>
      <c r="E63" s="316"/>
      <c r="F63" s="316"/>
      <c r="G63" s="316"/>
      <c r="H63" s="316"/>
      <c r="I63" s="316"/>
      <c r="J63" s="316"/>
      <c r="K63" s="319"/>
      <c r="L63" s="74"/>
      <c r="M63" s="80"/>
      <c r="N63" s="74"/>
      <c r="O63" s="74"/>
      <c r="P63" s="74"/>
      <c r="Q63" s="74"/>
      <c r="R63" s="74"/>
      <c r="S63" s="74"/>
      <c r="T63" s="74"/>
      <c r="U63" s="74"/>
      <c r="V63" s="81"/>
      <c r="W63" s="74"/>
      <c r="X63" s="80"/>
      <c r="Y63" s="74"/>
      <c r="Z63" s="74"/>
      <c r="AA63" s="74"/>
      <c r="AB63" s="74"/>
      <c r="AC63" s="74"/>
      <c r="AD63" s="74"/>
      <c r="AE63" s="74"/>
      <c r="AF63" s="74"/>
      <c r="AG63" s="81"/>
      <c r="AH63" s="74"/>
      <c r="AI63" s="335" t="s">
        <v>778</v>
      </c>
      <c r="AJ63" s="336"/>
      <c r="AK63" s="336"/>
      <c r="AL63" s="336"/>
      <c r="AM63" s="336"/>
      <c r="AN63" s="336"/>
      <c r="AO63" s="336"/>
      <c r="AP63" s="336"/>
      <c r="AQ63" s="336"/>
      <c r="AR63" s="337"/>
      <c r="AS63" s="74"/>
      <c r="AT63" s="338" t="s">
        <v>649</v>
      </c>
      <c r="AU63" s="339"/>
      <c r="AV63" s="339"/>
      <c r="AW63" s="339"/>
      <c r="AX63" s="76"/>
      <c r="AY63" s="76"/>
      <c r="AZ63" s="340" t="s">
        <v>824</v>
      </c>
      <c r="BA63" s="340"/>
      <c r="BB63" s="340"/>
      <c r="BC63" s="340"/>
      <c r="BD63" s="74"/>
      <c r="BE63" s="80"/>
      <c r="BF63" s="74"/>
      <c r="BG63" s="74"/>
      <c r="BH63" s="74"/>
      <c r="BI63" s="74"/>
      <c r="BJ63" s="74"/>
      <c r="BK63" s="74"/>
      <c r="BL63" s="74"/>
      <c r="BM63" s="74"/>
      <c r="BN63" s="81"/>
    </row>
    <row r="64" spans="1:66" ht="9" customHeight="1" x14ac:dyDescent="0.3">
      <c r="B64" s="80"/>
      <c r="C64" s="74"/>
      <c r="D64" s="74"/>
      <c r="E64" s="74"/>
      <c r="F64" s="74"/>
      <c r="G64" s="74"/>
      <c r="H64" s="74"/>
      <c r="I64" s="74"/>
      <c r="J64" s="74"/>
      <c r="K64" s="81"/>
      <c r="L64" s="74"/>
      <c r="M64" s="80"/>
      <c r="N64" s="74"/>
      <c r="O64" s="74"/>
      <c r="P64" s="74"/>
      <c r="Q64" s="74"/>
      <c r="R64" s="74"/>
      <c r="S64" s="74"/>
      <c r="T64" s="74"/>
      <c r="U64" s="74"/>
      <c r="V64" s="81"/>
      <c r="W64" s="74"/>
      <c r="X64" s="80"/>
      <c r="Y64" s="74"/>
      <c r="Z64" s="74"/>
      <c r="AA64" s="74"/>
      <c r="AB64" s="74"/>
      <c r="AC64" s="74"/>
      <c r="AD64" s="74"/>
      <c r="AE64" s="74"/>
      <c r="AF64" s="74"/>
      <c r="AG64" s="81"/>
      <c r="AH64" s="74"/>
      <c r="AI64" s="335"/>
      <c r="AJ64" s="336"/>
      <c r="AK64" s="336"/>
      <c r="AL64" s="336"/>
      <c r="AM64" s="336"/>
      <c r="AN64" s="336"/>
      <c r="AO64" s="336"/>
      <c r="AP64" s="336"/>
      <c r="AQ64" s="336"/>
      <c r="AR64" s="337"/>
      <c r="AS64" s="74"/>
      <c r="AT64" s="80"/>
      <c r="AU64" s="74"/>
      <c r="AV64" s="74"/>
      <c r="AW64" s="74"/>
      <c r="AX64" s="74"/>
      <c r="AY64" s="74"/>
      <c r="AZ64" s="74"/>
      <c r="BA64" s="74"/>
      <c r="BB64" s="74"/>
      <c r="BC64" s="81"/>
      <c r="BD64" s="74"/>
      <c r="BE64" s="80"/>
      <c r="BF64" s="74"/>
      <c r="BG64" s="74"/>
      <c r="BH64" s="74"/>
      <c r="BI64" s="74"/>
      <c r="BJ64" s="74"/>
      <c r="BK64" s="74"/>
      <c r="BL64" s="74"/>
      <c r="BM64" s="74"/>
      <c r="BN64" s="81"/>
    </row>
    <row r="65" spans="1:66" ht="9" customHeight="1" x14ac:dyDescent="0.3">
      <c r="B65" s="80"/>
      <c r="C65" s="74"/>
      <c r="D65" s="74"/>
      <c r="E65" s="74"/>
      <c r="F65" s="74"/>
      <c r="G65" s="74"/>
      <c r="H65" s="74"/>
      <c r="I65" s="74"/>
      <c r="J65" s="74"/>
      <c r="K65" s="81"/>
      <c r="L65" s="74"/>
      <c r="M65" s="80"/>
      <c r="N65" s="74"/>
      <c r="O65" s="74"/>
      <c r="P65" s="74"/>
      <c r="Q65" s="74"/>
      <c r="R65" s="74"/>
      <c r="S65" s="74"/>
      <c r="T65" s="74"/>
      <c r="U65" s="74"/>
      <c r="V65" s="81"/>
      <c r="W65" s="74"/>
      <c r="X65" s="80"/>
      <c r="Y65" s="74"/>
      <c r="Z65" s="74"/>
      <c r="AA65" s="74"/>
      <c r="AB65" s="74"/>
      <c r="AC65" s="74"/>
      <c r="AD65" s="74"/>
      <c r="AE65" s="74"/>
      <c r="AF65" s="74"/>
      <c r="AG65" s="81"/>
      <c r="AH65" s="74"/>
      <c r="AI65" s="80"/>
      <c r="AJ65" s="74"/>
      <c r="AK65" s="74"/>
      <c r="AL65" s="74"/>
      <c r="AM65" s="74"/>
      <c r="AN65" s="74"/>
      <c r="AO65" s="74"/>
      <c r="AP65" s="74"/>
      <c r="AQ65" s="74"/>
      <c r="AR65" s="81"/>
      <c r="AS65" s="74"/>
      <c r="AT65" s="80"/>
      <c r="AU65" s="74"/>
      <c r="AV65" s="74"/>
      <c r="AW65" s="74"/>
      <c r="AX65" s="74"/>
      <c r="AY65" s="74"/>
      <c r="AZ65" s="74"/>
      <c r="BA65" s="74"/>
      <c r="BB65" s="74"/>
      <c r="BC65" s="81"/>
      <c r="BD65" s="74"/>
      <c r="BE65" s="80"/>
      <c r="BF65" s="74"/>
      <c r="BG65" s="74"/>
      <c r="BH65" s="74"/>
      <c r="BI65" s="74"/>
      <c r="BJ65" s="74"/>
      <c r="BK65" s="74"/>
      <c r="BL65" s="74"/>
      <c r="BM65" s="74"/>
      <c r="BN65" s="81"/>
    </row>
    <row r="66" spans="1:66" ht="9" customHeight="1" x14ac:dyDescent="0.3">
      <c r="B66" s="80"/>
      <c r="C66" s="74"/>
      <c r="D66" s="74"/>
      <c r="E66" s="74"/>
      <c r="F66" s="74"/>
      <c r="G66" s="74"/>
      <c r="H66" s="74"/>
      <c r="I66" s="74"/>
      <c r="J66" s="74"/>
      <c r="K66" s="81"/>
      <c r="L66" s="74"/>
      <c r="M66" s="80"/>
      <c r="N66" s="74"/>
      <c r="O66" s="74"/>
      <c r="P66" s="74"/>
      <c r="Q66" s="74"/>
      <c r="R66" s="74"/>
      <c r="S66" s="74"/>
      <c r="T66" s="74"/>
      <c r="U66" s="74"/>
      <c r="V66" s="81"/>
      <c r="W66" s="74"/>
      <c r="X66" s="80"/>
      <c r="Y66" s="74"/>
      <c r="Z66" s="74"/>
      <c r="AA66" s="74"/>
      <c r="AB66" s="74"/>
      <c r="AC66" s="74"/>
      <c r="AD66" s="74"/>
      <c r="AE66" s="74"/>
      <c r="AF66" s="74"/>
      <c r="AG66" s="81"/>
      <c r="AH66" s="74"/>
      <c r="AI66" s="80"/>
      <c r="AJ66" s="74"/>
      <c r="AK66" s="74"/>
      <c r="AL66" s="74"/>
      <c r="AM66" s="74"/>
      <c r="AN66" s="74"/>
      <c r="AO66" s="74"/>
      <c r="AP66" s="74"/>
      <c r="AQ66" s="74"/>
      <c r="AR66" s="81"/>
      <c r="AS66" s="74"/>
      <c r="AT66" s="80"/>
      <c r="AU66" s="74"/>
      <c r="AV66" s="74"/>
      <c r="AW66" s="74"/>
      <c r="AX66" s="74"/>
      <c r="AY66" s="74"/>
      <c r="AZ66" s="74"/>
      <c r="BA66" s="74"/>
      <c r="BB66" s="74"/>
      <c r="BC66" s="81"/>
      <c r="BD66" s="74"/>
      <c r="BE66" s="80"/>
      <c r="BF66" s="74"/>
      <c r="BG66" s="74"/>
      <c r="BH66" s="74"/>
      <c r="BI66" s="74"/>
      <c r="BJ66" s="74"/>
      <c r="BK66" s="74"/>
      <c r="BL66" s="74"/>
      <c r="BM66" s="74"/>
      <c r="BN66" s="81"/>
    </row>
    <row r="67" spans="1:66" ht="9" customHeight="1" x14ac:dyDescent="0.3">
      <c r="B67" s="80"/>
      <c r="C67" s="74"/>
      <c r="D67" s="74"/>
      <c r="E67" s="74"/>
      <c r="F67" s="74"/>
      <c r="G67" s="74"/>
      <c r="H67" s="74"/>
      <c r="I67" s="74"/>
      <c r="J67" s="74"/>
      <c r="K67" s="81"/>
      <c r="L67" s="74"/>
      <c r="M67" s="80"/>
      <c r="N67" s="74"/>
      <c r="O67" s="74"/>
      <c r="P67" s="74"/>
      <c r="Q67" s="74"/>
      <c r="R67" s="74"/>
      <c r="S67" s="74"/>
      <c r="T67" s="74"/>
      <c r="U67" s="74"/>
      <c r="V67" s="81"/>
      <c r="W67" s="74"/>
      <c r="X67" s="80"/>
      <c r="Y67" s="74"/>
      <c r="Z67" s="74"/>
      <c r="AA67" s="74"/>
      <c r="AB67" s="74"/>
      <c r="AC67" s="74"/>
      <c r="AD67" s="74"/>
      <c r="AE67" s="74"/>
      <c r="AF67" s="74"/>
      <c r="AG67" s="81"/>
      <c r="AH67" s="74"/>
      <c r="AI67" s="80"/>
      <c r="AJ67" s="74"/>
      <c r="AK67" s="74"/>
      <c r="AL67" s="74"/>
      <c r="AM67" s="74"/>
      <c r="AN67" s="74"/>
      <c r="AO67" s="74"/>
      <c r="AP67" s="74"/>
      <c r="AQ67" s="74"/>
      <c r="AR67" s="81"/>
      <c r="AS67" s="74"/>
      <c r="AT67" s="80"/>
      <c r="AU67" s="74"/>
      <c r="AV67" s="74"/>
      <c r="AW67" s="74"/>
      <c r="AX67" s="74"/>
      <c r="AY67" s="74"/>
      <c r="AZ67" s="74"/>
      <c r="BA67" s="74"/>
      <c r="BB67" s="74"/>
      <c r="BC67" s="81"/>
      <c r="BD67" s="74"/>
      <c r="BE67" s="80"/>
      <c r="BF67" s="74"/>
      <c r="BG67" s="74"/>
      <c r="BH67" s="74"/>
      <c r="BI67" s="74"/>
      <c r="BJ67" s="74"/>
      <c r="BK67" s="74"/>
      <c r="BL67" s="74"/>
      <c r="BM67" s="74"/>
      <c r="BN67" s="81"/>
    </row>
    <row r="68" spans="1:66" ht="9" customHeight="1" x14ac:dyDescent="0.3">
      <c r="B68" s="80"/>
      <c r="C68" s="74"/>
      <c r="D68" s="74"/>
      <c r="E68" s="74"/>
      <c r="F68" s="74"/>
      <c r="G68" s="74"/>
      <c r="H68" s="74"/>
      <c r="I68" s="74"/>
      <c r="J68" s="74"/>
      <c r="K68" s="81"/>
      <c r="L68" s="74"/>
      <c r="M68" s="80"/>
      <c r="N68" s="74"/>
      <c r="O68" s="74"/>
      <c r="P68" s="74"/>
      <c r="Q68" s="74"/>
      <c r="R68" s="74"/>
      <c r="S68" s="74"/>
      <c r="T68" s="74"/>
      <c r="U68" s="74"/>
      <c r="V68" s="81"/>
      <c r="W68" s="74"/>
      <c r="X68" s="80"/>
      <c r="Y68" s="74"/>
      <c r="Z68" s="74"/>
      <c r="AA68" s="74"/>
      <c r="AB68" s="74"/>
      <c r="AC68" s="74"/>
      <c r="AD68" s="74"/>
      <c r="AE68" s="74"/>
      <c r="AF68" s="74"/>
      <c r="AG68" s="81"/>
      <c r="AH68" s="74"/>
      <c r="AI68" s="80"/>
      <c r="AJ68" s="74"/>
      <c r="AK68" s="74"/>
      <c r="AL68" s="74"/>
      <c r="AM68" s="74"/>
      <c r="AN68" s="74"/>
      <c r="AO68" s="74"/>
      <c r="AP68" s="74"/>
      <c r="AQ68" s="74"/>
      <c r="AR68" s="81"/>
      <c r="AS68" s="74"/>
      <c r="AT68" s="80"/>
      <c r="AU68" s="74"/>
      <c r="AV68" s="74"/>
      <c r="AW68" s="74"/>
      <c r="AX68" s="74"/>
      <c r="AY68" s="74"/>
      <c r="AZ68" s="74"/>
      <c r="BA68" s="74"/>
      <c r="BB68" s="74"/>
      <c r="BC68" s="81"/>
      <c r="BD68" s="74"/>
      <c r="BE68" s="80"/>
      <c r="BF68" s="74"/>
      <c r="BG68" s="74"/>
      <c r="BH68" s="74"/>
      <c r="BI68" s="74"/>
      <c r="BJ68" s="74"/>
      <c r="BK68" s="74"/>
      <c r="BL68" s="74"/>
      <c r="BM68" s="74"/>
      <c r="BN68" s="81"/>
    </row>
    <row r="69" spans="1:66" ht="9" customHeight="1" x14ac:dyDescent="0.3">
      <c r="B69" s="80"/>
      <c r="C69" s="74"/>
      <c r="D69" s="74"/>
      <c r="E69" s="74"/>
      <c r="F69" s="74"/>
      <c r="G69" s="74"/>
      <c r="H69" s="74"/>
      <c r="I69" s="74"/>
      <c r="J69" s="74"/>
      <c r="K69" s="81"/>
      <c r="L69" s="74"/>
      <c r="M69" s="80"/>
      <c r="N69" s="74"/>
      <c r="O69" s="74"/>
      <c r="P69" s="74"/>
      <c r="Q69" s="74"/>
      <c r="R69" s="74"/>
      <c r="S69" s="74"/>
      <c r="T69" s="74"/>
      <c r="U69" s="74"/>
      <c r="V69" s="81"/>
      <c r="W69" s="74"/>
      <c r="X69" s="80"/>
      <c r="Y69" s="74"/>
      <c r="Z69" s="74"/>
      <c r="AA69" s="74"/>
      <c r="AB69" s="74"/>
      <c r="AC69" s="74"/>
      <c r="AD69" s="74"/>
      <c r="AE69" s="74"/>
      <c r="AF69" s="74"/>
      <c r="AG69" s="81"/>
      <c r="AH69" s="74"/>
      <c r="AI69" s="80"/>
      <c r="AJ69" s="74"/>
      <c r="AK69" s="74"/>
      <c r="AL69" s="74"/>
      <c r="AM69" s="74"/>
      <c r="AN69" s="74"/>
      <c r="AO69" s="74"/>
      <c r="AP69" s="74"/>
      <c r="AQ69" s="74"/>
      <c r="AR69" s="81"/>
      <c r="AS69" s="74"/>
      <c r="AT69" s="80"/>
      <c r="AU69" s="74"/>
      <c r="AV69" s="74"/>
      <c r="AW69" s="74"/>
      <c r="AX69" s="74"/>
      <c r="AY69" s="74"/>
      <c r="AZ69" s="74"/>
      <c r="BA69" s="74"/>
      <c r="BB69" s="74"/>
      <c r="BC69" s="81"/>
      <c r="BD69" s="74"/>
      <c r="BE69" s="80"/>
      <c r="BF69" s="74"/>
      <c r="BG69" s="74"/>
      <c r="BH69" s="74"/>
      <c r="BI69" s="74"/>
      <c r="BJ69" s="74"/>
      <c r="BK69" s="74"/>
      <c r="BL69" s="74"/>
      <c r="BM69" s="74"/>
      <c r="BN69" s="81"/>
    </row>
    <row r="70" spans="1:66" ht="9" customHeight="1" x14ac:dyDescent="0.3">
      <c r="B70" s="80"/>
      <c r="C70" s="74"/>
      <c r="D70" s="74"/>
      <c r="E70" s="74"/>
      <c r="F70" s="74"/>
      <c r="G70" s="74"/>
      <c r="H70" s="74"/>
      <c r="I70" s="74"/>
      <c r="J70" s="74"/>
      <c r="K70" s="81"/>
      <c r="L70" s="74"/>
      <c r="M70" s="80"/>
      <c r="N70" s="74"/>
      <c r="O70" s="74"/>
      <c r="P70" s="74"/>
      <c r="Q70" s="74"/>
      <c r="R70" s="74"/>
      <c r="S70" s="74"/>
      <c r="T70" s="74"/>
      <c r="U70" s="74"/>
      <c r="V70" s="81"/>
      <c r="W70" s="74"/>
      <c r="X70" s="80"/>
      <c r="Y70" s="74"/>
      <c r="Z70" s="74"/>
      <c r="AA70" s="74"/>
      <c r="AB70" s="74"/>
      <c r="AC70" s="74"/>
      <c r="AD70" s="74"/>
      <c r="AE70" s="74"/>
      <c r="AF70" s="74"/>
      <c r="AG70" s="81"/>
      <c r="AH70" s="74"/>
      <c r="AI70" s="80"/>
      <c r="AJ70" s="74"/>
      <c r="AK70" s="74"/>
      <c r="AL70" s="74"/>
      <c r="AM70" s="74"/>
      <c r="AN70" s="74"/>
      <c r="AO70" s="74"/>
      <c r="AP70" s="74"/>
      <c r="AQ70" s="74"/>
      <c r="AR70" s="81"/>
      <c r="AS70" s="74"/>
      <c r="AT70" s="80"/>
      <c r="AU70" s="74"/>
      <c r="AV70" s="74"/>
      <c r="AW70" s="74"/>
      <c r="AX70" s="74"/>
      <c r="AY70" s="74"/>
      <c r="AZ70" s="74"/>
      <c r="BA70" s="74"/>
      <c r="BB70" s="74"/>
      <c r="BC70" s="81"/>
      <c r="BD70" s="74"/>
      <c r="BE70" s="80"/>
      <c r="BF70" s="74"/>
      <c r="BG70" s="74"/>
      <c r="BH70" s="74"/>
      <c r="BI70" s="74"/>
      <c r="BJ70" s="74"/>
      <c r="BK70" s="74"/>
      <c r="BL70" s="74"/>
      <c r="BM70" s="74"/>
      <c r="BN70" s="81"/>
    </row>
    <row r="71" spans="1:66" ht="9" customHeight="1" x14ac:dyDescent="0.3">
      <c r="B71" s="80"/>
      <c r="C71" s="74"/>
      <c r="D71" s="74"/>
      <c r="E71" s="74"/>
      <c r="F71" s="74"/>
      <c r="G71" s="74"/>
      <c r="H71" s="74"/>
      <c r="I71" s="74"/>
      <c r="J71" s="74"/>
      <c r="K71" s="81"/>
      <c r="L71" s="74"/>
      <c r="M71" s="80"/>
      <c r="N71" s="74"/>
      <c r="O71" s="74"/>
      <c r="P71" s="74"/>
      <c r="Q71" s="74"/>
      <c r="R71" s="74"/>
      <c r="S71" s="74"/>
      <c r="T71" s="74"/>
      <c r="U71" s="74"/>
      <c r="V71" s="81"/>
      <c r="W71" s="74"/>
      <c r="X71" s="80"/>
      <c r="Y71" s="74"/>
      <c r="Z71" s="74"/>
      <c r="AA71" s="74"/>
      <c r="AB71" s="74"/>
      <c r="AC71" s="74"/>
      <c r="AD71" s="74"/>
      <c r="AE71" s="74"/>
      <c r="AF71" s="74"/>
      <c r="AG71" s="81"/>
      <c r="AH71" s="74"/>
      <c r="AI71" s="80"/>
      <c r="AJ71" s="74"/>
      <c r="AK71" s="74"/>
      <c r="AL71" s="74"/>
      <c r="AM71" s="74"/>
      <c r="AN71" s="74"/>
      <c r="AO71" s="74"/>
      <c r="AP71" s="74"/>
      <c r="AQ71" s="74"/>
      <c r="AR71" s="81"/>
      <c r="AS71" s="74"/>
      <c r="AT71" s="80"/>
      <c r="AU71" s="74"/>
      <c r="AV71" s="74"/>
      <c r="AW71" s="74"/>
      <c r="AX71" s="74"/>
      <c r="AY71" s="74"/>
      <c r="AZ71" s="74"/>
      <c r="BA71" s="74"/>
      <c r="BB71" s="74"/>
      <c r="BC71" s="81"/>
      <c r="BD71" s="74"/>
      <c r="BE71" s="80"/>
      <c r="BF71" s="74"/>
      <c r="BG71" s="74"/>
      <c r="BH71" s="74"/>
      <c r="BI71" s="74"/>
      <c r="BJ71" s="74"/>
      <c r="BK71" s="74"/>
      <c r="BL71" s="74"/>
      <c r="BM71" s="74"/>
      <c r="BN71" s="81"/>
    </row>
    <row r="72" spans="1:66" ht="9" customHeight="1" x14ac:dyDescent="0.3">
      <c r="B72" s="80"/>
      <c r="C72" s="74"/>
      <c r="D72" s="74"/>
      <c r="E72" s="74"/>
      <c r="F72" s="74"/>
      <c r="G72" s="74"/>
      <c r="H72" s="74"/>
      <c r="I72" s="74"/>
      <c r="J72" s="74"/>
      <c r="K72" s="81"/>
      <c r="L72" s="74"/>
      <c r="M72" s="338"/>
      <c r="N72" s="339"/>
      <c r="O72" s="339"/>
      <c r="P72" s="339"/>
      <c r="Q72" s="339"/>
      <c r="R72" s="339"/>
      <c r="S72" s="339"/>
      <c r="T72" s="339"/>
      <c r="U72" s="339"/>
      <c r="V72" s="342"/>
      <c r="W72" s="74"/>
      <c r="X72" s="80"/>
      <c r="Y72" s="74"/>
      <c r="Z72" s="74"/>
      <c r="AA72" s="74"/>
      <c r="AB72" s="74"/>
      <c r="AC72" s="74"/>
      <c r="AD72" s="74"/>
      <c r="AE72" s="74"/>
      <c r="AF72" s="74"/>
      <c r="AG72" s="81"/>
      <c r="AH72" s="74"/>
      <c r="AI72" s="80"/>
      <c r="AJ72" s="74"/>
      <c r="AK72" s="74"/>
      <c r="AL72" s="74"/>
      <c r="AM72" s="74"/>
      <c r="AN72" s="74"/>
      <c r="AO72" s="74"/>
      <c r="AP72" s="74"/>
      <c r="AQ72" s="74"/>
      <c r="AR72" s="81"/>
      <c r="AS72" s="74"/>
      <c r="AT72" s="80"/>
      <c r="AU72" s="74"/>
      <c r="AV72" s="74"/>
      <c r="AW72" s="74"/>
      <c r="AX72" s="74"/>
      <c r="AY72" s="74"/>
      <c r="AZ72" s="74"/>
      <c r="BA72" s="74"/>
      <c r="BB72" s="74"/>
      <c r="BC72" s="81"/>
      <c r="BD72" s="74"/>
      <c r="BE72" s="80"/>
      <c r="BF72" s="74"/>
      <c r="BG72" s="74"/>
      <c r="BH72" s="74"/>
      <c r="BI72" s="74"/>
      <c r="BJ72" s="74"/>
      <c r="BK72" s="74"/>
      <c r="BL72" s="74"/>
      <c r="BM72" s="74"/>
      <c r="BN72" s="81"/>
    </row>
    <row r="73" spans="1:66" ht="9" customHeight="1" x14ac:dyDescent="0.3">
      <c r="B73" s="318" t="s">
        <v>789</v>
      </c>
      <c r="C73" s="316"/>
      <c r="D73" s="316"/>
      <c r="E73" s="316"/>
      <c r="F73" s="316"/>
      <c r="G73" s="316"/>
      <c r="H73" s="316"/>
      <c r="I73" s="316"/>
      <c r="J73" s="316"/>
      <c r="K73" s="319"/>
      <c r="L73" s="74"/>
      <c r="M73" s="338" t="s">
        <v>716</v>
      </c>
      <c r="N73" s="339"/>
      <c r="O73" s="339"/>
      <c r="P73" s="339"/>
      <c r="Q73" s="339"/>
      <c r="R73" s="339"/>
      <c r="S73" s="339"/>
      <c r="T73" s="339"/>
      <c r="U73" s="339"/>
      <c r="V73" s="342"/>
      <c r="W73" s="74"/>
      <c r="X73" s="318" t="s">
        <v>787</v>
      </c>
      <c r="Y73" s="316"/>
      <c r="Z73" s="316"/>
      <c r="AA73" s="316"/>
      <c r="AB73" s="316"/>
      <c r="AC73" s="316"/>
      <c r="AD73" s="316"/>
      <c r="AE73" s="316"/>
      <c r="AF73" s="316"/>
      <c r="AG73" s="319"/>
      <c r="AH73" s="74"/>
      <c r="AI73" s="318" t="s">
        <v>799</v>
      </c>
      <c r="AJ73" s="316"/>
      <c r="AK73" s="316"/>
      <c r="AL73" s="316"/>
      <c r="AM73" s="316"/>
      <c r="AN73" s="316"/>
      <c r="AO73" s="316"/>
      <c r="AP73" s="316"/>
      <c r="AQ73" s="316"/>
      <c r="AR73" s="319"/>
      <c r="AS73" s="74"/>
      <c r="AT73" s="318" t="s">
        <v>787</v>
      </c>
      <c r="AU73" s="316"/>
      <c r="AV73" s="316"/>
      <c r="AW73" s="316"/>
      <c r="AX73" s="316"/>
      <c r="AY73" s="316"/>
      <c r="AZ73" s="316"/>
      <c r="BA73" s="316"/>
      <c r="BB73" s="316"/>
      <c r="BC73" s="319"/>
      <c r="BD73" s="74"/>
      <c r="BE73" s="343" t="s">
        <v>800</v>
      </c>
      <c r="BF73" s="344"/>
      <c r="BG73" s="344"/>
      <c r="BH73" s="344"/>
      <c r="BI73" s="344"/>
      <c r="BJ73" s="345"/>
      <c r="BK73" s="346" t="s">
        <v>165</v>
      </c>
      <c r="BL73" s="347"/>
      <c r="BM73" s="348" t="s">
        <v>166</v>
      </c>
      <c r="BN73" s="347"/>
    </row>
    <row r="74" spans="1:66" s="5" customFormat="1" ht="9" customHeight="1" x14ac:dyDescent="0.3">
      <c r="A74" s="86"/>
      <c r="B74" s="323" t="s">
        <v>178</v>
      </c>
      <c r="C74" s="323"/>
      <c r="D74" s="323"/>
      <c r="E74" s="323"/>
      <c r="F74" s="323"/>
      <c r="G74" s="323"/>
      <c r="H74" s="324">
        <f>CEILING(1587*B3,1)</f>
        <v>2222</v>
      </c>
      <c r="I74" s="324"/>
      <c r="J74" s="324"/>
      <c r="K74" s="324"/>
      <c r="L74" s="85"/>
      <c r="M74" s="341" t="s">
        <v>155</v>
      </c>
      <c r="N74" s="341"/>
      <c r="O74" s="341"/>
      <c r="P74" s="341"/>
      <c r="Q74" s="341"/>
      <c r="R74" s="341"/>
      <c r="S74" s="324">
        <f>CEILING(2673*B3,1)</f>
        <v>3743</v>
      </c>
      <c r="T74" s="324"/>
      <c r="U74" s="324"/>
      <c r="V74" s="324"/>
      <c r="W74" s="85"/>
      <c r="X74" s="323" t="s">
        <v>169</v>
      </c>
      <c r="Y74" s="323"/>
      <c r="Z74" s="323"/>
      <c r="AA74" s="323"/>
      <c r="AB74" s="323"/>
      <c r="AC74" s="323"/>
      <c r="AD74" s="324">
        <f>CEILING(1064*B3,1)</f>
        <v>1490</v>
      </c>
      <c r="AE74" s="324"/>
      <c r="AF74" s="324"/>
      <c r="AG74" s="324"/>
      <c r="AH74" s="85"/>
      <c r="AI74" s="323" t="s">
        <v>169</v>
      </c>
      <c r="AJ74" s="323"/>
      <c r="AK74" s="323"/>
      <c r="AL74" s="323"/>
      <c r="AM74" s="323"/>
      <c r="AN74" s="323"/>
      <c r="AO74" s="324">
        <f>CEILING(1080*B3,1)</f>
        <v>1512</v>
      </c>
      <c r="AP74" s="324"/>
      <c r="AQ74" s="324"/>
      <c r="AR74" s="324"/>
      <c r="AS74" s="85"/>
      <c r="AT74" s="323"/>
      <c r="AU74" s="323"/>
      <c r="AV74" s="323"/>
      <c r="AW74" s="323"/>
      <c r="AX74" s="323"/>
      <c r="AY74" s="323"/>
      <c r="AZ74" s="324">
        <v>2100</v>
      </c>
      <c r="BA74" s="324"/>
      <c r="BB74" s="324"/>
      <c r="BC74" s="324"/>
      <c r="BD74" s="85"/>
      <c r="BE74" s="323" t="s">
        <v>169</v>
      </c>
      <c r="BF74" s="323"/>
      <c r="BG74" s="323"/>
      <c r="BH74" s="323"/>
      <c r="BI74" s="323"/>
      <c r="BJ74" s="323"/>
      <c r="BK74" s="324">
        <f>CEILING(1897*B3,1)</f>
        <v>2656</v>
      </c>
      <c r="BL74" s="324"/>
      <c r="BM74" s="324">
        <f>CEILING(2282*B3,1)</f>
        <v>3195</v>
      </c>
      <c r="BN74" s="324"/>
    </row>
    <row r="75" spans="1:66" ht="1.95" customHeight="1" x14ac:dyDescent="0.3"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</row>
    <row r="76" spans="1:66" ht="9" customHeight="1" x14ac:dyDescent="0.3">
      <c r="B76" s="305" t="s">
        <v>70</v>
      </c>
      <c r="C76" s="306"/>
      <c r="D76" s="307"/>
      <c r="E76" s="308" t="s">
        <v>71</v>
      </c>
      <c r="F76" s="309"/>
      <c r="G76" s="309"/>
      <c r="H76" s="309"/>
      <c r="I76" s="309"/>
      <c r="J76" s="309"/>
      <c r="K76" s="310"/>
      <c r="L76" s="74"/>
      <c r="M76" s="305" t="s">
        <v>74</v>
      </c>
      <c r="N76" s="306"/>
      <c r="O76" s="307"/>
      <c r="P76" s="308" t="s">
        <v>81</v>
      </c>
      <c r="Q76" s="309"/>
      <c r="R76" s="309"/>
      <c r="S76" s="309"/>
      <c r="T76" s="309"/>
      <c r="U76" s="309"/>
      <c r="V76" s="310"/>
      <c r="W76" s="74"/>
      <c r="X76" s="305" t="s">
        <v>75</v>
      </c>
      <c r="Y76" s="306"/>
      <c r="Z76" s="307"/>
      <c r="AA76" s="308" t="s">
        <v>175</v>
      </c>
      <c r="AB76" s="309"/>
      <c r="AC76" s="309"/>
      <c r="AD76" s="309"/>
      <c r="AE76" s="309"/>
      <c r="AF76" s="309"/>
      <c r="AG76" s="310"/>
      <c r="AH76" s="74"/>
      <c r="AI76" s="305" t="s">
        <v>76</v>
      </c>
      <c r="AJ76" s="306"/>
      <c r="AK76" s="307"/>
      <c r="AL76" s="308" t="s">
        <v>81</v>
      </c>
      <c r="AM76" s="309"/>
      <c r="AN76" s="309"/>
      <c r="AO76" s="309"/>
      <c r="AP76" s="309"/>
      <c r="AQ76" s="309"/>
      <c r="AR76" s="310"/>
      <c r="AS76" s="74"/>
      <c r="AT76" s="305" t="s">
        <v>78</v>
      </c>
      <c r="AU76" s="306"/>
      <c r="AV76" s="307"/>
      <c r="AW76" s="308" t="s">
        <v>81</v>
      </c>
      <c r="AX76" s="309"/>
      <c r="AY76" s="309"/>
      <c r="AZ76" s="309"/>
      <c r="BA76" s="309"/>
      <c r="BB76" s="309"/>
      <c r="BC76" s="310"/>
      <c r="BD76" s="74"/>
      <c r="BE76" s="305" t="s">
        <v>47</v>
      </c>
      <c r="BF76" s="306"/>
      <c r="BG76" s="307"/>
      <c r="BH76" s="308" t="s">
        <v>140</v>
      </c>
      <c r="BI76" s="309"/>
      <c r="BJ76" s="309"/>
      <c r="BK76" s="309"/>
      <c r="BL76" s="309"/>
      <c r="BM76" s="309"/>
      <c r="BN76" s="310"/>
    </row>
    <row r="77" spans="1:66" ht="9" customHeight="1" x14ac:dyDescent="0.3">
      <c r="B77" s="80"/>
      <c r="C77" s="74"/>
      <c r="D77" s="74"/>
      <c r="E77" s="74"/>
      <c r="F77" s="74"/>
      <c r="G77" s="74"/>
      <c r="H77" s="74"/>
      <c r="I77" s="74"/>
      <c r="J77" s="74"/>
      <c r="K77" s="81"/>
      <c r="L77" s="74"/>
      <c r="M77" s="80"/>
      <c r="N77" s="74"/>
      <c r="O77" s="74"/>
      <c r="P77" s="74"/>
      <c r="Q77" s="74"/>
      <c r="R77" s="74"/>
      <c r="S77" s="74"/>
      <c r="T77" s="74"/>
      <c r="U77" s="74"/>
      <c r="V77" s="81"/>
      <c r="W77" s="74"/>
      <c r="X77" s="80"/>
      <c r="Y77" s="74"/>
      <c r="Z77" s="74"/>
      <c r="AA77" s="74"/>
      <c r="AB77" s="74"/>
      <c r="AC77" s="74"/>
      <c r="AD77" s="74"/>
      <c r="AE77" s="74"/>
      <c r="AF77" s="74"/>
      <c r="AG77" s="81"/>
      <c r="AH77" s="74"/>
      <c r="AI77" s="80"/>
      <c r="AJ77" s="74"/>
      <c r="AK77" s="74"/>
      <c r="AL77" s="74"/>
      <c r="AM77" s="74"/>
      <c r="AN77" s="74"/>
      <c r="AO77" s="74"/>
      <c r="AP77" s="74"/>
      <c r="AQ77" s="74"/>
      <c r="AR77" s="81"/>
      <c r="AS77" s="74"/>
      <c r="AT77" s="80"/>
      <c r="AU77" s="74"/>
      <c r="AV77" s="74"/>
      <c r="AW77" s="74"/>
      <c r="AX77" s="74"/>
      <c r="AY77" s="74"/>
      <c r="AZ77" s="74"/>
      <c r="BA77" s="74"/>
      <c r="BB77" s="74"/>
      <c r="BC77" s="81"/>
      <c r="BD77" s="74"/>
      <c r="BE77" s="80"/>
      <c r="BF77" s="74"/>
      <c r="BG77" s="74"/>
      <c r="BH77" s="74"/>
      <c r="BI77" s="74"/>
      <c r="BJ77" s="74"/>
      <c r="BK77" s="74"/>
      <c r="BL77" s="74"/>
      <c r="BM77" s="74"/>
      <c r="BN77" s="81"/>
    </row>
    <row r="78" spans="1:66" ht="9" customHeight="1" x14ac:dyDescent="0.3">
      <c r="B78" s="80"/>
      <c r="C78" s="74"/>
      <c r="D78" s="74"/>
      <c r="E78" s="74"/>
      <c r="F78" s="74"/>
      <c r="G78" s="74"/>
      <c r="H78" s="74"/>
      <c r="I78" s="74"/>
      <c r="J78" s="74"/>
      <c r="K78" s="81"/>
      <c r="L78" s="74"/>
      <c r="M78" s="80"/>
      <c r="N78" s="74"/>
      <c r="O78" s="74"/>
      <c r="P78" s="74"/>
      <c r="Q78" s="74"/>
      <c r="R78" s="74"/>
      <c r="S78" s="74"/>
      <c r="T78" s="74"/>
      <c r="U78" s="74"/>
      <c r="V78" s="81"/>
      <c r="W78" s="74"/>
      <c r="X78" s="80"/>
      <c r="Y78" s="74"/>
      <c r="Z78" s="74"/>
      <c r="AA78" s="74"/>
      <c r="AB78" s="74"/>
      <c r="AC78" s="74"/>
      <c r="AD78" s="74"/>
      <c r="AE78" s="74"/>
      <c r="AF78" s="74"/>
      <c r="AG78" s="81"/>
      <c r="AH78" s="74"/>
      <c r="AI78" s="80"/>
      <c r="AJ78" s="74"/>
      <c r="AK78" s="74"/>
      <c r="AL78" s="74"/>
      <c r="AM78" s="74"/>
      <c r="AN78" s="74"/>
      <c r="AO78" s="74"/>
      <c r="AP78" s="74"/>
      <c r="AQ78" s="74"/>
      <c r="AR78" s="81"/>
      <c r="AS78" s="74"/>
      <c r="AT78" s="78"/>
      <c r="AU78" s="73"/>
      <c r="AV78" s="73"/>
      <c r="AW78" s="73"/>
      <c r="AX78" s="73"/>
      <c r="AY78" s="73"/>
      <c r="AZ78" s="73"/>
      <c r="BA78" s="73"/>
      <c r="BB78" s="73"/>
      <c r="BC78" s="79"/>
      <c r="BD78" s="74"/>
      <c r="BE78" s="80"/>
      <c r="BF78" s="74"/>
      <c r="BG78" s="74"/>
      <c r="BH78" s="74"/>
      <c r="BI78" s="74"/>
      <c r="BJ78" s="74"/>
      <c r="BK78" s="74"/>
      <c r="BL78" s="74"/>
      <c r="BM78" s="74"/>
      <c r="BN78" s="81"/>
    </row>
    <row r="79" spans="1:66" ht="9" customHeight="1" x14ac:dyDescent="0.3">
      <c r="B79" s="80"/>
      <c r="C79" s="74"/>
      <c r="D79" s="74"/>
      <c r="E79" s="74"/>
      <c r="F79" s="74"/>
      <c r="G79" s="74"/>
      <c r="H79" s="74"/>
      <c r="I79" s="74"/>
      <c r="J79" s="74"/>
      <c r="K79" s="81"/>
      <c r="L79" s="74"/>
      <c r="M79" s="80"/>
      <c r="N79" s="74"/>
      <c r="O79" s="74"/>
      <c r="P79" s="74"/>
      <c r="Q79" s="74"/>
      <c r="R79" s="74"/>
      <c r="S79" s="74"/>
      <c r="T79" s="74"/>
      <c r="U79" s="74"/>
      <c r="V79" s="81"/>
      <c r="W79" s="74"/>
      <c r="X79" s="80"/>
      <c r="Y79" s="74"/>
      <c r="Z79" s="74"/>
      <c r="AA79" s="74"/>
      <c r="AB79" s="74"/>
      <c r="AC79" s="74"/>
      <c r="AD79" s="74"/>
      <c r="AE79" s="74"/>
      <c r="AF79" s="74"/>
      <c r="AG79" s="81"/>
      <c r="AH79" s="74"/>
      <c r="AI79" s="80"/>
      <c r="AJ79" s="74"/>
      <c r="AK79" s="74"/>
      <c r="AL79" s="74"/>
      <c r="AM79" s="74"/>
      <c r="AN79" s="74"/>
      <c r="AO79" s="74"/>
      <c r="AP79" s="74"/>
      <c r="AQ79" s="74"/>
      <c r="AR79" s="81"/>
      <c r="AS79" s="74"/>
      <c r="AT79" s="78"/>
      <c r="AU79" s="73"/>
      <c r="AV79" s="73"/>
      <c r="AW79" s="73"/>
      <c r="AX79" s="73"/>
      <c r="AY79" s="73"/>
      <c r="AZ79" s="73"/>
      <c r="BA79" s="73"/>
      <c r="BB79" s="73"/>
      <c r="BC79" s="79"/>
      <c r="BD79" s="74"/>
      <c r="BE79" s="80"/>
      <c r="BF79" s="74"/>
      <c r="BG79" s="74"/>
      <c r="BH79" s="74"/>
      <c r="BI79" s="74"/>
      <c r="BJ79" s="74"/>
      <c r="BK79" s="74"/>
      <c r="BL79" s="74"/>
      <c r="BM79" s="74"/>
      <c r="BN79" s="81"/>
    </row>
    <row r="80" spans="1:66" ht="9" customHeight="1" x14ac:dyDescent="0.3">
      <c r="B80" s="80"/>
      <c r="C80" s="74"/>
      <c r="D80" s="74"/>
      <c r="E80" s="74"/>
      <c r="F80" s="74"/>
      <c r="G80" s="74"/>
      <c r="H80" s="74"/>
      <c r="I80" s="74"/>
      <c r="J80" s="74"/>
      <c r="K80" s="81"/>
      <c r="L80" s="74"/>
      <c r="M80" s="80"/>
      <c r="N80" s="74"/>
      <c r="O80" s="74"/>
      <c r="P80" s="74"/>
      <c r="Q80" s="74"/>
      <c r="R80" s="74"/>
      <c r="S80" s="74"/>
      <c r="T80" s="74"/>
      <c r="U80" s="74"/>
      <c r="V80" s="81"/>
      <c r="W80" s="74"/>
      <c r="X80" s="80"/>
      <c r="Y80" s="74"/>
      <c r="Z80" s="74"/>
      <c r="AA80" s="74"/>
      <c r="AB80" s="74"/>
      <c r="AC80" s="74"/>
      <c r="AD80" s="74"/>
      <c r="AE80" s="74"/>
      <c r="AF80" s="74"/>
      <c r="AG80" s="81"/>
      <c r="AH80" s="74"/>
      <c r="AI80" s="80"/>
      <c r="AJ80" s="74"/>
      <c r="AK80" s="74"/>
      <c r="AL80" s="74"/>
      <c r="AM80" s="74"/>
      <c r="AN80" s="74"/>
      <c r="AO80" s="74"/>
      <c r="AP80" s="74"/>
      <c r="AQ80" s="74"/>
      <c r="AR80" s="81"/>
      <c r="AS80" s="74"/>
      <c r="AT80" s="78"/>
      <c r="AU80" s="73"/>
      <c r="AV80" s="73"/>
      <c r="AW80" s="73"/>
      <c r="AX80" s="73"/>
      <c r="AY80" s="73"/>
      <c r="AZ80" s="73"/>
      <c r="BA80" s="73"/>
      <c r="BB80" s="73"/>
      <c r="BC80" s="79"/>
      <c r="BD80" s="74"/>
      <c r="BE80" s="80"/>
      <c r="BF80" s="74"/>
      <c r="BG80" s="74"/>
      <c r="BH80" s="74"/>
      <c r="BI80" s="74"/>
      <c r="BJ80" s="74"/>
      <c r="BK80" s="74"/>
      <c r="BL80" s="74"/>
      <c r="BM80" s="74"/>
      <c r="BN80" s="81"/>
    </row>
    <row r="81" spans="1:66" ht="9" customHeight="1" x14ac:dyDescent="0.3">
      <c r="B81" s="80"/>
      <c r="C81" s="74"/>
      <c r="D81" s="74"/>
      <c r="E81" s="74"/>
      <c r="F81" s="74"/>
      <c r="G81" s="74"/>
      <c r="H81" s="74"/>
      <c r="I81" s="74"/>
      <c r="J81" s="74"/>
      <c r="K81" s="81"/>
      <c r="L81" s="74"/>
      <c r="M81" s="80"/>
      <c r="N81" s="74"/>
      <c r="O81" s="74"/>
      <c r="P81" s="74"/>
      <c r="Q81" s="74"/>
      <c r="R81" s="74"/>
      <c r="S81" s="74"/>
      <c r="T81" s="74"/>
      <c r="U81" s="74"/>
      <c r="V81" s="81"/>
      <c r="W81" s="74"/>
      <c r="X81" s="80"/>
      <c r="Y81" s="74"/>
      <c r="Z81" s="74"/>
      <c r="AA81" s="74"/>
      <c r="AB81" s="74"/>
      <c r="AC81" s="74"/>
      <c r="AD81" s="74"/>
      <c r="AE81" s="74"/>
      <c r="AF81" s="74"/>
      <c r="AG81" s="81"/>
      <c r="AH81" s="74"/>
      <c r="AI81" s="80"/>
      <c r="AJ81" s="74"/>
      <c r="AK81" s="74"/>
      <c r="AL81" s="74"/>
      <c r="AM81" s="74"/>
      <c r="AN81" s="74"/>
      <c r="AO81" s="74"/>
      <c r="AP81" s="74"/>
      <c r="AQ81" s="74"/>
      <c r="AR81" s="81"/>
      <c r="AS81" s="74"/>
      <c r="AT81" s="78"/>
      <c r="AU81" s="73"/>
      <c r="AV81" s="73"/>
      <c r="AW81" s="73"/>
      <c r="AX81" s="73"/>
      <c r="AY81" s="73"/>
      <c r="AZ81" s="73"/>
      <c r="BA81" s="73"/>
      <c r="BB81" s="73"/>
      <c r="BC81" s="79"/>
      <c r="BD81" s="74"/>
      <c r="BE81" s="80"/>
      <c r="BF81" s="74"/>
      <c r="BG81" s="74"/>
      <c r="BH81" s="74"/>
      <c r="BI81" s="74"/>
      <c r="BJ81" s="74"/>
      <c r="BK81" s="74"/>
      <c r="BL81" s="74"/>
      <c r="BM81" s="74"/>
      <c r="BN81" s="81"/>
    </row>
    <row r="82" spans="1:66" ht="9" customHeight="1" x14ac:dyDescent="0.3">
      <c r="B82" s="80"/>
      <c r="C82" s="74"/>
      <c r="D82" s="74"/>
      <c r="E82" s="74"/>
      <c r="F82" s="74"/>
      <c r="G82" s="74"/>
      <c r="H82" s="74"/>
      <c r="I82" s="74"/>
      <c r="J82" s="74"/>
      <c r="K82" s="81"/>
      <c r="L82" s="74"/>
      <c r="M82" s="80"/>
      <c r="N82" s="74"/>
      <c r="O82" s="74"/>
      <c r="P82" s="74"/>
      <c r="Q82" s="74"/>
      <c r="R82" s="74"/>
      <c r="S82" s="74"/>
      <c r="T82" s="74"/>
      <c r="U82" s="74"/>
      <c r="V82" s="81"/>
      <c r="W82" s="74"/>
      <c r="X82" s="80"/>
      <c r="Y82" s="74"/>
      <c r="Z82" s="74"/>
      <c r="AA82" s="74"/>
      <c r="AB82" s="74"/>
      <c r="AC82" s="74"/>
      <c r="AD82" s="74"/>
      <c r="AE82" s="74"/>
      <c r="AF82" s="74"/>
      <c r="AG82" s="81"/>
      <c r="AH82" s="74"/>
      <c r="AI82" s="80"/>
      <c r="AJ82" s="74"/>
      <c r="AK82" s="74"/>
      <c r="AL82" s="74"/>
      <c r="AM82" s="74"/>
      <c r="AN82" s="74"/>
      <c r="AO82" s="74"/>
      <c r="AP82" s="74"/>
      <c r="AQ82" s="74"/>
      <c r="AR82" s="81"/>
      <c r="AS82" s="74"/>
      <c r="AT82" s="78"/>
      <c r="AU82" s="73"/>
      <c r="AV82" s="73"/>
      <c r="AW82" s="73"/>
      <c r="AX82" s="73"/>
      <c r="AY82" s="73"/>
      <c r="AZ82" s="73"/>
      <c r="BA82" s="73"/>
      <c r="BB82" s="73"/>
      <c r="BC82" s="79"/>
      <c r="BD82" s="74"/>
      <c r="BE82" s="80"/>
      <c r="BF82" s="74"/>
      <c r="BG82" s="74"/>
      <c r="BH82" s="74"/>
      <c r="BI82" s="74"/>
      <c r="BJ82" s="74"/>
      <c r="BK82" s="74"/>
      <c r="BL82" s="74"/>
      <c r="BM82" s="74"/>
      <c r="BN82" s="81"/>
    </row>
    <row r="83" spans="1:66" ht="9" customHeight="1" x14ac:dyDescent="0.3">
      <c r="B83" s="80"/>
      <c r="C83" s="74"/>
      <c r="D83" s="74"/>
      <c r="E83" s="74"/>
      <c r="F83" s="74"/>
      <c r="G83" s="74"/>
      <c r="H83" s="74"/>
      <c r="I83" s="74"/>
      <c r="J83" s="74"/>
      <c r="K83" s="81"/>
      <c r="L83" s="74"/>
      <c r="M83" s="80"/>
      <c r="N83" s="74"/>
      <c r="O83" s="74"/>
      <c r="P83" s="74"/>
      <c r="Q83" s="74"/>
      <c r="R83" s="74"/>
      <c r="S83" s="74"/>
      <c r="T83" s="74"/>
      <c r="U83" s="74"/>
      <c r="V83" s="81"/>
      <c r="W83" s="74"/>
      <c r="X83" s="80"/>
      <c r="Y83" s="74"/>
      <c r="Z83" s="74"/>
      <c r="AA83" s="74"/>
      <c r="AB83" s="74"/>
      <c r="AC83" s="74"/>
      <c r="AD83" s="74"/>
      <c r="AE83" s="74"/>
      <c r="AF83" s="74"/>
      <c r="AG83" s="81"/>
      <c r="AH83" s="74"/>
      <c r="AI83" s="80"/>
      <c r="AJ83" s="74"/>
      <c r="AK83" s="74"/>
      <c r="AL83" s="74"/>
      <c r="AM83" s="74"/>
      <c r="AN83" s="74"/>
      <c r="AO83" s="74"/>
      <c r="AP83" s="74"/>
      <c r="AQ83" s="74"/>
      <c r="AR83" s="81"/>
      <c r="AS83" s="74"/>
      <c r="AT83" s="78"/>
      <c r="AU83" s="73"/>
      <c r="AV83" s="73"/>
      <c r="AW83" s="73"/>
      <c r="AX83" s="73"/>
      <c r="AY83" s="73"/>
      <c r="AZ83" s="73"/>
      <c r="BA83" s="73"/>
      <c r="BB83" s="73"/>
      <c r="BC83" s="79"/>
      <c r="BD83" s="74"/>
      <c r="BE83" s="80"/>
      <c r="BF83" s="74"/>
      <c r="BG83" s="74"/>
      <c r="BH83" s="74"/>
      <c r="BI83" s="74"/>
      <c r="BJ83" s="74"/>
      <c r="BK83" s="74"/>
      <c r="BL83" s="74"/>
      <c r="BM83" s="74"/>
      <c r="BN83" s="81"/>
    </row>
    <row r="84" spans="1:66" ht="9" customHeight="1" x14ac:dyDescent="0.3">
      <c r="B84" s="80"/>
      <c r="C84" s="74"/>
      <c r="D84" s="74"/>
      <c r="E84" s="74"/>
      <c r="F84" s="74"/>
      <c r="G84" s="74"/>
      <c r="H84" s="74"/>
      <c r="I84" s="74"/>
      <c r="J84" s="74"/>
      <c r="K84" s="81"/>
      <c r="L84" s="74"/>
      <c r="M84" s="80"/>
      <c r="N84" s="74"/>
      <c r="O84" s="74"/>
      <c r="P84" s="74"/>
      <c r="Q84" s="74"/>
      <c r="R84" s="74"/>
      <c r="S84" s="74"/>
      <c r="T84" s="74"/>
      <c r="U84" s="74"/>
      <c r="V84" s="81"/>
      <c r="W84" s="74"/>
      <c r="X84" s="80"/>
      <c r="Y84" s="74"/>
      <c r="Z84" s="74"/>
      <c r="AA84" s="74"/>
      <c r="AB84" s="74"/>
      <c r="AC84" s="74"/>
      <c r="AD84" s="74"/>
      <c r="AE84" s="74"/>
      <c r="AF84" s="74"/>
      <c r="AG84" s="81"/>
      <c r="AH84" s="74"/>
      <c r="AI84" s="80"/>
      <c r="AJ84" s="74"/>
      <c r="AK84" s="74"/>
      <c r="AL84" s="74"/>
      <c r="AM84" s="74"/>
      <c r="AN84" s="74"/>
      <c r="AO84" s="74"/>
      <c r="AP84" s="74"/>
      <c r="AQ84" s="74"/>
      <c r="AR84" s="81"/>
      <c r="AS84" s="74"/>
      <c r="AT84" s="78"/>
      <c r="AU84" s="73"/>
      <c r="AV84" s="73"/>
      <c r="AW84" s="73"/>
      <c r="AX84" s="73"/>
      <c r="AY84" s="73"/>
      <c r="AZ84" s="73"/>
      <c r="BA84" s="73"/>
      <c r="BB84" s="73"/>
      <c r="BC84" s="79"/>
      <c r="BD84" s="74"/>
      <c r="BE84" s="80"/>
      <c r="BF84" s="74"/>
      <c r="BG84" s="74"/>
      <c r="BH84" s="74"/>
      <c r="BI84" s="74"/>
      <c r="BJ84" s="74"/>
      <c r="BK84" s="74"/>
      <c r="BL84" s="74"/>
      <c r="BM84" s="74"/>
      <c r="BN84" s="81"/>
    </row>
    <row r="85" spans="1:66" ht="9" customHeight="1" x14ac:dyDescent="0.3">
      <c r="B85" s="80"/>
      <c r="C85" s="74"/>
      <c r="D85" s="74"/>
      <c r="E85" s="74"/>
      <c r="F85" s="74"/>
      <c r="G85" s="74"/>
      <c r="H85" s="74"/>
      <c r="I85" s="74"/>
      <c r="J85" s="74"/>
      <c r="K85" s="81"/>
      <c r="L85" s="74"/>
      <c r="M85" s="80"/>
      <c r="N85" s="74"/>
      <c r="O85" s="74"/>
      <c r="P85" s="74"/>
      <c r="Q85" s="74"/>
      <c r="R85" s="74"/>
      <c r="S85" s="74"/>
      <c r="T85" s="74"/>
      <c r="U85" s="74"/>
      <c r="V85" s="81"/>
      <c r="W85" s="74"/>
      <c r="X85" s="80"/>
      <c r="Y85" s="74"/>
      <c r="Z85" s="74"/>
      <c r="AA85" s="74"/>
      <c r="AB85" s="74"/>
      <c r="AC85" s="74"/>
      <c r="AD85" s="74"/>
      <c r="AE85" s="74"/>
      <c r="AF85" s="74"/>
      <c r="AG85" s="81"/>
      <c r="AH85" s="74"/>
      <c r="AI85" s="80"/>
      <c r="AJ85" s="74"/>
      <c r="AK85" s="74"/>
      <c r="AL85" s="74"/>
      <c r="AM85" s="74"/>
      <c r="AN85" s="74"/>
      <c r="AO85" s="74"/>
      <c r="AP85" s="74"/>
      <c r="AQ85" s="74"/>
      <c r="AR85" s="81"/>
      <c r="AS85" s="74"/>
      <c r="AT85" s="80"/>
      <c r="AU85" s="74"/>
      <c r="AV85" s="74"/>
      <c r="AW85" s="74"/>
      <c r="AX85" s="74"/>
      <c r="AY85" s="74"/>
      <c r="AZ85" s="74"/>
      <c r="BA85" s="74"/>
      <c r="BB85" s="74"/>
      <c r="BC85" s="81"/>
      <c r="BD85" s="74"/>
      <c r="BE85" s="80"/>
      <c r="BF85" s="74"/>
      <c r="BG85" s="74"/>
      <c r="BH85" s="74"/>
      <c r="BI85" s="74"/>
      <c r="BJ85" s="74"/>
      <c r="BK85" s="74"/>
      <c r="BL85" s="74"/>
      <c r="BM85" s="74"/>
      <c r="BN85" s="81"/>
    </row>
    <row r="86" spans="1:66" ht="9" customHeight="1" x14ac:dyDescent="0.3">
      <c r="B86" s="80"/>
      <c r="C86" s="74"/>
      <c r="D86" s="74"/>
      <c r="E86" s="74"/>
      <c r="F86" s="74"/>
      <c r="G86" s="74"/>
      <c r="H86" s="74"/>
      <c r="I86" s="74"/>
      <c r="J86" s="74"/>
      <c r="K86" s="81"/>
      <c r="L86" s="74"/>
      <c r="M86" s="320"/>
      <c r="N86" s="321"/>
      <c r="O86" s="321"/>
      <c r="P86" s="321"/>
      <c r="Q86" s="322"/>
      <c r="R86" s="332" t="s">
        <v>139</v>
      </c>
      <c r="S86" s="334"/>
      <c r="T86" s="332" t="s">
        <v>170</v>
      </c>
      <c r="U86" s="333"/>
      <c r="V86" s="349"/>
      <c r="W86" s="74"/>
      <c r="X86" s="80"/>
      <c r="Y86" s="74"/>
      <c r="Z86" s="74"/>
      <c r="AA86" s="74"/>
      <c r="AB86" s="74"/>
      <c r="AC86" s="332" t="s">
        <v>139</v>
      </c>
      <c r="AD86" s="334"/>
      <c r="AE86" s="332" t="s">
        <v>170</v>
      </c>
      <c r="AF86" s="333"/>
      <c r="AG86" s="349"/>
      <c r="AH86" s="74"/>
      <c r="AI86" s="82"/>
      <c r="AJ86" s="74"/>
      <c r="AK86" s="74"/>
      <c r="AL86" s="74"/>
      <c r="AM86" s="74"/>
      <c r="AN86" s="74"/>
      <c r="AO86" s="114"/>
      <c r="AP86" s="114"/>
      <c r="AQ86" s="114"/>
      <c r="AR86" s="115"/>
      <c r="AS86" s="74"/>
      <c r="AT86" s="78"/>
      <c r="AU86" s="73"/>
      <c r="AV86" s="73"/>
      <c r="AW86" s="73"/>
      <c r="AX86" s="73"/>
      <c r="AY86" s="346" t="s">
        <v>139</v>
      </c>
      <c r="AZ86" s="347"/>
      <c r="BA86" s="350" t="s">
        <v>176</v>
      </c>
      <c r="BB86" s="333"/>
      <c r="BC86" s="349"/>
      <c r="BD86" s="74"/>
      <c r="BE86" s="80"/>
      <c r="BF86" s="74"/>
      <c r="BG86" s="74"/>
      <c r="BH86" s="74"/>
      <c r="BI86" s="74"/>
      <c r="BJ86" s="74"/>
      <c r="BK86" s="74"/>
      <c r="BL86" s="74"/>
      <c r="BM86" s="74"/>
      <c r="BN86" s="81"/>
    </row>
    <row r="87" spans="1:66" ht="9" customHeight="1" x14ac:dyDescent="0.3">
      <c r="B87" s="318" t="s">
        <v>801</v>
      </c>
      <c r="C87" s="316"/>
      <c r="D87" s="316"/>
      <c r="E87" s="316"/>
      <c r="F87" s="316"/>
      <c r="G87" s="316"/>
      <c r="H87" s="316"/>
      <c r="I87" s="316"/>
      <c r="J87" s="316"/>
      <c r="K87" s="319"/>
      <c r="L87" s="74"/>
      <c r="M87" s="323" t="s">
        <v>171</v>
      </c>
      <c r="N87" s="323"/>
      <c r="O87" s="323"/>
      <c r="P87" s="323"/>
      <c r="Q87" s="323"/>
      <c r="R87" s="351">
        <f>CEILING(1280*B3,1)</f>
        <v>1792</v>
      </c>
      <c r="S87" s="351"/>
      <c r="T87" s="351">
        <f>CEILING(1684*B3,1)</f>
        <v>2358</v>
      </c>
      <c r="U87" s="351"/>
      <c r="V87" s="351"/>
      <c r="W87" s="85"/>
      <c r="X87" s="323" t="s">
        <v>173</v>
      </c>
      <c r="Y87" s="323"/>
      <c r="Z87" s="323"/>
      <c r="AA87" s="323"/>
      <c r="AB87" s="323"/>
      <c r="AC87" s="324">
        <f>CEILING(1674*B3,1)</f>
        <v>2344</v>
      </c>
      <c r="AD87" s="324"/>
      <c r="AE87" s="324">
        <f>CEILING(2793*B3,1)</f>
        <v>3911</v>
      </c>
      <c r="AF87" s="324"/>
      <c r="AG87" s="324"/>
      <c r="AH87" s="74"/>
      <c r="AI87" s="80"/>
      <c r="AJ87" s="74"/>
      <c r="AK87" s="74"/>
      <c r="AL87" s="74"/>
      <c r="AM87" s="74"/>
      <c r="AN87" s="116"/>
      <c r="AO87" s="321" t="s">
        <v>139</v>
      </c>
      <c r="AP87" s="321"/>
      <c r="AQ87" s="321"/>
      <c r="AR87" s="322"/>
      <c r="AS87" s="74"/>
      <c r="AT87" s="323" t="s">
        <v>82</v>
      </c>
      <c r="AU87" s="323"/>
      <c r="AV87" s="323"/>
      <c r="AW87" s="323"/>
      <c r="AX87" s="323"/>
      <c r="AY87" s="324">
        <f>CEILING(1249*B3,1)</f>
        <v>1749</v>
      </c>
      <c r="AZ87" s="324"/>
      <c r="BA87" s="324">
        <f>CEILING(1963*B3,1)</f>
        <v>2749</v>
      </c>
      <c r="BB87" s="324"/>
      <c r="BC87" s="324"/>
      <c r="BD87" s="74"/>
      <c r="BE87" s="80"/>
      <c r="BF87" s="74"/>
      <c r="BG87" s="74"/>
      <c r="BH87" s="74"/>
      <c r="BI87" s="74"/>
      <c r="BJ87" s="346" t="s">
        <v>139</v>
      </c>
      <c r="BK87" s="348"/>
      <c r="BL87" s="346" t="s">
        <v>72</v>
      </c>
      <c r="BM87" s="348"/>
      <c r="BN87" s="347"/>
    </row>
    <row r="88" spans="1:66" s="5" customFormat="1" ht="9" customHeight="1" x14ac:dyDescent="0.3">
      <c r="A88" s="86"/>
      <c r="B88" s="323" t="s">
        <v>73</v>
      </c>
      <c r="C88" s="323"/>
      <c r="D88" s="323"/>
      <c r="E88" s="323"/>
      <c r="F88" s="323"/>
      <c r="G88" s="323"/>
      <c r="H88" s="324">
        <f>CEILING(1319*B3,1)</f>
        <v>1847</v>
      </c>
      <c r="I88" s="324"/>
      <c r="J88" s="324"/>
      <c r="K88" s="324"/>
      <c r="L88" s="85"/>
      <c r="M88" s="323" t="s">
        <v>172</v>
      </c>
      <c r="N88" s="323"/>
      <c r="O88" s="323"/>
      <c r="P88" s="323"/>
      <c r="Q88" s="323"/>
      <c r="R88" s="351">
        <f>CEILING(1615*B3,1)</f>
        <v>2261</v>
      </c>
      <c r="S88" s="351"/>
      <c r="T88" s="351">
        <f>CEILING(2048*B3,1)</f>
        <v>2868</v>
      </c>
      <c r="U88" s="351"/>
      <c r="V88" s="351"/>
      <c r="W88" s="85"/>
      <c r="X88" s="323" t="s">
        <v>174</v>
      </c>
      <c r="Y88" s="323"/>
      <c r="Z88" s="323"/>
      <c r="AA88" s="323"/>
      <c r="AB88" s="323"/>
      <c r="AC88" s="324">
        <f>CEILING(2047*B3,1)</f>
        <v>2866</v>
      </c>
      <c r="AD88" s="324"/>
      <c r="AE88" s="324">
        <f>CEILING(3328*B3,1)</f>
        <v>4660</v>
      </c>
      <c r="AF88" s="324"/>
      <c r="AG88" s="324"/>
      <c r="AH88" s="85"/>
      <c r="AI88" s="323" t="s">
        <v>80</v>
      </c>
      <c r="AJ88" s="323"/>
      <c r="AK88" s="323"/>
      <c r="AL88" s="323"/>
      <c r="AM88" s="323"/>
      <c r="AN88" s="323"/>
      <c r="AO88" s="324">
        <f>CEILING(1068*B3,1)</f>
        <v>1496</v>
      </c>
      <c r="AP88" s="324"/>
      <c r="AQ88" s="324"/>
      <c r="AR88" s="324"/>
      <c r="AS88" s="85"/>
      <c r="AT88" s="323" t="s">
        <v>83</v>
      </c>
      <c r="AU88" s="323"/>
      <c r="AV88" s="323"/>
      <c r="AW88" s="323"/>
      <c r="AX88" s="323"/>
      <c r="AY88" s="324">
        <f>CEILING(1330*B3,1)</f>
        <v>1862</v>
      </c>
      <c r="AZ88" s="324"/>
      <c r="BA88" s="324">
        <f>CEILING(2015*B3,1)</f>
        <v>2821</v>
      </c>
      <c r="BB88" s="324"/>
      <c r="BC88" s="324"/>
      <c r="BD88" s="85"/>
      <c r="BE88" s="323" t="s">
        <v>48</v>
      </c>
      <c r="BF88" s="323"/>
      <c r="BG88" s="323"/>
      <c r="BH88" s="323"/>
      <c r="BI88" s="323"/>
      <c r="BJ88" s="324">
        <f>CEILING(509*B3,1)</f>
        <v>713</v>
      </c>
      <c r="BK88" s="324"/>
      <c r="BL88" s="324">
        <f>CEILING(558*B3,1)</f>
        <v>782</v>
      </c>
      <c r="BM88" s="324"/>
      <c r="BN88" s="324"/>
    </row>
    <row r="89" spans="1:66" ht="1.95" customHeight="1" x14ac:dyDescent="0.3"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</row>
    <row r="90" spans="1:66" ht="9" customHeight="1" x14ac:dyDescent="0.3">
      <c r="B90" s="305" t="s">
        <v>77</v>
      </c>
      <c r="C90" s="306"/>
      <c r="D90" s="307"/>
      <c r="E90" s="308" t="s">
        <v>81</v>
      </c>
      <c r="F90" s="309"/>
      <c r="G90" s="309"/>
      <c r="H90" s="309"/>
      <c r="I90" s="309"/>
      <c r="J90" s="309"/>
      <c r="K90" s="310"/>
      <c r="L90" s="74"/>
      <c r="M90" s="305" t="s">
        <v>79</v>
      </c>
      <c r="N90" s="306"/>
      <c r="O90" s="307"/>
      <c r="P90" s="308" t="s">
        <v>87</v>
      </c>
      <c r="Q90" s="309"/>
      <c r="R90" s="309"/>
      <c r="S90" s="309"/>
      <c r="T90" s="309"/>
      <c r="U90" s="309"/>
      <c r="V90" s="310"/>
      <c r="W90" s="74"/>
      <c r="X90" s="305" t="s">
        <v>88</v>
      </c>
      <c r="Y90" s="306"/>
      <c r="Z90" s="307"/>
      <c r="AA90" s="308" t="s">
        <v>87</v>
      </c>
      <c r="AB90" s="309"/>
      <c r="AC90" s="309"/>
      <c r="AD90" s="309"/>
      <c r="AE90" s="309"/>
      <c r="AF90" s="309"/>
      <c r="AG90" s="310"/>
      <c r="AH90" s="74"/>
      <c r="AI90" s="305" t="s">
        <v>89</v>
      </c>
      <c r="AJ90" s="306"/>
      <c r="AK90" s="307"/>
      <c r="AL90" s="308" t="s">
        <v>87</v>
      </c>
      <c r="AM90" s="309"/>
      <c r="AN90" s="309"/>
      <c r="AO90" s="309"/>
      <c r="AP90" s="309"/>
      <c r="AQ90" s="309"/>
      <c r="AR90" s="310"/>
      <c r="AS90" s="74"/>
      <c r="AT90" s="305" t="s">
        <v>92</v>
      </c>
      <c r="AU90" s="306"/>
      <c r="AV90" s="307"/>
      <c r="AW90" s="308" t="s">
        <v>94</v>
      </c>
      <c r="AX90" s="309"/>
      <c r="AY90" s="309"/>
      <c r="AZ90" s="309"/>
      <c r="BA90" s="309"/>
      <c r="BB90" s="309"/>
      <c r="BC90" s="310"/>
      <c r="BD90" s="74"/>
      <c r="BE90" s="305" t="s">
        <v>93</v>
      </c>
      <c r="BF90" s="306"/>
      <c r="BG90" s="307"/>
      <c r="BH90" s="308" t="s">
        <v>94</v>
      </c>
      <c r="BI90" s="309"/>
      <c r="BJ90" s="309"/>
      <c r="BK90" s="309"/>
      <c r="BL90" s="309"/>
      <c r="BM90" s="309"/>
      <c r="BN90" s="310"/>
    </row>
    <row r="91" spans="1:66" ht="9" customHeight="1" x14ac:dyDescent="0.3">
      <c r="B91" s="80"/>
      <c r="C91" s="74"/>
      <c r="D91" s="74"/>
      <c r="E91" s="74"/>
      <c r="F91" s="74"/>
      <c r="G91" s="74"/>
      <c r="H91" s="74"/>
      <c r="I91" s="74"/>
      <c r="J91" s="74"/>
      <c r="K91" s="81"/>
      <c r="L91" s="74"/>
      <c r="M91" s="80"/>
      <c r="N91" s="74"/>
      <c r="O91" s="74"/>
      <c r="P91" s="74"/>
      <c r="Q91" s="74"/>
      <c r="R91" s="74"/>
      <c r="S91" s="74"/>
      <c r="T91" s="74"/>
      <c r="U91" s="74"/>
      <c r="V91" s="81"/>
      <c r="W91" s="74"/>
      <c r="X91" s="80"/>
      <c r="Y91" s="74"/>
      <c r="Z91" s="74"/>
      <c r="AA91" s="74"/>
      <c r="AB91" s="74"/>
      <c r="AC91" s="74"/>
      <c r="AD91" s="74"/>
      <c r="AE91" s="74"/>
      <c r="AF91" s="74"/>
      <c r="AG91" s="81"/>
      <c r="AH91" s="74"/>
      <c r="AI91" s="318" t="s">
        <v>592</v>
      </c>
      <c r="AJ91" s="316"/>
      <c r="AK91" s="316"/>
      <c r="AL91" s="316"/>
      <c r="AM91" s="316"/>
      <c r="AN91" s="316"/>
      <c r="AO91" s="316"/>
      <c r="AP91" s="316"/>
      <c r="AQ91" s="316"/>
      <c r="AR91" s="319"/>
      <c r="AS91" s="74"/>
      <c r="AT91" s="318" t="s">
        <v>774</v>
      </c>
      <c r="AU91" s="316"/>
      <c r="AV91" s="316"/>
      <c r="AW91" s="316"/>
      <c r="AX91" s="316"/>
      <c r="AY91" s="316"/>
      <c r="AZ91" s="316"/>
      <c r="BA91" s="316"/>
      <c r="BB91" s="316"/>
      <c r="BC91" s="319"/>
      <c r="BD91" s="74"/>
      <c r="BE91" s="318" t="s">
        <v>773</v>
      </c>
      <c r="BF91" s="316"/>
      <c r="BG91" s="316"/>
      <c r="BH91" s="316"/>
      <c r="BI91" s="316"/>
      <c r="BJ91" s="316"/>
      <c r="BK91" s="316"/>
      <c r="BL91" s="316"/>
      <c r="BM91" s="316"/>
      <c r="BN91" s="319"/>
    </row>
    <row r="92" spans="1:66" ht="9" customHeight="1" x14ac:dyDescent="0.3">
      <c r="B92" s="78"/>
      <c r="C92" s="73"/>
      <c r="D92" s="73"/>
      <c r="E92" s="73"/>
      <c r="F92" s="73"/>
      <c r="G92" s="73"/>
      <c r="H92" s="73"/>
      <c r="I92" s="73"/>
      <c r="J92" s="73"/>
      <c r="K92" s="79"/>
      <c r="L92" s="74"/>
      <c r="M92" s="78"/>
      <c r="N92" s="73"/>
      <c r="O92" s="73"/>
      <c r="P92" s="73"/>
      <c r="Q92" s="73"/>
      <c r="R92" s="73"/>
      <c r="S92" s="73"/>
      <c r="T92" s="73"/>
      <c r="U92" s="73"/>
      <c r="V92" s="79"/>
      <c r="W92" s="74"/>
      <c r="X92" s="80"/>
      <c r="Y92" s="74"/>
      <c r="Z92" s="74"/>
      <c r="AA92" s="74"/>
      <c r="AB92" s="74"/>
      <c r="AC92" s="74"/>
      <c r="AD92" s="74"/>
      <c r="AE92" s="74"/>
      <c r="AF92" s="74"/>
      <c r="AG92" s="81"/>
      <c r="AH92" s="74"/>
      <c r="AI92" s="78"/>
      <c r="AJ92" s="73"/>
      <c r="AK92" s="73"/>
      <c r="AL92" s="73"/>
      <c r="AM92" s="73"/>
      <c r="AN92" s="73"/>
      <c r="AO92" s="73"/>
      <c r="AP92" s="73"/>
      <c r="AQ92" s="73"/>
      <c r="AR92" s="79"/>
      <c r="AS92" s="74"/>
      <c r="AT92" s="78"/>
      <c r="AU92" s="73"/>
      <c r="AV92" s="73"/>
      <c r="AW92" s="73"/>
      <c r="AX92" s="73"/>
      <c r="AY92" s="73"/>
      <c r="AZ92" s="73"/>
      <c r="BA92" s="73"/>
      <c r="BB92" s="73"/>
      <c r="BC92" s="79"/>
      <c r="BD92" s="74"/>
      <c r="BE92" s="80"/>
      <c r="BF92" s="74"/>
      <c r="BG92" s="74"/>
      <c r="BH92" s="74"/>
      <c r="BI92" s="74"/>
      <c r="BJ92" s="74"/>
      <c r="BK92" s="74"/>
      <c r="BL92" s="74"/>
      <c r="BM92" s="74"/>
      <c r="BN92" s="81"/>
    </row>
    <row r="93" spans="1:66" ht="9" customHeight="1" x14ac:dyDescent="0.3">
      <c r="B93" s="78"/>
      <c r="C93" s="73"/>
      <c r="D93" s="73"/>
      <c r="E93" s="73"/>
      <c r="F93" s="73"/>
      <c r="G93" s="73"/>
      <c r="H93" s="73"/>
      <c r="I93" s="73"/>
      <c r="J93" s="73"/>
      <c r="K93" s="79"/>
      <c r="L93" s="74"/>
      <c r="M93" s="78"/>
      <c r="N93" s="73"/>
      <c r="O93" s="73"/>
      <c r="P93" s="73"/>
      <c r="Q93" s="73"/>
      <c r="R93" s="73"/>
      <c r="S93" s="73"/>
      <c r="T93" s="73"/>
      <c r="U93" s="73"/>
      <c r="V93" s="79"/>
      <c r="W93" s="74"/>
      <c r="X93" s="80"/>
      <c r="Y93" s="74"/>
      <c r="Z93" s="74"/>
      <c r="AA93" s="74"/>
      <c r="AB93" s="74"/>
      <c r="AC93" s="74"/>
      <c r="AD93" s="74"/>
      <c r="AE93" s="74"/>
      <c r="AF93" s="74"/>
      <c r="AG93" s="81"/>
      <c r="AH93" s="74"/>
      <c r="AI93" s="78"/>
      <c r="AJ93" s="73"/>
      <c r="AK93" s="73"/>
      <c r="AL93" s="73"/>
      <c r="AM93" s="73"/>
      <c r="AN93" s="73"/>
      <c r="AO93" s="73"/>
      <c r="AP93" s="73"/>
      <c r="AQ93" s="73"/>
      <c r="AR93" s="79"/>
      <c r="AS93" s="74"/>
      <c r="AT93" s="78"/>
      <c r="AU93" s="73"/>
      <c r="AV93" s="73"/>
      <c r="AW93" s="73"/>
      <c r="AX93" s="73"/>
      <c r="AY93" s="73"/>
      <c r="AZ93" s="73"/>
      <c r="BA93" s="73"/>
      <c r="BB93" s="73"/>
      <c r="BC93" s="79"/>
      <c r="BD93" s="74"/>
      <c r="BE93" s="80"/>
      <c r="BF93" s="74"/>
      <c r="BG93" s="74"/>
      <c r="BH93" s="74"/>
      <c r="BI93" s="74"/>
      <c r="BJ93" s="74"/>
      <c r="BK93" s="74"/>
      <c r="BL93" s="74"/>
      <c r="BM93" s="74"/>
      <c r="BN93" s="81"/>
    </row>
    <row r="94" spans="1:66" ht="9" customHeight="1" x14ac:dyDescent="0.3">
      <c r="B94" s="78"/>
      <c r="C94" s="73"/>
      <c r="D94" s="73"/>
      <c r="E94" s="73"/>
      <c r="F94" s="73"/>
      <c r="G94" s="73"/>
      <c r="H94" s="73"/>
      <c r="I94" s="73"/>
      <c r="J94" s="73"/>
      <c r="K94" s="79"/>
      <c r="L94" s="74"/>
      <c r="M94" s="78"/>
      <c r="N94" s="73"/>
      <c r="O94" s="73"/>
      <c r="P94" s="73"/>
      <c r="Q94" s="73"/>
      <c r="R94" s="73"/>
      <c r="S94" s="73"/>
      <c r="T94" s="73"/>
      <c r="U94" s="73"/>
      <c r="V94" s="79"/>
      <c r="W94" s="74"/>
      <c r="X94" s="80"/>
      <c r="Y94" s="74"/>
      <c r="Z94" s="74"/>
      <c r="AA94" s="74"/>
      <c r="AB94" s="74"/>
      <c r="AC94" s="74"/>
      <c r="AD94" s="74"/>
      <c r="AE94" s="74"/>
      <c r="AF94" s="74"/>
      <c r="AG94" s="81"/>
      <c r="AH94" s="74"/>
      <c r="AI94" s="78"/>
      <c r="AJ94" s="73"/>
      <c r="AK94" s="73"/>
      <c r="AL94" s="73"/>
      <c r="AM94" s="73"/>
      <c r="AN94" s="73"/>
      <c r="AO94" s="73"/>
      <c r="AP94" s="73"/>
      <c r="AQ94" s="73"/>
      <c r="AR94" s="79"/>
      <c r="AS94" s="74"/>
      <c r="AT94" s="78"/>
      <c r="AU94" s="73"/>
      <c r="AV94" s="73"/>
      <c r="AW94" s="73"/>
      <c r="AX94" s="73"/>
      <c r="AY94" s="73"/>
      <c r="AZ94" s="73"/>
      <c r="BA94" s="73"/>
      <c r="BB94" s="73"/>
      <c r="BC94" s="79"/>
      <c r="BD94" s="74"/>
      <c r="BE94" s="80"/>
      <c r="BF94" s="74"/>
      <c r="BG94" s="74"/>
      <c r="BH94" s="74"/>
      <c r="BI94" s="74"/>
      <c r="BJ94" s="74"/>
      <c r="BK94" s="74"/>
      <c r="BL94" s="74"/>
      <c r="BM94" s="74"/>
      <c r="BN94" s="81"/>
    </row>
    <row r="95" spans="1:66" ht="9" customHeight="1" x14ac:dyDescent="0.3">
      <c r="B95" s="78"/>
      <c r="C95" s="73"/>
      <c r="D95" s="73"/>
      <c r="E95" s="73"/>
      <c r="F95" s="73"/>
      <c r="G95" s="73"/>
      <c r="H95" s="73"/>
      <c r="I95" s="73"/>
      <c r="J95" s="73"/>
      <c r="K95" s="79"/>
      <c r="L95" s="74"/>
      <c r="M95" s="78"/>
      <c r="N95" s="73"/>
      <c r="O95" s="73"/>
      <c r="P95" s="73"/>
      <c r="Q95" s="73"/>
      <c r="R95" s="73"/>
      <c r="S95" s="73"/>
      <c r="T95" s="73"/>
      <c r="U95" s="73"/>
      <c r="V95" s="79"/>
      <c r="W95" s="74"/>
      <c r="X95" s="80"/>
      <c r="Y95" s="74"/>
      <c r="Z95" s="74"/>
      <c r="AA95" s="74"/>
      <c r="AB95" s="74"/>
      <c r="AC95" s="74"/>
      <c r="AD95" s="74"/>
      <c r="AE95" s="74"/>
      <c r="AF95" s="74"/>
      <c r="AG95" s="81"/>
      <c r="AH95" s="74"/>
      <c r="AI95" s="78"/>
      <c r="AJ95" s="73"/>
      <c r="AK95" s="73"/>
      <c r="AL95" s="73"/>
      <c r="AM95" s="73"/>
      <c r="AN95" s="73"/>
      <c r="AO95" s="73"/>
      <c r="AP95" s="73"/>
      <c r="AQ95" s="73"/>
      <c r="AR95" s="79"/>
      <c r="AS95" s="74"/>
      <c r="AT95" s="78"/>
      <c r="AU95" s="73"/>
      <c r="AV95" s="73"/>
      <c r="AW95" s="73"/>
      <c r="AX95" s="73"/>
      <c r="AY95" s="73"/>
      <c r="AZ95" s="73"/>
      <c r="BA95" s="73"/>
      <c r="BB95" s="73"/>
      <c r="BC95" s="79"/>
      <c r="BD95" s="74"/>
      <c r="BE95" s="80"/>
      <c r="BF95" s="74"/>
      <c r="BG95" s="74"/>
      <c r="BH95" s="74"/>
      <c r="BI95" s="74"/>
      <c r="BJ95" s="74"/>
      <c r="BK95" s="74"/>
      <c r="BL95" s="74"/>
      <c r="BM95" s="74"/>
      <c r="BN95" s="81"/>
    </row>
    <row r="96" spans="1:66" ht="9" customHeight="1" x14ac:dyDescent="0.3">
      <c r="B96" s="78"/>
      <c r="C96" s="73"/>
      <c r="D96" s="73"/>
      <c r="E96" s="73"/>
      <c r="F96" s="73"/>
      <c r="G96" s="73"/>
      <c r="H96" s="73"/>
      <c r="I96" s="73"/>
      <c r="J96" s="73"/>
      <c r="K96" s="79"/>
      <c r="L96" s="74"/>
      <c r="M96" s="78"/>
      <c r="N96" s="73"/>
      <c r="O96" s="73"/>
      <c r="P96" s="73"/>
      <c r="Q96" s="73"/>
      <c r="R96" s="73"/>
      <c r="S96" s="73"/>
      <c r="T96" s="73"/>
      <c r="U96" s="73"/>
      <c r="V96" s="79"/>
      <c r="W96" s="74"/>
      <c r="X96" s="80"/>
      <c r="Y96" s="74"/>
      <c r="Z96" s="74"/>
      <c r="AA96" s="74"/>
      <c r="AB96" s="74"/>
      <c r="AC96" s="74"/>
      <c r="AD96" s="74"/>
      <c r="AE96" s="74"/>
      <c r="AF96" s="74"/>
      <c r="AG96" s="81"/>
      <c r="AH96" s="74"/>
      <c r="AI96" s="78"/>
      <c r="AJ96" s="73"/>
      <c r="AK96" s="73"/>
      <c r="AL96" s="73"/>
      <c r="AM96" s="73"/>
      <c r="AN96" s="73"/>
      <c r="AO96" s="73"/>
      <c r="AP96" s="73"/>
      <c r="AQ96" s="73"/>
      <c r="AR96" s="79"/>
      <c r="AS96" s="74"/>
      <c r="AT96" s="78"/>
      <c r="AU96" s="73"/>
      <c r="AV96" s="73"/>
      <c r="AW96" s="73"/>
      <c r="AX96" s="73"/>
      <c r="AY96" s="73"/>
      <c r="AZ96" s="73"/>
      <c r="BA96" s="73"/>
      <c r="BB96" s="73"/>
      <c r="BC96" s="79"/>
      <c r="BD96" s="74"/>
      <c r="BE96" s="80"/>
      <c r="BF96" s="74"/>
      <c r="BG96" s="74"/>
      <c r="BH96" s="74"/>
      <c r="BI96" s="74"/>
      <c r="BJ96" s="74"/>
      <c r="BK96" s="74"/>
      <c r="BL96" s="74"/>
      <c r="BM96" s="74"/>
      <c r="BN96" s="81"/>
    </row>
    <row r="97" spans="1:66" ht="9" customHeight="1" x14ac:dyDescent="0.3">
      <c r="B97" s="78"/>
      <c r="C97" s="73"/>
      <c r="D97" s="73"/>
      <c r="E97" s="73"/>
      <c r="F97" s="73"/>
      <c r="G97" s="73"/>
      <c r="H97" s="73"/>
      <c r="I97" s="73"/>
      <c r="J97" s="73"/>
      <c r="K97" s="79"/>
      <c r="L97" s="74"/>
      <c r="M97" s="78"/>
      <c r="N97" s="73"/>
      <c r="O97" s="73"/>
      <c r="P97" s="73"/>
      <c r="Q97" s="73"/>
      <c r="R97" s="73"/>
      <c r="S97" s="73"/>
      <c r="T97" s="73"/>
      <c r="U97" s="73"/>
      <c r="V97" s="79"/>
      <c r="W97" s="74"/>
      <c r="X97" s="80"/>
      <c r="Y97" s="74"/>
      <c r="Z97" s="74"/>
      <c r="AA97" s="74"/>
      <c r="AB97" s="74"/>
      <c r="AC97" s="74"/>
      <c r="AD97" s="74"/>
      <c r="AE97" s="74"/>
      <c r="AF97" s="74"/>
      <c r="AG97" s="81"/>
      <c r="AH97" s="74"/>
      <c r="AI97" s="78"/>
      <c r="AJ97" s="73"/>
      <c r="AK97" s="73"/>
      <c r="AL97" s="73"/>
      <c r="AM97" s="73"/>
      <c r="AN97" s="73"/>
      <c r="AO97" s="73"/>
      <c r="AP97" s="73"/>
      <c r="AQ97" s="73"/>
      <c r="AR97" s="79"/>
      <c r="AS97" s="74"/>
      <c r="AT97" s="78"/>
      <c r="AU97" s="73"/>
      <c r="AV97" s="73"/>
      <c r="AW97" s="73"/>
      <c r="AX97" s="73"/>
      <c r="AY97" s="73"/>
      <c r="AZ97" s="73"/>
      <c r="BA97" s="73"/>
      <c r="BB97" s="73"/>
      <c r="BC97" s="79"/>
      <c r="BD97" s="74"/>
      <c r="BE97" s="80"/>
      <c r="BF97" s="74"/>
      <c r="BG97" s="74"/>
      <c r="BH97" s="74"/>
      <c r="BI97" s="74"/>
      <c r="BJ97" s="74"/>
      <c r="BK97" s="74"/>
      <c r="BL97" s="74"/>
      <c r="BM97" s="74"/>
      <c r="BN97" s="81"/>
    </row>
    <row r="98" spans="1:66" ht="9" customHeight="1" x14ac:dyDescent="0.3">
      <c r="B98" s="78"/>
      <c r="C98" s="73"/>
      <c r="D98" s="73"/>
      <c r="E98" s="73"/>
      <c r="F98" s="73"/>
      <c r="G98" s="73"/>
      <c r="H98" s="73"/>
      <c r="I98" s="73"/>
      <c r="J98" s="73"/>
      <c r="K98" s="79"/>
      <c r="L98" s="74"/>
      <c r="M98" s="78"/>
      <c r="N98" s="73"/>
      <c r="O98" s="73"/>
      <c r="P98" s="73"/>
      <c r="Q98" s="73"/>
      <c r="R98" s="73"/>
      <c r="S98" s="73"/>
      <c r="T98" s="73"/>
      <c r="U98" s="73"/>
      <c r="V98" s="79"/>
      <c r="W98" s="74"/>
      <c r="X98" s="80"/>
      <c r="Y98" s="74"/>
      <c r="Z98" s="74"/>
      <c r="AA98" s="74"/>
      <c r="AB98" s="74"/>
      <c r="AC98" s="74"/>
      <c r="AD98" s="74"/>
      <c r="AE98" s="74"/>
      <c r="AF98" s="74"/>
      <c r="AG98" s="81"/>
      <c r="AH98" s="74"/>
      <c r="AI98" s="78"/>
      <c r="AJ98" s="73"/>
      <c r="AK98" s="73"/>
      <c r="AL98" s="73"/>
      <c r="AM98" s="73"/>
      <c r="AN98" s="73"/>
      <c r="AO98" s="73"/>
      <c r="AP98" s="73"/>
      <c r="AQ98" s="73"/>
      <c r="AR98" s="79"/>
      <c r="AS98" s="74"/>
      <c r="AT98" s="78"/>
      <c r="AU98" s="73"/>
      <c r="AV98" s="73"/>
      <c r="AW98" s="73"/>
      <c r="AX98" s="73"/>
      <c r="AY98" s="73"/>
      <c r="AZ98" s="73"/>
      <c r="BA98" s="73"/>
      <c r="BB98" s="73"/>
      <c r="BC98" s="79"/>
      <c r="BD98" s="74"/>
      <c r="BE98" s="80"/>
      <c r="BF98" s="74"/>
      <c r="BG98" s="74"/>
      <c r="BH98" s="74"/>
      <c r="BI98" s="74"/>
      <c r="BJ98" s="74"/>
      <c r="BK98" s="74"/>
      <c r="BL98" s="74"/>
      <c r="BM98" s="74"/>
      <c r="BN98" s="81"/>
    </row>
    <row r="99" spans="1:66" ht="9" customHeight="1" x14ac:dyDescent="0.3">
      <c r="B99" s="80" t="s">
        <v>772</v>
      </c>
      <c r="C99" s="74"/>
      <c r="D99" s="74"/>
      <c r="E99" s="74"/>
      <c r="F99" s="74"/>
      <c r="G99" s="74"/>
      <c r="H99" s="74"/>
      <c r="I99" s="74"/>
      <c r="J99" s="74"/>
      <c r="K99" s="81"/>
      <c r="L99" s="74"/>
      <c r="M99" s="80"/>
      <c r="N99" s="74"/>
      <c r="O99" s="74"/>
      <c r="P99" s="74"/>
      <c r="Q99" s="74"/>
      <c r="R99" s="74"/>
      <c r="S99" s="74"/>
      <c r="T99" s="74"/>
      <c r="U99" s="74"/>
      <c r="V99" s="81"/>
      <c r="W99" s="74"/>
      <c r="X99" s="80" t="s">
        <v>772</v>
      </c>
      <c r="Y99" s="74"/>
      <c r="Z99" s="74"/>
      <c r="AA99" s="74"/>
      <c r="AB99" s="74"/>
      <c r="AC99" s="74"/>
      <c r="AD99" s="346" t="s">
        <v>176</v>
      </c>
      <c r="AE99" s="348"/>
      <c r="AF99" s="348"/>
      <c r="AG99" s="347"/>
      <c r="AH99" s="74"/>
      <c r="AI99" s="80"/>
      <c r="AJ99" s="74"/>
      <c r="AK99" s="74"/>
      <c r="AL99" s="74"/>
      <c r="AM99" s="74"/>
      <c r="AN99" s="74"/>
      <c r="AO99" s="74"/>
      <c r="AP99" s="74"/>
      <c r="AQ99" s="74"/>
      <c r="AR99" s="81"/>
      <c r="AS99" s="74"/>
      <c r="AT99" s="80"/>
      <c r="AU99" s="74"/>
      <c r="AV99" s="74"/>
      <c r="AW99" s="74"/>
      <c r="AX99" s="74"/>
      <c r="AY99" s="74"/>
      <c r="AZ99" s="74"/>
      <c r="BA99" s="74"/>
      <c r="BB99" s="74"/>
      <c r="BC99" s="81"/>
      <c r="BD99" s="74"/>
      <c r="BE99" s="80" t="s">
        <v>816</v>
      </c>
      <c r="BF99" s="74"/>
      <c r="BG99" s="74"/>
      <c r="BH99" s="74"/>
      <c r="BI99" s="74"/>
      <c r="BJ99" s="74"/>
      <c r="BK99" s="346" t="s">
        <v>176</v>
      </c>
      <c r="BL99" s="348"/>
      <c r="BM99" s="348"/>
      <c r="BN99" s="347"/>
    </row>
    <row r="100" spans="1:66" ht="9" customHeight="1" x14ac:dyDescent="0.3">
      <c r="B100" s="113"/>
      <c r="C100" s="73"/>
      <c r="D100" s="73"/>
      <c r="E100" s="73"/>
      <c r="F100" s="73"/>
      <c r="G100" s="346" t="s">
        <v>139</v>
      </c>
      <c r="H100" s="347"/>
      <c r="I100" s="350" t="s">
        <v>176</v>
      </c>
      <c r="J100" s="333"/>
      <c r="K100" s="349"/>
      <c r="L100" s="74"/>
      <c r="M100" s="80" t="s">
        <v>772</v>
      </c>
      <c r="N100" s="74"/>
      <c r="O100" s="74"/>
      <c r="P100" s="74"/>
      <c r="Q100" s="74"/>
      <c r="R100" s="74"/>
      <c r="S100" s="346" t="s">
        <v>176</v>
      </c>
      <c r="T100" s="348"/>
      <c r="U100" s="348"/>
      <c r="V100" s="347"/>
      <c r="W100" s="74"/>
      <c r="X100" s="323" t="s">
        <v>113</v>
      </c>
      <c r="Y100" s="323"/>
      <c r="Z100" s="323"/>
      <c r="AA100" s="323"/>
      <c r="AB100" s="323"/>
      <c r="AC100" s="323"/>
      <c r="AD100" s="324">
        <f>CEILING(4072*B3,1)</f>
        <v>5701</v>
      </c>
      <c r="AE100" s="324"/>
      <c r="AF100" s="324"/>
      <c r="AG100" s="324"/>
      <c r="AH100" s="74"/>
      <c r="AI100" s="80"/>
      <c r="AJ100" s="74"/>
      <c r="AK100" s="74"/>
      <c r="AL100" s="74"/>
      <c r="AM100" s="74"/>
      <c r="AN100" s="74"/>
      <c r="AO100" s="346" t="s">
        <v>176</v>
      </c>
      <c r="AP100" s="348"/>
      <c r="AQ100" s="348"/>
      <c r="AR100" s="347"/>
      <c r="AS100" s="74"/>
      <c r="AT100" s="82"/>
      <c r="AU100" s="74"/>
      <c r="AV100" s="74"/>
      <c r="AW100" s="74"/>
      <c r="AX100" s="74"/>
      <c r="AY100" s="74"/>
      <c r="AZ100" s="346" t="s">
        <v>176</v>
      </c>
      <c r="BA100" s="348"/>
      <c r="BB100" s="348"/>
      <c r="BC100" s="347"/>
      <c r="BD100" s="82"/>
      <c r="BE100" s="323" t="s">
        <v>103</v>
      </c>
      <c r="BF100" s="323"/>
      <c r="BG100" s="323"/>
      <c r="BH100" s="323"/>
      <c r="BI100" s="323"/>
      <c r="BJ100" s="323"/>
      <c r="BK100" s="324">
        <f>CEILING(6108*B3,1)</f>
        <v>8552</v>
      </c>
      <c r="BL100" s="324"/>
      <c r="BM100" s="324"/>
      <c r="BN100" s="324"/>
    </row>
    <row r="101" spans="1:66" s="5" customFormat="1" ht="9" customHeight="1" x14ac:dyDescent="0.3">
      <c r="A101" s="86"/>
      <c r="B101" s="323" t="s">
        <v>82</v>
      </c>
      <c r="C101" s="323"/>
      <c r="D101" s="323"/>
      <c r="E101" s="323"/>
      <c r="F101" s="323"/>
      <c r="G101" s="324">
        <f>CEILING(1092*B3,1)</f>
        <v>1529</v>
      </c>
      <c r="H101" s="324"/>
      <c r="I101" s="324">
        <f>CEILING(1770*B3,1)</f>
        <v>2478</v>
      </c>
      <c r="J101" s="324"/>
      <c r="K101" s="324"/>
      <c r="L101" s="85"/>
      <c r="M101" s="323" t="s">
        <v>85</v>
      </c>
      <c r="N101" s="323"/>
      <c r="O101" s="323"/>
      <c r="P101" s="323"/>
      <c r="Q101" s="323"/>
      <c r="R101" s="323"/>
      <c r="S101" s="324">
        <f>CEILING(3772*B3,1)</f>
        <v>5281</v>
      </c>
      <c r="T101" s="324"/>
      <c r="U101" s="324"/>
      <c r="V101" s="324"/>
      <c r="W101" s="85"/>
      <c r="X101" s="323" t="s">
        <v>85</v>
      </c>
      <c r="Y101" s="323"/>
      <c r="Z101" s="323"/>
      <c r="AA101" s="323"/>
      <c r="AB101" s="323"/>
      <c r="AC101" s="323"/>
      <c r="AD101" s="324">
        <f>CEILING(4112*B3,1)</f>
        <v>5757</v>
      </c>
      <c r="AE101" s="324"/>
      <c r="AF101" s="324"/>
      <c r="AG101" s="324"/>
      <c r="AH101" s="85"/>
      <c r="AI101" s="323" t="s">
        <v>85</v>
      </c>
      <c r="AJ101" s="323"/>
      <c r="AK101" s="323"/>
      <c r="AL101" s="323"/>
      <c r="AM101" s="323"/>
      <c r="AN101" s="323"/>
      <c r="AO101" s="324">
        <f>CEILING(4004*B3,1)</f>
        <v>5606</v>
      </c>
      <c r="AP101" s="324"/>
      <c r="AQ101" s="324"/>
      <c r="AR101" s="324"/>
      <c r="AS101" s="85"/>
      <c r="AT101" s="323" t="s">
        <v>90</v>
      </c>
      <c r="AU101" s="323"/>
      <c r="AV101" s="323"/>
      <c r="AW101" s="323"/>
      <c r="AX101" s="323"/>
      <c r="AY101" s="323"/>
      <c r="AZ101" s="324">
        <f>CEILING(5956*B3,1)</f>
        <v>8339</v>
      </c>
      <c r="BA101" s="324"/>
      <c r="BB101" s="324"/>
      <c r="BC101" s="324"/>
      <c r="BD101" s="85"/>
      <c r="BE101" s="323" t="s">
        <v>90</v>
      </c>
      <c r="BF101" s="323"/>
      <c r="BG101" s="323"/>
      <c r="BH101" s="323"/>
      <c r="BI101" s="323"/>
      <c r="BJ101" s="323"/>
      <c r="BK101" s="324">
        <f>CEILING(6148*B3,1)</f>
        <v>8608</v>
      </c>
      <c r="BL101" s="324"/>
      <c r="BM101" s="324"/>
      <c r="BN101" s="324"/>
    </row>
    <row r="102" spans="1:66" s="5" customFormat="1" ht="9" customHeight="1" x14ac:dyDescent="0.3">
      <c r="A102" s="86"/>
      <c r="B102" s="323" t="s">
        <v>83</v>
      </c>
      <c r="C102" s="323"/>
      <c r="D102" s="323"/>
      <c r="E102" s="323"/>
      <c r="F102" s="323"/>
      <c r="G102" s="324">
        <f>CEILING(1160*B3,1)</f>
        <v>1624</v>
      </c>
      <c r="H102" s="324"/>
      <c r="I102" s="324">
        <f>CEILING(1838*B3,1)</f>
        <v>2574</v>
      </c>
      <c r="J102" s="324"/>
      <c r="K102" s="324"/>
      <c r="L102" s="85"/>
      <c r="M102" s="323" t="s">
        <v>86</v>
      </c>
      <c r="N102" s="323"/>
      <c r="O102" s="323"/>
      <c r="P102" s="323"/>
      <c r="Q102" s="323"/>
      <c r="R102" s="323"/>
      <c r="S102" s="324">
        <f>CEILING(5937*B3,1)</f>
        <v>8312</v>
      </c>
      <c r="T102" s="324"/>
      <c r="U102" s="324"/>
      <c r="V102" s="324"/>
      <c r="W102" s="85"/>
      <c r="X102" s="323" t="s">
        <v>86</v>
      </c>
      <c r="Y102" s="323"/>
      <c r="Z102" s="323"/>
      <c r="AA102" s="323"/>
      <c r="AB102" s="323"/>
      <c r="AC102" s="323"/>
      <c r="AD102" s="324">
        <f>CEILING(6208*B3,1)</f>
        <v>8692</v>
      </c>
      <c r="AE102" s="324"/>
      <c r="AF102" s="324"/>
      <c r="AG102" s="324"/>
      <c r="AH102" s="85"/>
      <c r="AI102" s="323" t="s">
        <v>86</v>
      </c>
      <c r="AJ102" s="323"/>
      <c r="AK102" s="323"/>
      <c r="AL102" s="323"/>
      <c r="AM102" s="323"/>
      <c r="AN102" s="323"/>
      <c r="AO102" s="324">
        <f>CEILING(5477*B3,1)</f>
        <v>7668</v>
      </c>
      <c r="AP102" s="324"/>
      <c r="AQ102" s="324"/>
      <c r="AR102" s="324"/>
      <c r="AS102" s="85"/>
      <c r="AT102" s="323" t="s">
        <v>91</v>
      </c>
      <c r="AU102" s="323"/>
      <c r="AV102" s="323"/>
      <c r="AW102" s="323"/>
      <c r="AX102" s="323"/>
      <c r="AY102" s="323"/>
      <c r="AZ102" s="324">
        <f>CEILING(8257*B3,1)</f>
        <v>11560</v>
      </c>
      <c r="BA102" s="324"/>
      <c r="BB102" s="324"/>
      <c r="BC102" s="324"/>
      <c r="BD102" s="85"/>
      <c r="BE102" s="323" t="s">
        <v>91</v>
      </c>
      <c r="BF102" s="323"/>
      <c r="BG102" s="323"/>
      <c r="BH102" s="323"/>
      <c r="BI102" s="323"/>
      <c r="BJ102" s="323"/>
      <c r="BK102" s="324">
        <f>CEILING(9262*B3,1)</f>
        <v>12967</v>
      </c>
      <c r="BL102" s="324"/>
      <c r="BM102" s="324"/>
      <c r="BN102" s="324"/>
    </row>
    <row r="103" spans="1:66" ht="9" customHeight="1" x14ac:dyDescent="0.3"/>
    <row r="104" spans="1:66" ht="9" customHeight="1" x14ac:dyDescent="0.3"/>
    <row r="105" spans="1:66" ht="9" customHeight="1" x14ac:dyDescent="0.3"/>
    <row r="106" spans="1:66" ht="9" customHeight="1" x14ac:dyDescent="0.3"/>
    <row r="107" spans="1:66" ht="9" customHeight="1" x14ac:dyDescent="0.3"/>
    <row r="108" spans="1:66" ht="9" customHeight="1" x14ac:dyDescent="0.3"/>
    <row r="109" spans="1:66" ht="9" customHeight="1" x14ac:dyDescent="0.3"/>
    <row r="110" spans="1:66" ht="9" customHeight="1" x14ac:dyDescent="0.3"/>
    <row r="111" spans="1:66" ht="9" customHeight="1" x14ac:dyDescent="0.3"/>
    <row r="112" spans="1:66" ht="9" customHeight="1" x14ac:dyDescent="0.3"/>
    <row r="113" ht="9" customHeight="1" x14ac:dyDescent="0.3"/>
    <row r="114" ht="9" customHeight="1" x14ac:dyDescent="0.3"/>
    <row r="115" ht="9" customHeight="1" x14ac:dyDescent="0.3"/>
    <row r="116" ht="9" customHeight="1" x14ac:dyDescent="0.3"/>
    <row r="117" ht="9" customHeight="1" x14ac:dyDescent="0.3"/>
    <row r="118" ht="9" customHeight="1" x14ac:dyDescent="0.3"/>
    <row r="119" ht="9" customHeight="1" x14ac:dyDescent="0.3"/>
    <row r="120" ht="9" customHeight="1" x14ac:dyDescent="0.3"/>
    <row r="121" ht="9" customHeight="1" x14ac:dyDescent="0.3"/>
    <row r="122" ht="9" customHeight="1" x14ac:dyDescent="0.3"/>
    <row r="123" ht="9" customHeight="1" x14ac:dyDescent="0.3"/>
    <row r="124" ht="9" customHeight="1" x14ac:dyDescent="0.3"/>
    <row r="125" ht="9" customHeight="1" x14ac:dyDescent="0.3"/>
    <row r="126" ht="9" customHeight="1" x14ac:dyDescent="0.3"/>
    <row r="127" ht="9" customHeight="1" x14ac:dyDescent="0.3"/>
    <row r="128" ht="9" customHeight="1" x14ac:dyDescent="0.3"/>
    <row r="129" ht="9" customHeight="1" x14ac:dyDescent="0.3"/>
    <row r="130" ht="9" customHeight="1" x14ac:dyDescent="0.3"/>
    <row r="131" ht="9" customHeight="1" x14ac:dyDescent="0.3"/>
    <row r="132" ht="9" customHeight="1" x14ac:dyDescent="0.3"/>
    <row r="133" ht="9" customHeight="1" x14ac:dyDescent="0.3"/>
    <row r="134" ht="9" customHeight="1" x14ac:dyDescent="0.3"/>
    <row r="135" ht="9" customHeight="1" x14ac:dyDescent="0.3"/>
    <row r="136" ht="9" customHeight="1" x14ac:dyDescent="0.3"/>
    <row r="137" ht="9" customHeight="1" x14ac:dyDescent="0.3"/>
    <row r="138" ht="9" customHeight="1" x14ac:dyDescent="0.3"/>
    <row r="139" ht="9" customHeight="1" x14ac:dyDescent="0.3"/>
    <row r="140" ht="9" customHeight="1" x14ac:dyDescent="0.3"/>
    <row r="141" ht="9" customHeight="1" x14ac:dyDescent="0.3"/>
    <row r="142" ht="9" customHeight="1" x14ac:dyDescent="0.3"/>
    <row r="143" ht="9" customHeight="1" x14ac:dyDescent="0.3"/>
    <row r="144" ht="9" customHeight="1" x14ac:dyDescent="0.3"/>
    <row r="145" ht="9" customHeight="1" x14ac:dyDescent="0.3"/>
    <row r="146" ht="9" customHeight="1" x14ac:dyDescent="0.3"/>
    <row r="147" ht="9" customHeight="1" x14ac:dyDescent="0.3"/>
    <row r="148" ht="9" customHeight="1" x14ac:dyDescent="0.3"/>
    <row r="149" ht="9" customHeight="1" x14ac:dyDescent="0.3"/>
    <row r="150" ht="9" customHeight="1" x14ac:dyDescent="0.3"/>
    <row r="151" ht="9" customHeight="1" x14ac:dyDescent="0.3"/>
    <row r="152" ht="9" customHeight="1" x14ac:dyDescent="0.3"/>
    <row r="153" ht="9" customHeight="1" x14ac:dyDescent="0.3"/>
    <row r="154" ht="9" customHeight="1" x14ac:dyDescent="0.3"/>
    <row r="155" ht="9" customHeight="1" x14ac:dyDescent="0.3"/>
    <row r="156" ht="9" customHeight="1" x14ac:dyDescent="0.3"/>
    <row r="157" ht="9" customHeight="1" x14ac:dyDescent="0.3"/>
    <row r="158" ht="9" customHeight="1" x14ac:dyDescent="0.3"/>
    <row r="159" ht="9" customHeight="1" x14ac:dyDescent="0.3"/>
    <row r="160" ht="9" customHeight="1" x14ac:dyDescent="0.3"/>
    <row r="161" ht="9" customHeight="1" x14ac:dyDescent="0.3"/>
    <row r="162" ht="9" customHeight="1" x14ac:dyDescent="0.3"/>
    <row r="163" ht="9" customHeight="1" x14ac:dyDescent="0.3"/>
    <row r="164" ht="9" customHeight="1" x14ac:dyDescent="0.3"/>
    <row r="165" ht="9" customHeight="1" x14ac:dyDescent="0.3"/>
    <row r="166" ht="9" customHeight="1" x14ac:dyDescent="0.3"/>
    <row r="167" ht="9" customHeight="1" x14ac:dyDescent="0.3"/>
    <row r="168" ht="9" customHeight="1" x14ac:dyDescent="0.3"/>
    <row r="169" ht="9" customHeight="1" x14ac:dyDescent="0.3"/>
    <row r="170" ht="9" customHeight="1" x14ac:dyDescent="0.3"/>
    <row r="171" ht="9" customHeight="1" x14ac:dyDescent="0.3"/>
    <row r="172" ht="9" customHeight="1" x14ac:dyDescent="0.3"/>
    <row r="173" ht="9" customHeight="1" x14ac:dyDescent="0.3"/>
    <row r="174" ht="9" customHeight="1" x14ac:dyDescent="0.3"/>
    <row r="175" ht="9" customHeight="1" x14ac:dyDescent="0.3"/>
    <row r="176" ht="9" customHeight="1" x14ac:dyDescent="0.3"/>
    <row r="177" ht="9" customHeight="1" x14ac:dyDescent="0.3"/>
    <row r="178" ht="9" customHeight="1" x14ac:dyDescent="0.3"/>
    <row r="179" ht="9" customHeight="1" x14ac:dyDescent="0.3"/>
    <row r="180" ht="9" customHeight="1" x14ac:dyDescent="0.3"/>
    <row r="181" ht="9" customHeight="1" x14ac:dyDescent="0.3"/>
    <row r="182" ht="9" customHeight="1" x14ac:dyDescent="0.3"/>
    <row r="183" ht="9" customHeight="1" x14ac:dyDescent="0.3"/>
    <row r="184" ht="9" customHeight="1" x14ac:dyDescent="0.3"/>
    <row r="185" ht="9" customHeight="1" x14ac:dyDescent="0.3"/>
    <row r="186" ht="9" customHeight="1" x14ac:dyDescent="0.3"/>
    <row r="187" ht="9" customHeight="1" x14ac:dyDescent="0.3"/>
    <row r="188" ht="9" customHeight="1" x14ac:dyDescent="0.3"/>
    <row r="189" ht="9" customHeight="1" x14ac:dyDescent="0.3"/>
    <row r="190" ht="9" customHeight="1" x14ac:dyDescent="0.3"/>
    <row r="191" ht="9" customHeight="1" x14ac:dyDescent="0.3"/>
    <row r="192" ht="9" customHeight="1" x14ac:dyDescent="0.3"/>
    <row r="193" ht="9" customHeight="1" x14ac:dyDescent="0.3"/>
    <row r="194" ht="9" customHeight="1" x14ac:dyDescent="0.3"/>
    <row r="195" ht="9" customHeight="1" x14ac:dyDescent="0.3"/>
    <row r="196" ht="9" customHeight="1" x14ac:dyDescent="0.3"/>
    <row r="197" ht="9" customHeight="1" x14ac:dyDescent="0.3"/>
    <row r="198" ht="9" customHeight="1" x14ac:dyDescent="0.3"/>
    <row r="199" ht="9" customHeight="1" x14ac:dyDescent="0.3"/>
    <row r="200" ht="9" customHeight="1" x14ac:dyDescent="0.3"/>
    <row r="201" ht="9" customHeight="1" x14ac:dyDescent="0.3"/>
    <row r="202" ht="9" customHeight="1" x14ac:dyDescent="0.3"/>
    <row r="203" ht="9" customHeight="1" x14ac:dyDescent="0.3"/>
    <row r="204" ht="9" customHeight="1" x14ac:dyDescent="0.3"/>
    <row r="205" ht="9" customHeight="1" x14ac:dyDescent="0.3"/>
    <row r="206" ht="9" customHeight="1" x14ac:dyDescent="0.3"/>
    <row r="207" ht="9" customHeight="1" x14ac:dyDescent="0.3"/>
    <row r="208" ht="9" customHeight="1" x14ac:dyDescent="0.3"/>
    <row r="209" ht="9" customHeight="1" x14ac:dyDescent="0.3"/>
    <row r="210" ht="9" customHeight="1" x14ac:dyDescent="0.3"/>
    <row r="211" ht="9" customHeight="1" x14ac:dyDescent="0.3"/>
    <row r="212" ht="9" customHeight="1" x14ac:dyDescent="0.3"/>
    <row r="213" ht="9" customHeight="1" x14ac:dyDescent="0.3"/>
    <row r="214" ht="9" customHeight="1" x14ac:dyDescent="0.3"/>
    <row r="215" ht="9" customHeight="1" x14ac:dyDescent="0.3"/>
    <row r="216" ht="9" customHeight="1" x14ac:dyDescent="0.3"/>
    <row r="217" ht="9" customHeight="1" x14ac:dyDescent="0.3"/>
    <row r="218" ht="9" customHeight="1" x14ac:dyDescent="0.3"/>
    <row r="219" ht="9" customHeight="1" x14ac:dyDescent="0.3"/>
    <row r="220" ht="9" customHeight="1" x14ac:dyDescent="0.3"/>
    <row r="221" ht="9" customHeight="1" x14ac:dyDescent="0.3"/>
    <row r="222" ht="9" customHeight="1" x14ac:dyDescent="0.3"/>
    <row r="223" ht="9" customHeight="1" x14ac:dyDescent="0.3"/>
    <row r="224" ht="9" customHeight="1" x14ac:dyDescent="0.3"/>
    <row r="225" ht="9" customHeight="1" x14ac:dyDescent="0.3"/>
    <row r="226" ht="9" customHeight="1" x14ac:dyDescent="0.3"/>
    <row r="227" ht="9" customHeight="1" x14ac:dyDescent="0.3"/>
    <row r="228" ht="9" customHeight="1" x14ac:dyDescent="0.3"/>
    <row r="229" ht="9" customHeight="1" x14ac:dyDescent="0.3"/>
    <row r="230" ht="9" customHeight="1" x14ac:dyDescent="0.3"/>
    <row r="231" ht="9" customHeight="1" x14ac:dyDescent="0.3"/>
    <row r="232" ht="9" customHeight="1" x14ac:dyDescent="0.3"/>
    <row r="233" ht="9" customHeight="1" x14ac:dyDescent="0.3"/>
    <row r="234" ht="9" customHeight="1" x14ac:dyDescent="0.3"/>
    <row r="235" ht="9" customHeight="1" x14ac:dyDescent="0.3"/>
    <row r="236" ht="9" customHeight="1" x14ac:dyDescent="0.3"/>
    <row r="237" ht="9" customHeight="1" x14ac:dyDescent="0.3"/>
    <row r="238" ht="9" customHeight="1" x14ac:dyDescent="0.3"/>
    <row r="239" ht="9" customHeight="1" x14ac:dyDescent="0.3"/>
    <row r="240" ht="9" customHeight="1" x14ac:dyDescent="0.3"/>
    <row r="241" ht="9" customHeight="1" x14ac:dyDescent="0.3"/>
    <row r="242" ht="9" customHeight="1" x14ac:dyDescent="0.3"/>
    <row r="243" ht="9" customHeight="1" x14ac:dyDescent="0.3"/>
    <row r="244" ht="9" customHeight="1" x14ac:dyDescent="0.3"/>
    <row r="245" ht="9" customHeight="1" x14ac:dyDescent="0.3"/>
    <row r="246" ht="9" customHeight="1" x14ac:dyDescent="0.3"/>
    <row r="247" ht="9" customHeight="1" x14ac:dyDescent="0.3"/>
    <row r="248" ht="9" customHeight="1" x14ac:dyDescent="0.3"/>
    <row r="249" ht="9" customHeight="1" x14ac:dyDescent="0.3"/>
    <row r="250" ht="9" customHeight="1" x14ac:dyDescent="0.3"/>
    <row r="251" ht="9" customHeight="1" x14ac:dyDescent="0.3"/>
    <row r="252" ht="9" customHeight="1" x14ac:dyDescent="0.3"/>
    <row r="253" ht="9" customHeight="1" x14ac:dyDescent="0.3"/>
    <row r="254" ht="9" customHeight="1" x14ac:dyDescent="0.3"/>
    <row r="255" ht="9" customHeight="1" x14ac:dyDescent="0.3"/>
    <row r="256" ht="9" customHeight="1" x14ac:dyDescent="0.3"/>
    <row r="257" ht="9" customHeight="1" x14ac:dyDescent="0.3"/>
    <row r="258" ht="9" customHeight="1" x14ac:dyDescent="0.3"/>
    <row r="259" ht="9" customHeight="1" x14ac:dyDescent="0.3"/>
    <row r="260" ht="9" customHeight="1" x14ac:dyDescent="0.3"/>
    <row r="261" ht="9" customHeight="1" x14ac:dyDescent="0.3"/>
    <row r="262" ht="9" customHeight="1" x14ac:dyDescent="0.3"/>
    <row r="263" ht="9" customHeight="1" x14ac:dyDescent="0.3"/>
    <row r="264" ht="9" customHeight="1" x14ac:dyDescent="0.3"/>
  </sheetData>
  <mergeCells count="310">
    <mergeCell ref="AT102:AY102"/>
    <mergeCell ref="AZ102:BC102"/>
    <mergeCell ref="BE102:BJ102"/>
    <mergeCell ref="BK102:BN102"/>
    <mergeCell ref="BK101:BN101"/>
    <mergeCell ref="B102:F102"/>
    <mergeCell ref="G102:H102"/>
    <mergeCell ref="I102:K102"/>
    <mergeCell ref="M102:R102"/>
    <mergeCell ref="S102:V102"/>
    <mergeCell ref="X102:AC102"/>
    <mergeCell ref="AD102:AG102"/>
    <mergeCell ref="AI102:AN102"/>
    <mergeCell ref="AO102:AR102"/>
    <mergeCell ref="AD101:AG101"/>
    <mergeCell ref="AI101:AN101"/>
    <mergeCell ref="AO101:AR101"/>
    <mergeCell ref="AT101:AY101"/>
    <mergeCell ref="AZ101:BC101"/>
    <mergeCell ref="BE101:BJ101"/>
    <mergeCell ref="B101:F101"/>
    <mergeCell ref="G101:H101"/>
    <mergeCell ref="I101:K101"/>
    <mergeCell ref="M101:R101"/>
    <mergeCell ref="BK100:BN100"/>
    <mergeCell ref="AT90:AV90"/>
    <mergeCell ref="AW90:BC90"/>
    <mergeCell ref="BE90:BG90"/>
    <mergeCell ref="BH90:BN90"/>
    <mergeCell ref="AI91:AR91"/>
    <mergeCell ref="AT91:BC91"/>
    <mergeCell ref="BE91:BN91"/>
    <mergeCell ref="BK99:BN99"/>
    <mergeCell ref="AO100:AR100"/>
    <mergeCell ref="AZ100:BC100"/>
    <mergeCell ref="AC88:AD88"/>
    <mergeCell ref="AE88:AG88"/>
    <mergeCell ref="S101:V101"/>
    <mergeCell ref="X101:AC101"/>
    <mergeCell ref="G100:H100"/>
    <mergeCell ref="I100:K100"/>
    <mergeCell ref="X100:AC100"/>
    <mergeCell ref="AD100:AG100"/>
    <mergeCell ref="BE100:BJ100"/>
    <mergeCell ref="AD99:AG99"/>
    <mergeCell ref="S100:V100"/>
    <mergeCell ref="T87:V87"/>
    <mergeCell ref="X87:AB87"/>
    <mergeCell ref="BJ88:BK88"/>
    <mergeCell ref="BL88:BN88"/>
    <mergeCell ref="B90:D90"/>
    <mergeCell ref="E90:K90"/>
    <mergeCell ref="M90:O90"/>
    <mergeCell ref="P90:V90"/>
    <mergeCell ref="X90:Z90"/>
    <mergeCell ref="AA90:AG90"/>
    <mergeCell ref="AI90:AK90"/>
    <mergeCell ref="AL90:AR90"/>
    <mergeCell ref="AI88:AN88"/>
    <mergeCell ref="AO88:AR88"/>
    <mergeCell ref="AT88:AX88"/>
    <mergeCell ref="AY88:AZ88"/>
    <mergeCell ref="BA88:BC88"/>
    <mergeCell ref="BE88:BI88"/>
    <mergeCell ref="B88:G88"/>
    <mergeCell ref="H88:K88"/>
    <mergeCell ref="M88:Q88"/>
    <mergeCell ref="R88:S88"/>
    <mergeCell ref="T88:V88"/>
    <mergeCell ref="X88:AB88"/>
    <mergeCell ref="BJ87:BK87"/>
    <mergeCell ref="BL87:BN87"/>
    <mergeCell ref="AO87:AR87"/>
    <mergeCell ref="AT87:AX87"/>
    <mergeCell ref="AY87:AZ87"/>
    <mergeCell ref="BA87:BC87"/>
    <mergeCell ref="AE86:AG86"/>
    <mergeCell ref="T86:V86"/>
    <mergeCell ref="B76:D76"/>
    <mergeCell ref="E76:K76"/>
    <mergeCell ref="M76:O76"/>
    <mergeCell ref="P76:V76"/>
    <mergeCell ref="X76:Z76"/>
    <mergeCell ref="AA76:AG76"/>
    <mergeCell ref="M86:Q86"/>
    <mergeCell ref="R86:S86"/>
    <mergeCell ref="AC86:AD86"/>
    <mergeCell ref="AC87:AD87"/>
    <mergeCell ref="AE87:AG87"/>
    <mergeCell ref="AY86:AZ86"/>
    <mergeCell ref="BA86:BC86"/>
    <mergeCell ref="B87:K87"/>
    <mergeCell ref="M87:Q87"/>
    <mergeCell ref="R87:S87"/>
    <mergeCell ref="BE73:BJ73"/>
    <mergeCell ref="BK73:BL73"/>
    <mergeCell ref="BM73:BN73"/>
    <mergeCell ref="AI76:AK76"/>
    <mergeCell ref="AL76:AR76"/>
    <mergeCell ref="AT76:AV76"/>
    <mergeCell ref="AW76:BC76"/>
    <mergeCell ref="BE76:BG76"/>
    <mergeCell ref="BH76:BN76"/>
    <mergeCell ref="AT73:BC73"/>
    <mergeCell ref="AI63:AR64"/>
    <mergeCell ref="AT63:AW63"/>
    <mergeCell ref="AZ63:BC63"/>
    <mergeCell ref="BE62:BG62"/>
    <mergeCell ref="BH62:BN62"/>
    <mergeCell ref="B74:G74"/>
    <mergeCell ref="H74:K74"/>
    <mergeCell ref="M74:R74"/>
    <mergeCell ref="S74:V74"/>
    <mergeCell ref="X74:AC74"/>
    <mergeCell ref="AD74:AG74"/>
    <mergeCell ref="AI74:AN74"/>
    <mergeCell ref="B63:K63"/>
    <mergeCell ref="AO74:AR74"/>
    <mergeCell ref="M72:V72"/>
    <mergeCell ref="B73:K73"/>
    <mergeCell ref="M73:V73"/>
    <mergeCell ref="X73:AG73"/>
    <mergeCell ref="AI73:AR73"/>
    <mergeCell ref="AT74:AY74"/>
    <mergeCell ref="AZ74:BC74"/>
    <mergeCell ref="BE74:BJ74"/>
    <mergeCell ref="BK74:BL74"/>
    <mergeCell ref="BM74:BN74"/>
    <mergeCell ref="AT60:AY60"/>
    <mergeCell ref="AZ60:BC60"/>
    <mergeCell ref="BE60:BJ60"/>
    <mergeCell ref="BK60:BN60"/>
    <mergeCell ref="B62:D62"/>
    <mergeCell ref="E62:K62"/>
    <mergeCell ref="M62:O62"/>
    <mergeCell ref="P62:V62"/>
    <mergeCell ref="X62:Z62"/>
    <mergeCell ref="AA62:AG62"/>
    <mergeCell ref="B60:G60"/>
    <mergeCell ref="H60:K60"/>
    <mergeCell ref="M60:R60"/>
    <mergeCell ref="S60:T60"/>
    <mergeCell ref="U60:V60"/>
    <mergeCell ref="X60:AC60"/>
    <mergeCell ref="AD60:AG60"/>
    <mergeCell ref="AI60:AN60"/>
    <mergeCell ref="AO60:AR60"/>
    <mergeCell ref="AI62:AK62"/>
    <mergeCell ref="AL62:AR62"/>
    <mergeCell ref="AT62:AV62"/>
    <mergeCell ref="AW62:BC62"/>
    <mergeCell ref="B49:K49"/>
    <mergeCell ref="M49:V49"/>
    <mergeCell ref="AT49:BC49"/>
    <mergeCell ref="BE49:BN49"/>
    <mergeCell ref="B50:K50"/>
    <mergeCell ref="B59:K59"/>
    <mergeCell ref="M59:R59"/>
    <mergeCell ref="S59:T59"/>
    <mergeCell ref="U59:V59"/>
    <mergeCell ref="X59:AG59"/>
    <mergeCell ref="AI59:AR59"/>
    <mergeCell ref="AT59:BC59"/>
    <mergeCell ref="BE59:BN59"/>
    <mergeCell ref="AI48:AK48"/>
    <mergeCell ref="AL48:AR48"/>
    <mergeCell ref="AT48:AV48"/>
    <mergeCell ref="AW48:BC48"/>
    <mergeCell ref="BE48:BG48"/>
    <mergeCell ref="BH48:BN48"/>
    <mergeCell ref="B48:D48"/>
    <mergeCell ref="E48:K48"/>
    <mergeCell ref="M48:O48"/>
    <mergeCell ref="P48:V48"/>
    <mergeCell ref="X48:Z48"/>
    <mergeCell ref="AA48:AG48"/>
    <mergeCell ref="AI46:AN46"/>
    <mergeCell ref="AO46:AR46"/>
    <mergeCell ref="AT46:AY46"/>
    <mergeCell ref="AZ46:BC46"/>
    <mergeCell ref="BE46:BJ46"/>
    <mergeCell ref="BK46:BN46"/>
    <mergeCell ref="B46:G46"/>
    <mergeCell ref="H46:K46"/>
    <mergeCell ref="M46:R46"/>
    <mergeCell ref="S46:V46"/>
    <mergeCell ref="X46:AC46"/>
    <mergeCell ref="AD46:AG46"/>
    <mergeCell ref="B45:K45"/>
    <mergeCell ref="M45:V45"/>
    <mergeCell ref="X45:AG45"/>
    <mergeCell ref="AI45:AR45"/>
    <mergeCell ref="AT45:BC45"/>
    <mergeCell ref="BE45:BN45"/>
    <mergeCell ref="M35:V35"/>
    <mergeCell ref="X35:AG35"/>
    <mergeCell ref="AI35:AR35"/>
    <mergeCell ref="AT35:BC35"/>
    <mergeCell ref="BE35:BN35"/>
    <mergeCell ref="M36:V36"/>
    <mergeCell ref="X36:AG36"/>
    <mergeCell ref="AI36:AR36"/>
    <mergeCell ref="AT36:BC36"/>
    <mergeCell ref="BE36:BN36"/>
    <mergeCell ref="AI34:AL34"/>
    <mergeCell ref="AM34:AR34"/>
    <mergeCell ref="AT34:AV34"/>
    <mergeCell ref="AW34:BC34"/>
    <mergeCell ref="BE34:BH34"/>
    <mergeCell ref="BI34:BN34"/>
    <mergeCell ref="B34:D34"/>
    <mergeCell ref="E34:K34"/>
    <mergeCell ref="M34:O34"/>
    <mergeCell ref="P34:V34"/>
    <mergeCell ref="X34:Z34"/>
    <mergeCell ref="AA34:AG34"/>
    <mergeCell ref="AI32:AN32"/>
    <mergeCell ref="AO32:AR32"/>
    <mergeCell ref="AT32:AY32"/>
    <mergeCell ref="AZ32:BC32"/>
    <mergeCell ref="BE32:BJ32"/>
    <mergeCell ref="BK32:BN32"/>
    <mergeCell ref="B32:G32"/>
    <mergeCell ref="H32:K32"/>
    <mergeCell ref="M32:R32"/>
    <mergeCell ref="S32:V32"/>
    <mergeCell ref="X32:AC32"/>
    <mergeCell ref="AD32:AG32"/>
    <mergeCell ref="X21:AG21"/>
    <mergeCell ref="AI21:AR21"/>
    <mergeCell ref="BE21:BN21"/>
    <mergeCell ref="B31:K31"/>
    <mergeCell ref="M31:V31"/>
    <mergeCell ref="X31:AG31"/>
    <mergeCell ref="AI31:AR31"/>
    <mergeCell ref="AT31:BC31"/>
    <mergeCell ref="BE31:BN31"/>
    <mergeCell ref="B21:K21"/>
    <mergeCell ref="M21:V21"/>
    <mergeCell ref="AI20:AK20"/>
    <mergeCell ref="AL20:AR20"/>
    <mergeCell ref="AT20:AV20"/>
    <mergeCell ref="AW20:BC20"/>
    <mergeCell ref="BE20:BG20"/>
    <mergeCell ref="BH20:BN20"/>
    <mergeCell ref="B20:D20"/>
    <mergeCell ref="E20:K20"/>
    <mergeCell ref="M20:O20"/>
    <mergeCell ref="P20:V20"/>
    <mergeCell ref="X20:Z20"/>
    <mergeCell ref="AA20:AG20"/>
    <mergeCell ref="AI18:AN18"/>
    <mergeCell ref="AO18:AR18"/>
    <mergeCell ref="AT18:AY18"/>
    <mergeCell ref="AZ18:BC18"/>
    <mergeCell ref="BE18:BJ18"/>
    <mergeCell ref="BK18:BN18"/>
    <mergeCell ref="B18:G18"/>
    <mergeCell ref="H18:K18"/>
    <mergeCell ref="M18:R18"/>
    <mergeCell ref="S18:V18"/>
    <mergeCell ref="X18:AC18"/>
    <mergeCell ref="AD18:AG18"/>
    <mergeCell ref="AI17:AN17"/>
    <mergeCell ref="AO17:AR17"/>
    <mergeCell ref="AT17:AY17"/>
    <mergeCell ref="AZ17:BC17"/>
    <mergeCell ref="BE17:BJ17"/>
    <mergeCell ref="BK17:BN17"/>
    <mergeCell ref="B17:G17"/>
    <mergeCell ref="H17:K17"/>
    <mergeCell ref="M17:R17"/>
    <mergeCell ref="S17:V17"/>
    <mergeCell ref="X17:AC17"/>
    <mergeCell ref="AD17:AG17"/>
    <mergeCell ref="BE6:BH6"/>
    <mergeCell ref="BI6:BN6"/>
    <mergeCell ref="AT7:BC7"/>
    <mergeCell ref="BE7:BN7"/>
    <mergeCell ref="B16:K16"/>
    <mergeCell ref="M16:V16"/>
    <mergeCell ref="X16:AG16"/>
    <mergeCell ref="AI16:AR16"/>
    <mergeCell ref="AT16:BC16"/>
    <mergeCell ref="BE16:BN16"/>
    <mergeCell ref="B6:D6"/>
    <mergeCell ref="M6:O6"/>
    <mergeCell ref="P6:V6"/>
    <mergeCell ref="X6:Z6"/>
    <mergeCell ref="AA6:AG6"/>
    <mergeCell ref="AI6:AK6"/>
    <mergeCell ref="AL6:AR6"/>
    <mergeCell ref="AT6:AV6"/>
    <mergeCell ref="AW6:BC6"/>
    <mergeCell ref="X15:AR15"/>
    <mergeCell ref="M3:BN3"/>
    <mergeCell ref="B3:K3"/>
    <mergeCell ref="B1:BN1"/>
    <mergeCell ref="B5:D5"/>
    <mergeCell ref="E5:K5"/>
    <mergeCell ref="M5:O5"/>
    <mergeCell ref="P5:V5"/>
    <mergeCell ref="X5:Z5"/>
    <mergeCell ref="BI5:BN5"/>
    <mergeCell ref="AA5:AG5"/>
    <mergeCell ref="AI5:AK5"/>
    <mergeCell ref="AL5:AR5"/>
    <mergeCell ref="AT5:AV5"/>
    <mergeCell ref="AW5:BC5"/>
    <mergeCell ref="BE5:BH5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67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S257"/>
  <sheetViews>
    <sheetView showGridLines="0" tabSelected="1" view="pageBreakPreview" zoomScale="95" zoomScaleSheetLayoutView="95" workbookViewId="0">
      <selection activeCell="AK69" sqref="AK69:AM69"/>
    </sheetView>
  </sheetViews>
  <sheetFormatPr defaultColWidth="9.109375" defaultRowHeight="13.8" x14ac:dyDescent="0.3"/>
  <cols>
    <col min="1" max="1" width="0.33203125" style="2" customWidth="1"/>
    <col min="2" max="7" width="1.6640625" style="71" customWidth="1"/>
    <col min="8" max="8" width="3" style="71" customWidth="1"/>
    <col min="9" max="10" width="1.6640625" style="71" customWidth="1"/>
    <col min="11" max="11" width="5.77734375" style="71" customWidth="1"/>
    <col min="12" max="12" width="1.6640625" style="71" customWidth="1"/>
    <col min="13" max="13" width="2.6640625" style="71" customWidth="1"/>
    <col min="14" max="14" width="3" style="71" customWidth="1"/>
    <col min="15" max="15" width="0.33203125" style="71" customWidth="1"/>
    <col min="16" max="24" width="1.6640625" style="71" customWidth="1"/>
    <col min="25" max="25" width="5" style="71" customWidth="1"/>
    <col min="26" max="26" width="1.6640625" style="71" customWidth="1"/>
    <col min="27" max="27" width="4" style="71" customWidth="1"/>
    <col min="28" max="28" width="2.6640625" style="71" customWidth="1"/>
    <col min="29" max="29" width="0.33203125" style="71" customWidth="1"/>
    <col min="30" max="35" width="1.6640625" style="71" customWidth="1"/>
    <col min="36" max="36" width="3.44140625" style="71" customWidth="1"/>
    <col min="37" max="38" width="1.6640625" style="71" customWidth="1"/>
    <col min="39" max="39" width="5" style="71" customWidth="1"/>
    <col min="40" max="41" width="2.109375" style="71" customWidth="1"/>
    <col min="42" max="42" width="3" style="71" customWidth="1"/>
    <col min="43" max="43" width="0.33203125" style="71" customWidth="1"/>
    <col min="44" max="49" width="1.6640625" style="71" customWidth="1"/>
    <col min="50" max="50" width="3.77734375" style="71" customWidth="1"/>
    <col min="51" max="52" width="1.6640625" style="71" customWidth="1"/>
    <col min="53" max="53" width="4.77734375" style="71" customWidth="1"/>
    <col min="54" max="55" width="1.6640625" style="71" customWidth="1"/>
    <col min="56" max="56" width="4" style="71" customWidth="1"/>
    <col min="57" max="57" width="0.33203125" style="71" customWidth="1"/>
    <col min="58" max="66" width="1.6640625" style="71" customWidth="1"/>
    <col min="67" max="67" width="6" style="71" customWidth="1"/>
    <col min="68" max="69" width="1.6640625" style="71" customWidth="1"/>
    <col min="70" max="70" width="3.6640625" style="71" customWidth="1"/>
    <col min="71" max="71" width="0.33203125" style="2" customWidth="1"/>
    <col min="72" max="16384" width="9.109375" style="2"/>
  </cols>
  <sheetData>
    <row r="1" spans="1:71" ht="1.5" customHeight="1" x14ac:dyDescent="0.3">
      <c r="A1" s="10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"/>
    </row>
    <row r="2" spans="1:71" ht="112.05" customHeight="1" x14ac:dyDescent="0.3">
      <c r="A2" s="12"/>
      <c r="B2" s="384" t="s">
        <v>839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85"/>
      <c r="BE2" s="385"/>
      <c r="BF2" s="385"/>
      <c r="BG2" s="385"/>
      <c r="BH2" s="385"/>
      <c r="BI2" s="385"/>
      <c r="BJ2" s="385"/>
      <c r="BK2" s="385"/>
      <c r="BL2" s="385"/>
      <c r="BM2" s="385"/>
      <c r="BN2" s="385"/>
      <c r="BO2" s="385"/>
      <c r="BP2" s="385"/>
      <c r="BQ2" s="385"/>
      <c r="BR2" s="386"/>
      <c r="BS2" s="11"/>
    </row>
    <row r="3" spans="1:71" ht="3" customHeight="1" x14ac:dyDescent="0.3">
      <c r="A3" s="13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4"/>
    </row>
    <row r="4" spans="1:71" ht="18" customHeight="1" x14ac:dyDescent="0.3">
      <c r="A4" s="15"/>
      <c r="B4" s="300">
        <v>1.4</v>
      </c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110"/>
      <c r="P4" s="298" t="s">
        <v>323</v>
      </c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9"/>
      <c r="BS4" s="14"/>
    </row>
    <row r="5" spans="1:71" hidden="1" x14ac:dyDescent="0.3">
      <c r="A5" s="15"/>
      <c r="BS5" s="14"/>
    </row>
    <row r="6" spans="1:71" hidden="1" x14ac:dyDescent="0.3">
      <c r="A6" s="15"/>
      <c r="BS6" s="14"/>
    </row>
    <row r="7" spans="1:71" ht="1.95" customHeight="1" x14ac:dyDescent="0.3">
      <c r="A7" s="15"/>
      <c r="N7" s="119"/>
      <c r="O7" s="119"/>
      <c r="P7" s="119"/>
      <c r="Q7" s="119"/>
      <c r="Y7" s="119"/>
      <c r="Z7" s="119"/>
      <c r="AA7" s="119"/>
      <c r="AB7" s="119"/>
      <c r="AY7" s="119"/>
      <c r="AZ7" s="119"/>
      <c r="BA7" s="119"/>
      <c r="BB7" s="119"/>
      <c r="BC7" s="119"/>
      <c r="BD7" s="119"/>
      <c r="BE7" s="119"/>
      <c r="BS7" s="14"/>
    </row>
    <row r="8" spans="1:71" ht="18" customHeight="1" x14ac:dyDescent="0.3">
      <c r="A8" s="379" t="s">
        <v>822</v>
      </c>
      <c r="B8" s="379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79"/>
      <c r="AC8" s="379"/>
      <c r="AD8" s="379"/>
      <c r="AE8" s="379"/>
      <c r="AF8" s="379"/>
      <c r="AG8" s="379"/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14"/>
    </row>
    <row r="9" spans="1:71" s="3" customFormat="1" ht="9" customHeight="1" x14ac:dyDescent="0.3">
      <c r="A9" s="16"/>
      <c r="B9" s="381" t="s">
        <v>342</v>
      </c>
      <c r="C9" s="382"/>
      <c r="D9" s="382"/>
      <c r="E9" s="383"/>
      <c r="F9" s="362"/>
      <c r="G9" s="363"/>
      <c r="H9" s="363"/>
      <c r="I9" s="363"/>
      <c r="J9" s="363"/>
      <c r="K9" s="363"/>
      <c r="L9" s="363"/>
      <c r="M9" s="363"/>
      <c r="N9" s="364"/>
      <c r="O9" s="120"/>
      <c r="P9" s="381" t="s">
        <v>638</v>
      </c>
      <c r="Q9" s="382"/>
      <c r="R9" s="382"/>
      <c r="S9" s="383"/>
      <c r="T9" s="120"/>
      <c r="U9" s="120"/>
      <c r="V9" s="120"/>
      <c r="W9" s="120"/>
      <c r="X9" s="120"/>
      <c r="Y9" s="120"/>
      <c r="Z9" s="120"/>
      <c r="AA9" s="120"/>
      <c r="AB9" s="121"/>
      <c r="AC9" s="120"/>
      <c r="AD9" s="381" t="s">
        <v>639</v>
      </c>
      <c r="AE9" s="382"/>
      <c r="AF9" s="382"/>
      <c r="AG9" s="383"/>
      <c r="AH9" s="120"/>
      <c r="AI9" s="120"/>
      <c r="AJ9" s="120"/>
      <c r="AK9" s="120"/>
      <c r="AL9" s="120"/>
      <c r="AM9" s="120"/>
      <c r="AN9" s="120"/>
      <c r="AO9" s="120"/>
      <c r="AP9" s="121"/>
      <c r="AQ9" s="120"/>
      <c r="AR9" s="381" t="s">
        <v>343</v>
      </c>
      <c r="AS9" s="382"/>
      <c r="AT9" s="382"/>
      <c r="AU9" s="383"/>
      <c r="AV9" s="362" t="s">
        <v>645</v>
      </c>
      <c r="AW9" s="363"/>
      <c r="AX9" s="363"/>
      <c r="AY9" s="363"/>
      <c r="AZ9" s="363"/>
      <c r="BA9" s="363"/>
      <c r="BB9" s="363"/>
      <c r="BC9" s="363"/>
      <c r="BD9" s="364"/>
      <c r="BE9" s="120"/>
      <c r="BF9" s="381" t="s">
        <v>344</v>
      </c>
      <c r="BG9" s="382"/>
      <c r="BH9" s="382"/>
      <c r="BI9" s="383"/>
      <c r="BJ9" s="120"/>
      <c r="BK9" s="120"/>
      <c r="BL9" s="120"/>
      <c r="BM9" s="120"/>
      <c r="BN9" s="120"/>
      <c r="BO9" s="120"/>
      <c r="BP9" s="120"/>
      <c r="BQ9" s="120"/>
      <c r="BR9" s="121"/>
      <c r="BS9" s="17"/>
    </row>
    <row r="10" spans="1:71" s="20" customFormat="1" ht="9" customHeight="1" x14ac:dyDescent="0.3">
      <c r="A10" s="18"/>
      <c r="B10" s="122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4"/>
      <c r="O10" s="123"/>
      <c r="P10" s="122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4"/>
      <c r="AC10" s="123"/>
      <c r="AD10" s="122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4"/>
      <c r="AQ10" s="123"/>
      <c r="AR10" s="122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4"/>
      <c r="BE10" s="123"/>
      <c r="BF10" s="122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4"/>
      <c r="BS10" s="19"/>
    </row>
    <row r="11" spans="1:71" ht="9" customHeight="1" x14ac:dyDescent="0.3">
      <c r="A11" s="15"/>
      <c r="B11" s="122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4"/>
      <c r="O11" s="123"/>
      <c r="P11" s="122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4"/>
      <c r="AC11" s="123"/>
      <c r="AD11" s="122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4"/>
      <c r="AQ11" s="123"/>
      <c r="AR11" s="122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4"/>
      <c r="BE11" s="123"/>
      <c r="BF11" s="122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4"/>
      <c r="BS11" s="14"/>
    </row>
    <row r="12" spans="1:71" ht="9" customHeight="1" x14ac:dyDescent="0.3">
      <c r="A12" s="15"/>
      <c r="B12" s="122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4"/>
      <c r="O12" s="123"/>
      <c r="P12" s="122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4"/>
      <c r="AC12" s="123"/>
      <c r="AD12" s="122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4"/>
      <c r="AQ12" s="123"/>
      <c r="AR12" s="122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4"/>
      <c r="BE12" s="123"/>
      <c r="BF12" s="122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4"/>
      <c r="BS12" s="14"/>
    </row>
    <row r="13" spans="1:71" ht="9" customHeight="1" x14ac:dyDescent="0.3">
      <c r="A13" s="15"/>
      <c r="B13" s="122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4"/>
      <c r="O13" s="123"/>
      <c r="P13" s="122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4"/>
      <c r="AC13" s="123"/>
      <c r="AD13" s="122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4"/>
      <c r="AQ13" s="123"/>
      <c r="AR13" s="122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4"/>
      <c r="BE13" s="123"/>
      <c r="BF13" s="122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4"/>
      <c r="BS13" s="14"/>
    </row>
    <row r="14" spans="1:71" ht="9" customHeight="1" x14ac:dyDescent="0.3">
      <c r="A14" s="15"/>
      <c r="B14" s="122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4"/>
      <c r="O14" s="123"/>
      <c r="P14" s="122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4"/>
      <c r="AC14" s="123"/>
      <c r="AD14" s="122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4"/>
      <c r="AQ14" s="123"/>
      <c r="AR14" s="122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4"/>
      <c r="BE14" s="123"/>
      <c r="BF14" s="122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4"/>
      <c r="BS14" s="14"/>
    </row>
    <row r="15" spans="1:71" ht="9" customHeight="1" x14ac:dyDescent="0.3">
      <c r="A15" s="15"/>
      <c r="B15" s="122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4"/>
      <c r="O15" s="123"/>
      <c r="P15" s="122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4"/>
      <c r="AC15" s="123"/>
      <c r="AD15" s="122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4"/>
      <c r="AQ15" s="123"/>
      <c r="AR15" s="122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4"/>
      <c r="BE15" s="123"/>
      <c r="BF15" s="122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4"/>
      <c r="BS15" s="14"/>
    </row>
    <row r="16" spans="1:71" ht="9" customHeight="1" x14ac:dyDescent="0.3">
      <c r="A16" s="15"/>
      <c r="B16" s="122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4"/>
      <c r="O16" s="123"/>
      <c r="P16" s="122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4"/>
      <c r="AC16" s="123"/>
      <c r="AD16" s="122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4"/>
      <c r="AQ16" s="123"/>
      <c r="AR16" s="122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4"/>
      <c r="BE16" s="123"/>
      <c r="BF16" s="122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4"/>
      <c r="BS16" s="14"/>
    </row>
    <row r="17" spans="1:71" ht="9" customHeight="1" x14ac:dyDescent="0.3">
      <c r="A17" s="15"/>
      <c r="B17" s="122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4"/>
      <c r="O17" s="123"/>
      <c r="P17" s="122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4"/>
      <c r="AC17" s="123"/>
      <c r="AD17" s="122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4"/>
      <c r="AQ17" s="123"/>
      <c r="AR17" s="122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4"/>
      <c r="BE17" s="123"/>
      <c r="BF17" s="122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4"/>
      <c r="BS17" s="14"/>
    </row>
    <row r="18" spans="1:71" ht="9" customHeight="1" x14ac:dyDescent="0.3">
      <c r="A18" s="15"/>
      <c r="B18" s="122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4"/>
      <c r="O18" s="123"/>
      <c r="P18" s="122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4"/>
      <c r="AC18" s="123"/>
      <c r="AD18" s="122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4"/>
      <c r="AQ18" s="123"/>
      <c r="AR18" s="352" t="s">
        <v>640</v>
      </c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4"/>
      <c r="BE18" s="123"/>
      <c r="BF18" s="122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4"/>
      <c r="BS18" s="14"/>
    </row>
    <row r="19" spans="1:71" ht="9" customHeight="1" x14ac:dyDescent="0.3">
      <c r="A19" s="15"/>
      <c r="B19" s="352" t="s">
        <v>640</v>
      </c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4"/>
      <c r="O19" s="123"/>
      <c r="P19" s="352"/>
      <c r="Q19" s="353"/>
      <c r="R19" s="353"/>
      <c r="S19" s="353"/>
      <c r="T19" s="353"/>
      <c r="U19" s="353"/>
      <c r="V19" s="353"/>
      <c r="W19" s="353"/>
      <c r="X19" s="353"/>
      <c r="Y19" s="353"/>
      <c r="Z19" s="353"/>
      <c r="AA19" s="353"/>
      <c r="AB19" s="354"/>
      <c r="AC19" s="123"/>
      <c r="AD19" s="352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4"/>
      <c r="AQ19" s="123"/>
      <c r="AR19" s="128" t="s">
        <v>715</v>
      </c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30"/>
      <c r="BE19" s="123"/>
      <c r="BF19" s="122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4"/>
      <c r="BS19" s="14"/>
    </row>
    <row r="20" spans="1:71" ht="9" customHeight="1" x14ac:dyDescent="0.3">
      <c r="A20" s="15"/>
      <c r="B20" s="352" t="s">
        <v>711</v>
      </c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4"/>
      <c r="O20" s="123"/>
      <c r="P20" s="352" t="s">
        <v>640</v>
      </c>
      <c r="Q20" s="353"/>
      <c r="R20" s="353"/>
      <c r="S20" s="353"/>
      <c r="T20" s="353"/>
      <c r="U20" s="353"/>
      <c r="V20" s="353"/>
      <c r="W20" s="353"/>
      <c r="X20" s="353"/>
      <c r="Y20" s="353"/>
      <c r="Z20" s="353"/>
      <c r="AA20" s="353"/>
      <c r="AB20" s="354"/>
      <c r="AC20" s="123"/>
      <c r="AD20" s="352" t="s">
        <v>640</v>
      </c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4"/>
      <c r="AQ20" s="123"/>
      <c r="AR20" s="352" t="s">
        <v>711</v>
      </c>
      <c r="AS20" s="353"/>
      <c r="AT20" s="353"/>
      <c r="AU20" s="353"/>
      <c r="AV20" s="353"/>
      <c r="AW20" s="353"/>
      <c r="AX20" s="353"/>
      <c r="AY20" s="353"/>
      <c r="AZ20" s="353"/>
      <c r="BA20" s="353"/>
      <c r="BB20" s="353"/>
      <c r="BC20" s="353"/>
      <c r="BD20" s="354"/>
      <c r="BE20" s="123"/>
      <c r="BF20" s="122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4"/>
      <c r="BS20" s="14"/>
    </row>
    <row r="21" spans="1:71" ht="12" customHeight="1" x14ac:dyDescent="0.3">
      <c r="A21" s="15"/>
      <c r="B21" s="355" t="s">
        <v>642</v>
      </c>
      <c r="C21" s="355"/>
      <c r="D21" s="355"/>
      <c r="E21" s="355"/>
      <c r="F21" s="355"/>
      <c r="G21" s="355"/>
      <c r="H21" s="355"/>
      <c r="I21" s="355"/>
      <c r="J21" s="355"/>
      <c r="K21" s="355"/>
      <c r="L21" s="324">
        <f>CEILING(2365*B4,1)</f>
        <v>3311</v>
      </c>
      <c r="M21" s="324"/>
      <c r="N21" s="324"/>
      <c r="O21" s="123"/>
      <c r="P21" s="125" t="s">
        <v>711</v>
      </c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7"/>
      <c r="AC21" s="123"/>
      <c r="AD21" s="125" t="s">
        <v>711</v>
      </c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7"/>
      <c r="AQ21" s="123"/>
      <c r="AR21" s="355" t="s">
        <v>642</v>
      </c>
      <c r="AS21" s="355"/>
      <c r="AT21" s="355"/>
      <c r="AU21" s="355"/>
      <c r="AV21" s="355"/>
      <c r="AW21" s="355"/>
      <c r="AX21" s="355"/>
      <c r="AY21" s="355"/>
      <c r="AZ21" s="355"/>
      <c r="BA21" s="355"/>
      <c r="BB21" s="324">
        <f>CEILING(2706*B4,1)</f>
        <v>3789</v>
      </c>
      <c r="BC21" s="324"/>
      <c r="BD21" s="324"/>
      <c r="BE21" s="123"/>
      <c r="BF21" s="352" t="s">
        <v>641</v>
      </c>
      <c r="BG21" s="353"/>
      <c r="BH21" s="353"/>
      <c r="BI21" s="353"/>
      <c r="BJ21" s="353"/>
      <c r="BK21" s="353"/>
      <c r="BL21" s="353"/>
      <c r="BM21" s="353"/>
      <c r="BN21" s="353"/>
      <c r="BO21" s="353"/>
      <c r="BP21" s="353"/>
      <c r="BQ21" s="353"/>
      <c r="BR21" s="354"/>
      <c r="BS21" s="14"/>
    </row>
    <row r="22" spans="1:71" ht="13.95" customHeight="1" x14ac:dyDescent="0.3">
      <c r="A22" s="15"/>
      <c r="B22" s="355" t="s">
        <v>643</v>
      </c>
      <c r="C22" s="355"/>
      <c r="D22" s="355"/>
      <c r="E22" s="355"/>
      <c r="F22" s="355"/>
      <c r="G22" s="355"/>
      <c r="H22" s="355"/>
      <c r="I22" s="355"/>
      <c r="J22" s="355"/>
      <c r="K22" s="355"/>
      <c r="L22" s="324">
        <f>CEILING(2423*B4,1)</f>
        <v>3393</v>
      </c>
      <c r="M22" s="324"/>
      <c r="N22" s="324"/>
      <c r="O22" s="131"/>
      <c r="P22" s="355" t="s">
        <v>642</v>
      </c>
      <c r="Q22" s="355"/>
      <c r="R22" s="355"/>
      <c r="S22" s="355"/>
      <c r="T22" s="355"/>
      <c r="U22" s="355"/>
      <c r="V22" s="355"/>
      <c r="W22" s="355"/>
      <c r="X22" s="355"/>
      <c r="Y22" s="355"/>
      <c r="Z22" s="324">
        <f>CEILING(2682*B4,1)</f>
        <v>3755</v>
      </c>
      <c r="AA22" s="324"/>
      <c r="AB22" s="324"/>
      <c r="AC22" s="131"/>
      <c r="AD22" s="380" t="s">
        <v>709</v>
      </c>
      <c r="AE22" s="380"/>
      <c r="AF22" s="380"/>
      <c r="AG22" s="380"/>
      <c r="AH22" s="380"/>
      <c r="AI22" s="380"/>
      <c r="AJ22" s="380"/>
      <c r="AK22" s="380"/>
      <c r="AL22" s="380"/>
      <c r="AM22" s="380"/>
      <c r="AN22" s="324">
        <f>CEILING(4510*B4,1)</f>
        <v>6314</v>
      </c>
      <c r="AO22" s="324"/>
      <c r="AP22" s="324"/>
      <c r="AQ22" s="131"/>
      <c r="AR22" s="355" t="s">
        <v>643</v>
      </c>
      <c r="AS22" s="355"/>
      <c r="AT22" s="355"/>
      <c r="AU22" s="355"/>
      <c r="AV22" s="355"/>
      <c r="AW22" s="355"/>
      <c r="AX22" s="355"/>
      <c r="AY22" s="355"/>
      <c r="AZ22" s="355"/>
      <c r="BA22" s="355"/>
      <c r="BB22" s="324">
        <f>CEILING(2803*B4,1)</f>
        <v>3925</v>
      </c>
      <c r="BC22" s="324"/>
      <c r="BD22" s="324"/>
      <c r="BE22" s="123"/>
      <c r="BF22" s="352" t="s">
        <v>711</v>
      </c>
      <c r="BG22" s="353"/>
      <c r="BH22" s="353"/>
      <c r="BI22" s="353"/>
      <c r="BJ22" s="353"/>
      <c r="BK22" s="353"/>
      <c r="BL22" s="353"/>
      <c r="BM22" s="353"/>
      <c r="BN22" s="353"/>
      <c r="BO22" s="353"/>
      <c r="BP22" s="353"/>
      <c r="BQ22" s="353"/>
      <c r="BR22" s="354"/>
      <c r="BS22" s="14"/>
    </row>
    <row r="23" spans="1:71" s="5" customFormat="1" ht="13.05" customHeight="1" x14ac:dyDescent="0.3">
      <c r="A23" s="62"/>
      <c r="B23" s="355" t="s">
        <v>644</v>
      </c>
      <c r="C23" s="355"/>
      <c r="D23" s="355"/>
      <c r="E23" s="355"/>
      <c r="F23" s="355"/>
      <c r="G23" s="355"/>
      <c r="H23" s="355"/>
      <c r="I23" s="355"/>
      <c r="J23" s="355"/>
      <c r="K23" s="355"/>
      <c r="L23" s="324">
        <f>CEILING(2547*B4,1)</f>
        <v>3566</v>
      </c>
      <c r="M23" s="324"/>
      <c r="N23" s="324"/>
      <c r="O23" s="131"/>
      <c r="P23" s="355" t="s">
        <v>643</v>
      </c>
      <c r="Q23" s="355"/>
      <c r="R23" s="355"/>
      <c r="S23" s="355"/>
      <c r="T23" s="355"/>
      <c r="U23" s="355"/>
      <c r="V23" s="355"/>
      <c r="W23" s="355"/>
      <c r="X23" s="355"/>
      <c r="Y23" s="355"/>
      <c r="Z23" s="324">
        <f>CEILING(2803*B4,1)</f>
        <v>3925</v>
      </c>
      <c r="AA23" s="324"/>
      <c r="AB23" s="324"/>
      <c r="AC23" s="131"/>
      <c r="AD23" s="380" t="s">
        <v>710</v>
      </c>
      <c r="AE23" s="380"/>
      <c r="AF23" s="380"/>
      <c r="AG23" s="380"/>
      <c r="AH23" s="380"/>
      <c r="AI23" s="380"/>
      <c r="AJ23" s="380"/>
      <c r="AK23" s="380"/>
      <c r="AL23" s="380"/>
      <c r="AM23" s="380"/>
      <c r="AN23" s="324">
        <f>CEILING(4792*B4,1)</f>
        <v>6709</v>
      </c>
      <c r="AO23" s="324"/>
      <c r="AP23" s="324"/>
      <c r="AQ23" s="131"/>
      <c r="AR23" s="355" t="s">
        <v>644</v>
      </c>
      <c r="AS23" s="355"/>
      <c r="AT23" s="355"/>
      <c r="AU23" s="355"/>
      <c r="AV23" s="355"/>
      <c r="AW23" s="355"/>
      <c r="AX23" s="355"/>
      <c r="AY23" s="355"/>
      <c r="AZ23" s="355"/>
      <c r="BA23" s="355"/>
      <c r="BB23" s="324">
        <f>CEILING(2902*B4,1)</f>
        <v>4063</v>
      </c>
      <c r="BC23" s="324"/>
      <c r="BD23" s="324"/>
      <c r="BE23" s="132"/>
      <c r="BF23" s="355" t="s">
        <v>646</v>
      </c>
      <c r="BG23" s="355"/>
      <c r="BH23" s="355"/>
      <c r="BI23" s="355"/>
      <c r="BJ23" s="355"/>
      <c r="BK23" s="355"/>
      <c r="BL23" s="355"/>
      <c r="BM23" s="355"/>
      <c r="BN23" s="355"/>
      <c r="BO23" s="355"/>
      <c r="BP23" s="324">
        <f>CEILING(3529*B4,1)</f>
        <v>4941</v>
      </c>
      <c r="BQ23" s="324"/>
      <c r="BR23" s="324"/>
      <c r="BS23" s="63"/>
    </row>
    <row r="24" spans="1:71" ht="1.95" customHeight="1" x14ac:dyDescent="0.3">
      <c r="A24" s="15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4"/>
    </row>
    <row r="25" spans="1:71" ht="9" customHeight="1" x14ac:dyDescent="0.3">
      <c r="A25" s="15"/>
      <c r="B25" s="356" t="s">
        <v>345</v>
      </c>
      <c r="C25" s="357"/>
      <c r="D25" s="357"/>
      <c r="E25" s="358"/>
      <c r="F25" s="133"/>
      <c r="G25" s="133"/>
      <c r="H25" s="133"/>
      <c r="I25" s="133"/>
      <c r="J25" s="133"/>
      <c r="K25" s="133"/>
      <c r="L25" s="133"/>
      <c r="M25" s="133"/>
      <c r="N25" s="134"/>
      <c r="O25" s="123"/>
      <c r="P25" s="356" t="s">
        <v>346</v>
      </c>
      <c r="Q25" s="357"/>
      <c r="R25" s="357"/>
      <c r="S25" s="358"/>
      <c r="T25" s="133"/>
      <c r="U25" s="133"/>
      <c r="V25" s="133"/>
      <c r="W25" s="133"/>
      <c r="X25" s="133"/>
      <c r="Y25" s="133"/>
      <c r="Z25" s="133"/>
      <c r="AA25" s="133"/>
      <c r="AB25" s="134"/>
      <c r="AC25" s="123"/>
      <c r="AD25" s="356" t="s">
        <v>347</v>
      </c>
      <c r="AE25" s="357"/>
      <c r="AF25" s="357"/>
      <c r="AG25" s="358"/>
      <c r="AH25" s="133"/>
      <c r="AI25" s="133"/>
      <c r="AJ25" s="133"/>
      <c r="AK25" s="133"/>
      <c r="AL25" s="133"/>
      <c r="AM25" s="133"/>
      <c r="AN25" s="133"/>
      <c r="AO25" s="133"/>
      <c r="AP25" s="134"/>
      <c r="AQ25" s="123"/>
      <c r="AR25" s="356" t="s">
        <v>208</v>
      </c>
      <c r="AS25" s="357"/>
      <c r="AT25" s="357"/>
      <c r="AU25" s="358"/>
      <c r="AV25" s="359" t="s">
        <v>652</v>
      </c>
      <c r="AW25" s="360"/>
      <c r="AX25" s="360"/>
      <c r="AY25" s="360"/>
      <c r="AZ25" s="360"/>
      <c r="BA25" s="360"/>
      <c r="BB25" s="360"/>
      <c r="BC25" s="360"/>
      <c r="BD25" s="361"/>
      <c r="BE25" s="123"/>
      <c r="BF25" s="356" t="s">
        <v>350</v>
      </c>
      <c r="BG25" s="357"/>
      <c r="BH25" s="357"/>
      <c r="BI25" s="358"/>
      <c r="BJ25" s="133"/>
      <c r="BK25" s="133"/>
      <c r="BL25" s="133"/>
      <c r="BM25" s="133"/>
      <c r="BN25" s="133"/>
      <c r="BO25" s="133"/>
      <c r="BP25" s="133"/>
      <c r="BQ25" s="133"/>
      <c r="BR25" s="134"/>
      <c r="BS25" s="14"/>
    </row>
    <row r="26" spans="1:71" ht="9" customHeight="1" x14ac:dyDescent="0.3">
      <c r="A26" s="15"/>
      <c r="B26" s="122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4"/>
      <c r="O26" s="123"/>
      <c r="P26" s="122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4"/>
      <c r="AC26" s="123"/>
      <c r="AD26" s="122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4"/>
      <c r="AQ26" s="123"/>
      <c r="AR26" s="122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4"/>
      <c r="BE26" s="123"/>
      <c r="BF26" s="122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4"/>
      <c r="BS26" s="14"/>
    </row>
    <row r="27" spans="1:71" ht="9" customHeight="1" x14ac:dyDescent="0.3">
      <c r="A27" s="15"/>
      <c r="B27" s="122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4"/>
      <c r="O27" s="123"/>
      <c r="P27" s="122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4"/>
      <c r="AC27" s="123"/>
      <c r="AD27" s="122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4"/>
      <c r="AQ27" s="123"/>
      <c r="AR27" s="122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4"/>
      <c r="BE27" s="123"/>
      <c r="BF27" s="122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4"/>
      <c r="BS27" s="14"/>
    </row>
    <row r="28" spans="1:71" ht="9" customHeight="1" x14ac:dyDescent="0.3">
      <c r="A28" s="15"/>
      <c r="B28" s="122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4"/>
      <c r="O28" s="123"/>
      <c r="P28" s="122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4"/>
      <c r="AC28" s="123"/>
      <c r="AD28" s="122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4"/>
      <c r="AQ28" s="123"/>
      <c r="AR28" s="122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4"/>
      <c r="BE28" s="123"/>
      <c r="BF28" s="122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4"/>
      <c r="BS28" s="14"/>
    </row>
    <row r="29" spans="1:71" ht="9" customHeight="1" x14ac:dyDescent="0.3">
      <c r="A29" s="15"/>
      <c r="B29" s="122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4"/>
      <c r="O29" s="123"/>
      <c r="P29" s="122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4"/>
      <c r="AC29" s="123"/>
      <c r="AD29" s="122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4"/>
      <c r="AQ29" s="123"/>
      <c r="AR29" s="122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4"/>
      <c r="BE29" s="123"/>
      <c r="BF29" s="122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4"/>
      <c r="BS29" s="14"/>
    </row>
    <row r="30" spans="1:71" ht="9" customHeight="1" x14ac:dyDescent="0.3">
      <c r="A30" s="15"/>
      <c r="B30" s="122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4"/>
      <c r="O30" s="123"/>
      <c r="P30" s="122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4"/>
      <c r="AC30" s="123"/>
      <c r="AD30" s="122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4"/>
      <c r="AQ30" s="123"/>
      <c r="AR30" s="122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4"/>
      <c r="BE30" s="123"/>
      <c r="BF30" s="122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4"/>
      <c r="BS30" s="14"/>
    </row>
    <row r="31" spans="1:71" ht="9" customHeight="1" x14ac:dyDescent="0.3">
      <c r="A31" s="15"/>
      <c r="B31" s="122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4"/>
      <c r="O31" s="123"/>
      <c r="P31" s="122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4"/>
      <c r="AC31" s="123"/>
      <c r="AD31" s="122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4"/>
      <c r="AQ31" s="123"/>
      <c r="AR31" s="122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4"/>
      <c r="BE31" s="123"/>
      <c r="BF31" s="122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4"/>
      <c r="BS31" s="14"/>
    </row>
    <row r="32" spans="1:71" ht="9" customHeight="1" x14ac:dyDescent="0.3">
      <c r="A32" s="15"/>
      <c r="B32" s="122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4"/>
      <c r="O32" s="123"/>
      <c r="P32" s="122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4"/>
      <c r="AC32" s="123"/>
      <c r="AD32" s="122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4"/>
      <c r="AQ32" s="123"/>
      <c r="AR32" s="122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4"/>
      <c r="BE32" s="123"/>
      <c r="BF32" s="122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4"/>
      <c r="BS32" s="14"/>
    </row>
    <row r="33" spans="1:71" ht="9" customHeight="1" x14ac:dyDescent="0.3">
      <c r="A33" s="15"/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4"/>
      <c r="O33" s="123"/>
      <c r="P33" s="122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4"/>
      <c r="AC33" s="123"/>
      <c r="AD33" s="122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4"/>
      <c r="AQ33" s="123"/>
      <c r="AR33" s="122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4"/>
      <c r="BE33" s="123"/>
      <c r="BF33" s="122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4"/>
      <c r="BS33" s="14"/>
    </row>
    <row r="34" spans="1:71" ht="9" customHeight="1" x14ac:dyDescent="0.3">
      <c r="A34" s="15"/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4"/>
      <c r="O34" s="123"/>
      <c r="P34" s="122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4"/>
      <c r="AC34" s="123"/>
      <c r="AD34" s="122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4"/>
      <c r="AQ34" s="123"/>
      <c r="AR34" s="122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4"/>
      <c r="BE34" s="123"/>
      <c r="BF34" s="122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4"/>
      <c r="BS34" s="14"/>
    </row>
    <row r="35" spans="1:71" ht="9" customHeight="1" x14ac:dyDescent="0.3">
      <c r="A35" s="15"/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4"/>
      <c r="O35" s="123"/>
      <c r="P35" s="122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4"/>
      <c r="AC35" s="123"/>
      <c r="AD35" s="122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4"/>
      <c r="AQ35" s="123"/>
      <c r="AR35" s="122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4"/>
      <c r="BE35" s="123"/>
      <c r="BF35" s="122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4"/>
      <c r="BS35" s="14"/>
    </row>
    <row r="36" spans="1:71" ht="9" customHeight="1" x14ac:dyDescent="0.3">
      <c r="A36" s="15"/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4"/>
      <c r="O36" s="123"/>
      <c r="P36" s="352" t="s">
        <v>647</v>
      </c>
      <c r="Q36" s="353"/>
      <c r="R36" s="353"/>
      <c r="S36" s="353"/>
      <c r="T36" s="353"/>
      <c r="U36" s="353"/>
      <c r="V36" s="353"/>
      <c r="W36" s="353"/>
      <c r="X36" s="353"/>
      <c r="Y36" s="353"/>
      <c r="Z36" s="353"/>
      <c r="AA36" s="353"/>
      <c r="AB36" s="354"/>
      <c r="AC36" s="123"/>
      <c r="AD36" s="352" t="s">
        <v>647</v>
      </c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4"/>
      <c r="AQ36" s="123"/>
      <c r="AR36" s="352" t="s">
        <v>653</v>
      </c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4"/>
      <c r="BE36" s="123"/>
      <c r="BF36" s="122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4"/>
      <c r="BS36" s="14"/>
    </row>
    <row r="37" spans="1:71" ht="9" customHeight="1" x14ac:dyDescent="0.3">
      <c r="A37" s="15"/>
      <c r="B37" s="352" t="s">
        <v>647</v>
      </c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4"/>
      <c r="O37" s="123"/>
      <c r="P37" s="129" t="s">
        <v>712</v>
      </c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3"/>
      <c r="AD37" s="129" t="s">
        <v>713</v>
      </c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3"/>
      <c r="AR37" s="352" t="s">
        <v>654</v>
      </c>
      <c r="AS37" s="353"/>
      <c r="AT37" s="353"/>
      <c r="AU37" s="353"/>
      <c r="AV37" s="353"/>
      <c r="AW37" s="353"/>
      <c r="AX37" s="354"/>
      <c r="AY37" s="365" t="s">
        <v>648</v>
      </c>
      <c r="AZ37" s="365"/>
      <c r="BA37" s="365"/>
      <c r="BB37" s="365" t="s">
        <v>649</v>
      </c>
      <c r="BC37" s="365"/>
      <c r="BD37" s="365"/>
      <c r="BE37" s="123"/>
      <c r="BF37" s="352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  <c r="BR37" s="354"/>
      <c r="BS37" s="14"/>
    </row>
    <row r="38" spans="1:71" ht="12" customHeight="1" x14ac:dyDescent="0.3">
      <c r="A38" s="15"/>
      <c r="B38" s="352" t="s">
        <v>711</v>
      </c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4"/>
      <c r="O38" s="123"/>
      <c r="P38" s="352" t="s">
        <v>711</v>
      </c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4"/>
      <c r="AC38" s="123"/>
      <c r="AD38" s="352" t="s">
        <v>711</v>
      </c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4"/>
      <c r="AQ38" s="123"/>
      <c r="AR38" s="355" t="s">
        <v>650</v>
      </c>
      <c r="AS38" s="355"/>
      <c r="AT38" s="355"/>
      <c r="AU38" s="355"/>
      <c r="AV38" s="355"/>
      <c r="AW38" s="355"/>
      <c r="AX38" s="355"/>
      <c r="AY38" s="369">
        <f>CEILING(3000*B4,1)</f>
        <v>4200</v>
      </c>
      <c r="AZ38" s="369"/>
      <c r="BA38" s="369"/>
      <c r="BB38" s="324">
        <f>CEILING(4132*B4,1)</f>
        <v>5785</v>
      </c>
      <c r="BC38" s="324"/>
      <c r="BD38" s="324"/>
      <c r="BE38" s="123"/>
      <c r="BF38" s="352" t="s">
        <v>655</v>
      </c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  <c r="BR38" s="354"/>
      <c r="BS38" s="14"/>
    </row>
    <row r="39" spans="1:71" s="5" customFormat="1" ht="12" customHeight="1" x14ac:dyDescent="0.3">
      <c r="A39" s="62"/>
      <c r="B39" s="355" t="s">
        <v>719</v>
      </c>
      <c r="C39" s="355"/>
      <c r="D39" s="355"/>
      <c r="E39" s="355"/>
      <c r="F39" s="355"/>
      <c r="G39" s="355"/>
      <c r="H39" s="355"/>
      <c r="I39" s="355"/>
      <c r="J39" s="355"/>
      <c r="K39" s="355"/>
      <c r="L39" s="324">
        <f>CEILING(5936*B4,1)</f>
        <v>8311</v>
      </c>
      <c r="M39" s="324"/>
      <c r="N39" s="324"/>
      <c r="O39" s="131"/>
      <c r="P39" s="355" t="s">
        <v>720</v>
      </c>
      <c r="Q39" s="355"/>
      <c r="R39" s="355"/>
      <c r="S39" s="355"/>
      <c r="T39" s="355"/>
      <c r="U39" s="355"/>
      <c r="V39" s="355"/>
      <c r="W39" s="355"/>
      <c r="X39" s="355"/>
      <c r="Y39" s="355"/>
      <c r="Z39" s="324">
        <f>CEILING(8157*B4,1)</f>
        <v>11420</v>
      </c>
      <c r="AA39" s="324"/>
      <c r="AB39" s="324"/>
      <c r="AC39" s="131"/>
      <c r="AD39" s="355" t="s">
        <v>721</v>
      </c>
      <c r="AE39" s="355"/>
      <c r="AF39" s="355"/>
      <c r="AG39" s="355"/>
      <c r="AH39" s="355"/>
      <c r="AI39" s="355"/>
      <c r="AJ39" s="355"/>
      <c r="AK39" s="355"/>
      <c r="AL39" s="355"/>
      <c r="AM39" s="355"/>
      <c r="AN39" s="324">
        <f>CEILING(14324*B4,1)</f>
        <v>20054</v>
      </c>
      <c r="AO39" s="324"/>
      <c r="AP39" s="324"/>
      <c r="AQ39" s="131"/>
      <c r="AR39" s="355" t="s">
        <v>651</v>
      </c>
      <c r="AS39" s="355"/>
      <c r="AT39" s="355"/>
      <c r="AU39" s="355"/>
      <c r="AV39" s="355"/>
      <c r="AW39" s="355"/>
      <c r="AX39" s="355"/>
      <c r="AY39" s="369">
        <f>CEILING(3650*B4,1)</f>
        <v>5110</v>
      </c>
      <c r="AZ39" s="369"/>
      <c r="BA39" s="369"/>
      <c r="BB39" s="324">
        <f>CEILING(5020*B4,1)</f>
        <v>7028</v>
      </c>
      <c r="BC39" s="324"/>
      <c r="BD39" s="324"/>
      <c r="BE39" s="131"/>
      <c r="BF39" s="355" t="s">
        <v>656</v>
      </c>
      <c r="BG39" s="355"/>
      <c r="BH39" s="355"/>
      <c r="BI39" s="355"/>
      <c r="BJ39" s="355"/>
      <c r="BK39" s="355"/>
      <c r="BL39" s="355"/>
      <c r="BM39" s="355"/>
      <c r="BN39" s="355"/>
      <c r="BO39" s="355"/>
      <c r="BP39" s="324">
        <f>CEILING(1810*B4,1)</f>
        <v>2534</v>
      </c>
      <c r="BQ39" s="324"/>
      <c r="BR39" s="324"/>
      <c r="BS39" s="6"/>
    </row>
    <row r="40" spans="1:71" ht="1.95" customHeight="1" x14ac:dyDescent="0.3">
      <c r="A40" s="15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4"/>
    </row>
    <row r="41" spans="1:71" ht="9" customHeight="1" x14ac:dyDescent="0.3">
      <c r="A41" s="15"/>
      <c r="B41" s="356" t="s">
        <v>351</v>
      </c>
      <c r="C41" s="357"/>
      <c r="D41" s="357"/>
      <c r="E41" s="358"/>
      <c r="F41" s="133"/>
      <c r="G41" s="133"/>
      <c r="H41" s="133"/>
      <c r="I41" s="133"/>
      <c r="J41" s="133"/>
      <c r="K41" s="133"/>
      <c r="L41" s="133"/>
      <c r="M41" s="133"/>
      <c r="N41" s="134"/>
      <c r="O41" s="123"/>
      <c r="P41" s="356" t="s">
        <v>352</v>
      </c>
      <c r="Q41" s="357"/>
      <c r="R41" s="357"/>
      <c r="S41" s="358"/>
      <c r="T41" s="133"/>
      <c r="U41" s="133"/>
      <c r="V41" s="133"/>
      <c r="W41" s="133"/>
      <c r="X41" s="133"/>
      <c r="Y41" s="133"/>
      <c r="Z41" s="133"/>
      <c r="AA41" s="133"/>
      <c r="AB41" s="134"/>
      <c r="AC41" s="123"/>
      <c r="AD41" s="356" t="s">
        <v>211</v>
      </c>
      <c r="AE41" s="357"/>
      <c r="AF41" s="357"/>
      <c r="AG41" s="358"/>
      <c r="AH41" s="133"/>
      <c r="AI41" s="133"/>
      <c r="AJ41" s="133"/>
      <c r="AK41" s="133"/>
      <c r="AL41" s="133"/>
      <c r="AM41" s="133"/>
      <c r="AN41" s="133"/>
      <c r="AO41" s="133"/>
      <c r="AP41" s="134"/>
      <c r="AQ41" s="123"/>
      <c r="AR41" s="356" t="s">
        <v>212</v>
      </c>
      <c r="AS41" s="357"/>
      <c r="AT41" s="357"/>
      <c r="AU41" s="358"/>
      <c r="AV41" s="133"/>
      <c r="AW41" s="133"/>
      <c r="AX41" s="133"/>
      <c r="AY41" s="133"/>
      <c r="AZ41" s="133"/>
      <c r="BA41" s="133"/>
      <c r="BB41" s="133"/>
      <c r="BC41" s="133"/>
      <c r="BD41" s="134"/>
      <c r="BE41" s="123"/>
      <c r="BF41" s="356" t="s">
        <v>326</v>
      </c>
      <c r="BG41" s="357"/>
      <c r="BH41" s="357"/>
      <c r="BI41" s="358"/>
      <c r="BJ41" s="133"/>
      <c r="BK41" s="133"/>
      <c r="BL41" s="133"/>
      <c r="BM41" s="133"/>
      <c r="BN41" s="133"/>
      <c r="BO41" s="133"/>
      <c r="BP41" s="133"/>
      <c r="BQ41" s="133"/>
      <c r="BR41" s="134"/>
      <c r="BS41" s="14"/>
    </row>
    <row r="42" spans="1:71" s="20" customFormat="1" ht="9" customHeight="1" x14ac:dyDescent="0.3">
      <c r="A42" s="18"/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4"/>
      <c r="O42" s="123"/>
      <c r="P42" s="122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4"/>
      <c r="AC42" s="123"/>
      <c r="AD42" s="122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4"/>
      <c r="AQ42" s="123"/>
      <c r="AR42" s="122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4"/>
      <c r="BE42" s="123"/>
      <c r="BF42" s="122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4"/>
      <c r="BS42" s="19"/>
    </row>
    <row r="43" spans="1:71" ht="9" customHeight="1" x14ac:dyDescent="0.3">
      <c r="A43" s="15"/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4"/>
      <c r="O43" s="123"/>
      <c r="P43" s="122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4"/>
      <c r="AC43" s="123"/>
      <c r="AD43" s="122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4"/>
      <c r="AQ43" s="123"/>
      <c r="AR43" s="122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4"/>
      <c r="BE43" s="123"/>
      <c r="BF43" s="122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4"/>
      <c r="BS43" s="14"/>
    </row>
    <row r="44" spans="1:71" ht="9" customHeight="1" x14ac:dyDescent="0.3">
      <c r="A44" s="15"/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4"/>
      <c r="O44" s="123"/>
      <c r="P44" s="122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4"/>
      <c r="AC44" s="123"/>
      <c r="AD44" s="122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4"/>
      <c r="AQ44" s="123"/>
      <c r="AR44" s="122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4"/>
      <c r="BE44" s="123"/>
      <c r="BF44" s="122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4"/>
      <c r="BS44" s="14"/>
    </row>
    <row r="45" spans="1:71" ht="9" customHeight="1" x14ac:dyDescent="0.3">
      <c r="A45" s="15"/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4"/>
      <c r="O45" s="123"/>
      <c r="P45" s="122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4"/>
      <c r="AC45" s="123"/>
      <c r="AD45" s="122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4"/>
      <c r="AQ45" s="123"/>
      <c r="AR45" s="122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4"/>
      <c r="BE45" s="123"/>
      <c r="BF45" s="122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4"/>
      <c r="BS45" s="14"/>
    </row>
    <row r="46" spans="1:71" ht="9" customHeight="1" x14ac:dyDescent="0.3">
      <c r="A46" s="15"/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4"/>
      <c r="O46" s="123"/>
      <c r="P46" s="122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4"/>
      <c r="AC46" s="123"/>
      <c r="AD46" s="122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4"/>
      <c r="AQ46" s="123"/>
      <c r="AR46" s="122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4"/>
      <c r="BE46" s="123"/>
      <c r="BF46" s="122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4"/>
      <c r="BS46" s="14"/>
    </row>
    <row r="47" spans="1:71" ht="9" customHeight="1" x14ac:dyDescent="0.3">
      <c r="A47" s="15"/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4"/>
      <c r="O47" s="123"/>
      <c r="P47" s="122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4"/>
      <c r="AC47" s="123"/>
      <c r="AD47" s="122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4"/>
      <c r="AQ47" s="123"/>
      <c r="AR47" s="122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4"/>
      <c r="BE47" s="123"/>
      <c r="BF47" s="122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4"/>
      <c r="BS47" s="14"/>
    </row>
    <row r="48" spans="1:71" ht="9" customHeight="1" x14ac:dyDescent="0.3">
      <c r="A48" s="15"/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4"/>
      <c r="O48" s="123"/>
      <c r="P48" s="122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4"/>
      <c r="AC48" s="123"/>
      <c r="AD48" s="122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4"/>
      <c r="AQ48" s="123"/>
      <c r="AR48" s="122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4"/>
      <c r="BE48" s="123"/>
      <c r="BF48" s="122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4"/>
      <c r="BS48" s="14"/>
    </row>
    <row r="49" spans="1:71" ht="9" customHeight="1" x14ac:dyDescent="0.3">
      <c r="A49" s="15"/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4"/>
      <c r="O49" s="123"/>
      <c r="P49" s="122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4"/>
      <c r="AC49" s="123"/>
      <c r="AD49" s="122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4"/>
      <c r="AQ49" s="123"/>
      <c r="AR49" s="122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4"/>
      <c r="BE49" s="123"/>
      <c r="BF49" s="122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4"/>
      <c r="BS49" s="14"/>
    </row>
    <row r="50" spans="1:71" ht="9" customHeight="1" x14ac:dyDescent="0.3">
      <c r="A50" s="15"/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4"/>
      <c r="O50" s="123"/>
      <c r="P50" s="122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4"/>
      <c r="AC50" s="123"/>
      <c r="AD50" s="122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4"/>
      <c r="AQ50" s="123"/>
      <c r="AR50" s="122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4"/>
      <c r="BE50" s="123"/>
      <c r="BF50" s="122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4"/>
      <c r="BS50" s="14"/>
    </row>
    <row r="51" spans="1:71" ht="9" customHeight="1" x14ac:dyDescent="0.3">
      <c r="A51" s="15"/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4"/>
      <c r="O51" s="123"/>
      <c r="P51" s="122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4"/>
      <c r="AC51" s="123"/>
      <c r="AD51" s="122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4"/>
      <c r="AQ51" s="123"/>
      <c r="AR51" s="122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4"/>
      <c r="BE51" s="123"/>
      <c r="BF51" s="122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4"/>
      <c r="BS51" s="14"/>
    </row>
    <row r="52" spans="1:71" ht="9" customHeight="1" x14ac:dyDescent="0.3">
      <c r="A52" s="15"/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4"/>
      <c r="O52" s="123"/>
      <c r="P52" s="122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4"/>
      <c r="AC52" s="123"/>
      <c r="AD52" s="352" t="s">
        <v>665</v>
      </c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4"/>
      <c r="AQ52" s="123"/>
      <c r="AR52" s="122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4"/>
      <c r="BE52" s="123"/>
      <c r="BF52" s="122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4"/>
      <c r="BS52" s="14"/>
    </row>
    <row r="53" spans="1:71" ht="9" customHeight="1" x14ac:dyDescent="0.3">
      <c r="A53" s="15"/>
      <c r="B53" s="352" t="s">
        <v>658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4"/>
      <c r="O53" s="123"/>
      <c r="P53" s="352" t="s">
        <v>658</v>
      </c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3"/>
      <c r="AB53" s="354"/>
      <c r="AC53" s="123"/>
      <c r="AD53" s="352" t="s">
        <v>666</v>
      </c>
      <c r="AE53" s="353"/>
      <c r="AF53" s="353"/>
      <c r="AG53" s="353"/>
      <c r="AH53" s="353"/>
      <c r="AI53" s="353"/>
      <c r="AJ53" s="354"/>
      <c r="AK53" s="365" t="s">
        <v>648</v>
      </c>
      <c r="AL53" s="365"/>
      <c r="AM53" s="365"/>
      <c r="AN53" s="365" t="s">
        <v>649</v>
      </c>
      <c r="AO53" s="365"/>
      <c r="AP53" s="365"/>
      <c r="AQ53" s="123"/>
      <c r="AR53" s="352" t="s">
        <v>665</v>
      </c>
      <c r="AS53" s="353"/>
      <c r="AT53" s="353"/>
      <c r="AU53" s="353"/>
      <c r="AV53" s="353"/>
      <c r="AW53" s="353"/>
      <c r="AX53" s="353"/>
      <c r="AY53" s="353"/>
      <c r="AZ53" s="353"/>
      <c r="BA53" s="353"/>
      <c r="BB53" s="353"/>
      <c r="BC53" s="353"/>
      <c r="BD53" s="354"/>
      <c r="BE53" s="123"/>
      <c r="BF53" s="352" t="s">
        <v>269</v>
      </c>
      <c r="BG53" s="353"/>
      <c r="BH53" s="353"/>
      <c r="BI53" s="353"/>
      <c r="BJ53" s="353"/>
      <c r="BK53" s="353"/>
      <c r="BL53" s="353"/>
      <c r="BM53" s="353"/>
      <c r="BN53" s="353"/>
      <c r="BO53" s="353"/>
      <c r="BP53" s="353"/>
      <c r="BQ53" s="353"/>
      <c r="BR53" s="354"/>
      <c r="BS53" s="14"/>
    </row>
    <row r="54" spans="1:71" ht="12" customHeight="1" x14ac:dyDescent="0.3">
      <c r="A54" s="15"/>
      <c r="B54" s="352" t="s">
        <v>659</v>
      </c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4"/>
      <c r="O54" s="123"/>
      <c r="P54" s="352" t="s">
        <v>662</v>
      </c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4"/>
      <c r="AC54" s="123"/>
      <c r="AD54" s="355" t="s">
        <v>663</v>
      </c>
      <c r="AE54" s="355"/>
      <c r="AF54" s="355"/>
      <c r="AG54" s="355"/>
      <c r="AH54" s="355"/>
      <c r="AI54" s="355"/>
      <c r="AJ54" s="355"/>
      <c r="AK54" s="369">
        <f>CEILING(2019*B4,1)</f>
        <v>2827</v>
      </c>
      <c r="AL54" s="369"/>
      <c r="AM54" s="369"/>
      <c r="AN54" s="324">
        <f>CEILING(3233*B4,1)</f>
        <v>4527</v>
      </c>
      <c r="AO54" s="324"/>
      <c r="AP54" s="324"/>
      <c r="AQ54" s="123"/>
      <c r="AR54" s="352" t="s">
        <v>666</v>
      </c>
      <c r="AS54" s="353"/>
      <c r="AT54" s="353"/>
      <c r="AU54" s="353"/>
      <c r="AV54" s="353"/>
      <c r="AW54" s="353"/>
      <c r="AX54" s="354"/>
      <c r="AY54" s="365" t="s">
        <v>648</v>
      </c>
      <c r="AZ54" s="365"/>
      <c r="BA54" s="365"/>
      <c r="BB54" s="365" t="s">
        <v>649</v>
      </c>
      <c r="BC54" s="365"/>
      <c r="BD54" s="365"/>
      <c r="BE54" s="123"/>
      <c r="BF54" s="352"/>
      <c r="BG54" s="353"/>
      <c r="BH54" s="353"/>
      <c r="BI54" s="353"/>
      <c r="BJ54" s="353"/>
      <c r="BK54" s="353"/>
      <c r="BL54" s="354"/>
      <c r="BM54" s="365" t="s">
        <v>648</v>
      </c>
      <c r="BN54" s="365"/>
      <c r="BO54" s="365"/>
      <c r="BP54" s="365" t="s">
        <v>649</v>
      </c>
      <c r="BQ54" s="365"/>
      <c r="BR54" s="365"/>
      <c r="BS54" s="14"/>
    </row>
    <row r="55" spans="1:71" s="5" customFormat="1" ht="12" customHeight="1" x14ac:dyDescent="0.3">
      <c r="A55" s="62"/>
      <c r="B55" s="355" t="s">
        <v>660</v>
      </c>
      <c r="C55" s="355"/>
      <c r="D55" s="355"/>
      <c r="E55" s="355"/>
      <c r="F55" s="355"/>
      <c r="G55" s="355"/>
      <c r="H55" s="355"/>
      <c r="I55" s="355"/>
      <c r="J55" s="355"/>
      <c r="K55" s="355"/>
      <c r="L55" s="324">
        <f>CEILING(2793*B4,1)</f>
        <v>3911</v>
      </c>
      <c r="M55" s="324"/>
      <c r="N55" s="324"/>
      <c r="O55" s="131"/>
      <c r="P55" s="355" t="s">
        <v>661</v>
      </c>
      <c r="Q55" s="355"/>
      <c r="R55" s="355"/>
      <c r="S55" s="355"/>
      <c r="T55" s="355"/>
      <c r="U55" s="355"/>
      <c r="V55" s="355"/>
      <c r="W55" s="355"/>
      <c r="X55" s="355"/>
      <c r="Y55" s="355"/>
      <c r="Z55" s="324">
        <f>CEILING(2177*B4,1)</f>
        <v>3048</v>
      </c>
      <c r="AA55" s="324"/>
      <c r="AB55" s="324"/>
      <c r="AC55" s="131"/>
      <c r="AD55" s="355" t="s">
        <v>664</v>
      </c>
      <c r="AE55" s="355"/>
      <c r="AF55" s="355"/>
      <c r="AG55" s="355"/>
      <c r="AH55" s="355"/>
      <c r="AI55" s="355"/>
      <c r="AJ55" s="355"/>
      <c r="AK55" s="369">
        <f>CEILING(2213*B4,1)</f>
        <v>3099</v>
      </c>
      <c r="AL55" s="369"/>
      <c r="AM55" s="369"/>
      <c r="AN55" s="324">
        <f>CEILING(3301*B4,1)</f>
        <v>4622</v>
      </c>
      <c r="AO55" s="324"/>
      <c r="AP55" s="324"/>
      <c r="AQ55" s="131"/>
      <c r="AR55" s="355" t="s">
        <v>667</v>
      </c>
      <c r="AS55" s="355"/>
      <c r="AT55" s="355"/>
      <c r="AU55" s="355"/>
      <c r="AV55" s="355"/>
      <c r="AW55" s="355"/>
      <c r="AX55" s="355"/>
      <c r="AY55" s="324">
        <f>CEILING(1515*B4,1)</f>
        <v>2121</v>
      </c>
      <c r="AZ55" s="324"/>
      <c r="BA55" s="324"/>
      <c r="BB55" s="324">
        <f>CEILING(2600*B4,1)</f>
        <v>3640</v>
      </c>
      <c r="BC55" s="324"/>
      <c r="BD55" s="324"/>
      <c r="BE55" s="131"/>
      <c r="BF55" s="355" t="s">
        <v>667</v>
      </c>
      <c r="BG55" s="355"/>
      <c r="BH55" s="355"/>
      <c r="BI55" s="355"/>
      <c r="BJ55" s="355"/>
      <c r="BK55" s="355"/>
      <c r="BL55" s="355"/>
      <c r="BM55" s="324">
        <f>CEILING(2019*B4,1)</f>
        <v>2827</v>
      </c>
      <c r="BN55" s="324"/>
      <c r="BO55" s="324"/>
      <c r="BP55" s="324">
        <f>CEILING(3430*B4,1)</f>
        <v>4802</v>
      </c>
      <c r="BQ55" s="324"/>
      <c r="BR55" s="324"/>
      <c r="BS55" s="63"/>
    </row>
    <row r="56" spans="1:71" ht="1.95" customHeight="1" x14ac:dyDescent="0.3">
      <c r="A56" s="15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4"/>
    </row>
    <row r="57" spans="1:71" ht="9" customHeight="1" x14ac:dyDescent="0.3">
      <c r="A57" s="15"/>
      <c r="B57" s="373" t="s">
        <v>736</v>
      </c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5"/>
      <c r="O57" s="123"/>
      <c r="P57" s="373" t="s">
        <v>742</v>
      </c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5"/>
      <c r="AC57" s="123"/>
      <c r="AD57" s="359" t="s">
        <v>735</v>
      </c>
      <c r="AE57" s="360"/>
      <c r="AF57" s="360"/>
      <c r="AG57" s="360"/>
      <c r="AH57" s="360"/>
      <c r="AI57" s="133"/>
      <c r="AJ57" s="133"/>
      <c r="AK57" s="133"/>
      <c r="AL57" s="133"/>
      <c r="AM57" s="133"/>
      <c r="AN57" s="133"/>
      <c r="AO57" s="133"/>
      <c r="AP57" s="134"/>
      <c r="AQ57" s="123"/>
      <c r="AR57" s="356" t="s">
        <v>657</v>
      </c>
      <c r="AS57" s="357"/>
      <c r="AT57" s="357"/>
      <c r="AU57" s="358"/>
      <c r="AV57" s="133"/>
      <c r="AW57" s="133"/>
      <c r="AX57" s="133"/>
      <c r="AY57" s="133"/>
      <c r="AZ57" s="133"/>
      <c r="BA57" s="133"/>
      <c r="BB57" s="133"/>
      <c r="BC57" s="133"/>
      <c r="BD57" s="134"/>
      <c r="BE57" s="123"/>
      <c r="BF57" s="356" t="s">
        <v>327</v>
      </c>
      <c r="BG57" s="357"/>
      <c r="BH57" s="357"/>
      <c r="BI57" s="358"/>
      <c r="BJ57" s="133"/>
      <c r="BK57" s="133"/>
      <c r="BL57" s="133"/>
      <c r="BM57" s="133"/>
      <c r="BN57" s="133"/>
      <c r="BO57" s="133"/>
      <c r="BP57" s="133"/>
      <c r="BQ57" s="133"/>
      <c r="BR57" s="134"/>
      <c r="BS57" s="14"/>
    </row>
    <row r="58" spans="1:71" ht="13.95" customHeight="1" x14ac:dyDescent="0.3">
      <c r="A58" s="15"/>
      <c r="B58" s="376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8"/>
      <c r="O58" s="123"/>
      <c r="P58" s="376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8"/>
      <c r="AC58" s="123"/>
      <c r="AD58" s="122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4"/>
      <c r="AQ58" s="123"/>
      <c r="AR58" s="122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4"/>
      <c r="BE58" s="123"/>
      <c r="BF58" s="122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4"/>
      <c r="BS58" s="14"/>
    </row>
    <row r="59" spans="1:71" ht="9" customHeight="1" x14ac:dyDescent="0.3">
      <c r="A59" s="15"/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4"/>
      <c r="O59" s="123"/>
      <c r="P59" s="122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4"/>
      <c r="AC59" s="123"/>
      <c r="AD59" s="122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4"/>
      <c r="AQ59" s="123"/>
      <c r="AR59" s="122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4"/>
      <c r="BE59" s="123"/>
      <c r="BF59" s="122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4"/>
      <c r="BS59" s="14"/>
    </row>
    <row r="60" spans="1:71" ht="9" customHeight="1" x14ac:dyDescent="0.3">
      <c r="A60" s="15"/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4"/>
      <c r="O60" s="123"/>
      <c r="P60" s="122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4"/>
      <c r="AC60" s="123"/>
      <c r="AD60" s="122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4"/>
      <c r="AQ60" s="123"/>
      <c r="AR60" s="122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4"/>
      <c r="BE60" s="123"/>
      <c r="BF60" s="122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4"/>
      <c r="BS60" s="14"/>
    </row>
    <row r="61" spans="1:71" ht="9" customHeight="1" x14ac:dyDescent="0.3">
      <c r="A61" s="15"/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4"/>
      <c r="O61" s="123"/>
      <c r="P61" s="122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4"/>
      <c r="AC61" s="123"/>
      <c r="AD61" s="122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4"/>
      <c r="AQ61" s="123"/>
      <c r="AR61" s="122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4"/>
      <c r="BE61" s="123"/>
      <c r="BF61" s="122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4"/>
      <c r="BS61" s="14"/>
    </row>
    <row r="62" spans="1:71" ht="9" customHeight="1" x14ac:dyDescent="0.3">
      <c r="A62" s="15"/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4"/>
      <c r="O62" s="123"/>
      <c r="P62" s="122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4"/>
      <c r="AC62" s="123"/>
      <c r="AD62" s="122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4"/>
      <c r="AQ62" s="123"/>
      <c r="AR62" s="122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4"/>
      <c r="BE62" s="123"/>
      <c r="BF62" s="122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4"/>
      <c r="BS62" s="14"/>
    </row>
    <row r="63" spans="1:71" ht="9" customHeight="1" x14ac:dyDescent="0.3">
      <c r="A63" s="15"/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4"/>
      <c r="O63" s="123"/>
      <c r="P63" s="122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4"/>
      <c r="AC63" s="123"/>
      <c r="AD63" s="122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4"/>
      <c r="AQ63" s="123"/>
      <c r="AR63" s="122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4"/>
      <c r="BE63" s="123"/>
      <c r="BF63" s="122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4"/>
      <c r="BS63" s="14"/>
    </row>
    <row r="64" spans="1:71" ht="9" customHeight="1" x14ac:dyDescent="0.3">
      <c r="A64" s="15"/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4"/>
      <c r="O64" s="123"/>
      <c r="P64" s="122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4"/>
      <c r="AC64" s="123"/>
      <c r="AD64" s="122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4"/>
      <c r="AQ64" s="123"/>
      <c r="AR64" s="122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4"/>
      <c r="BE64" s="123"/>
      <c r="BF64" s="122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4"/>
      <c r="BS64" s="14"/>
    </row>
    <row r="65" spans="1:71" ht="10.95" customHeight="1" x14ac:dyDescent="0.3">
      <c r="A65" s="15"/>
      <c r="B65" s="326" t="s">
        <v>737</v>
      </c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6"/>
      <c r="N65" s="326"/>
      <c r="O65" s="326"/>
      <c r="P65" s="122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4"/>
      <c r="AC65" s="123"/>
      <c r="AD65" s="122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4"/>
      <c r="AQ65" s="123"/>
      <c r="AR65" s="122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4"/>
      <c r="BE65" s="123"/>
      <c r="BF65" s="122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4"/>
      <c r="BS65" s="14"/>
    </row>
    <row r="66" spans="1:71" ht="10.95" customHeight="1" x14ac:dyDescent="0.3">
      <c r="A66" s="15"/>
      <c r="B66" s="326" t="s">
        <v>738</v>
      </c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  <c r="P66" s="122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4"/>
      <c r="AC66" s="123"/>
      <c r="AD66" s="122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4"/>
      <c r="AQ66" s="123"/>
      <c r="AR66" s="128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23"/>
      <c r="BF66" s="128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30"/>
      <c r="BS66" s="14"/>
    </row>
    <row r="67" spans="1:71" ht="10.95" customHeight="1" x14ac:dyDescent="0.3">
      <c r="A67" s="15"/>
      <c r="B67" s="326" t="s">
        <v>739</v>
      </c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  <c r="P67" s="370" t="s">
        <v>743</v>
      </c>
      <c r="Q67" s="371"/>
      <c r="R67" s="371"/>
      <c r="S67" s="371"/>
      <c r="T67" s="371"/>
      <c r="U67" s="371"/>
      <c r="V67" s="371"/>
      <c r="W67" s="371"/>
      <c r="X67" s="371"/>
      <c r="Y67" s="372"/>
      <c r="Z67" s="370"/>
      <c r="AA67" s="371"/>
      <c r="AB67" s="372"/>
      <c r="AC67" s="123"/>
      <c r="AD67" s="352" t="s">
        <v>746</v>
      </c>
      <c r="AE67" s="353"/>
      <c r="AF67" s="353"/>
      <c r="AG67" s="353"/>
      <c r="AH67" s="353"/>
      <c r="AI67" s="353"/>
      <c r="AJ67" s="353"/>
      <c r="AK67" s="353"/>
      <c r="AL67" s="353"/>
      <c r="AM67" s="353"/>
      <c r="AN67" s="353"/>
      <c r="AO67" s="353"/>
      <c r="AP67" s="354"/>
      <c r="AQ67" s="123"/>
      <c r="AR67" s="352" t="s">
        <v>630</v>
      </c>
      <c r="AS67" s="353"/>
      <c r="AT67" s="353"/>
      <c r="AU67" s="353"/>
      <c r="AV67" s="353"/>
      <c r="AW67" s="353"/>
      <c r="AX67" s="354"/>
      <c r="AY67" s="365" t="s">
        <v>648</v>
      </c>
      <c r="AZ67" s="365"/>
      <c r="BA67" s="365"/>
      <c r="BB67" s="365" t="s">
        <v>649</v>
      </c>
      <c r="BC67" s="365"/>
      <c r="BD67" s="365"/>
      <c r="BE67" s="123"/>
      <c r="BF67" s="352" t="s">
        <v>668</v>
      </c>
      <c r="BG67" s="353"/>
      <c r="BH67" s="353"/>
      <c r="BI67" s="353"/>
      <c r="BJ67" s="353"/>
      <c r="BK67" s="353"/>
      <c r="BL67" s="353"/>
      <c r="BM67" s="353"/>
      <c r="BN67" s="353"/>
      <c r="BO67" s="353"/>
      <c r="BP67" s="353"/>
      <c r="BQ67" s="353"/>
      <c r="BR67" s="354"/>
      <c r="BS67" s="14"/>
    </row>
    <row r="68" spans="1:71" ht="10.95" customHeight="1" x14ac:dyDescent="0.3">
      <c r="A68" s="15"/>
      <c r="B68" s="326" t="s">
        <v>740</v>
      </c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70" t="s">
        <v>744</v>
      </c>
      <c r="Q68" s="371"/>
      <c r="R68" s="371"/>
      <c r="S68" s="371"/>
      <c r="T68" s="371"/>
      <c r="U68" s="371"/>
      <c r="V68" s="371"/>
      <c r="W68" s="371"/>
      <c r="X68" s="371"/>
      <c r="Y68" s="372"/>
      <c r="Z68" s="370"/>
      <c r="AA68" s="371"/>
      <c r="AB68" s="372"/>
      <c r="AC68" s="123"/>
      <c r="AD68" s="352"/>
      <c r="AE68" s="353"/>
      <c r="AF68" s="353"/>
      <c r="AG68" s="353"/>
      <c r="AH68" s="353"/>
      <c r="AI68" s="353"/>
      <c r="AJ68" s="354"/>
      <c r="AK68" s="365" t="s">
        <v>648</v>
      </c>
      <c r="AL68" s="365"/>
      <c r="AM68" s="365"/>
      <c r="AN68" s="365" t="s">
        <v>649</v>
      </c>
      <c r="AO68" s="365"/>
      <c r="AP68" s="365"/>
      <c r="AQ68" s="123"/>
      <c r="AR68" s="355" t="s">
        <v>663</v>
      </c>
      <c r="AS68" s="355"/>
      <c r="AT68" s="355"/>
      <c r="AU68" s="355"/>
      <c r="AV68" s="355"/>
      <c r="AW68" s="355"/>
      <c r="AX68" s="355"/>
      <c r="AY68" s="369">
        <f>CEILING(2500*B4,1)</f>
        <v>3500</v>
      </c>
      <c r="AZ68" s="369"/>
      <c r="BA68" s="369"/>
      <c r="BB68" s="324">
        <f>CEILING(3958*B4,1)</f>
        <v>5542</v>
      </c>
      <c r="BC68" s="324"/>
      <c r="BD68" s="324"/>
      <c r="BE68" s="123"/>
      <c r="BF68" s="366"/>
      <c r="BG68" s="367"/>
      <c r="BH68" s="367"/>
      <c r="BI68" s="367"/>
      <c r="BJ68" s="367"/>
      <c r="BK68" s="367"/>
      <c r="BL68" s="368"/>
      <c r="BM68" s="365" t="s">
        <v>648</v>
      </c>
      <c r="BN68" s="365"/>
      <c r="BO68" s="365"/>
      <c r="BP68" s="365" t="s">
        <v>649</v>
      </c>
      <c r="BQ68" s="365"/>
      <c r="BR68" s="365"/>
      <c r="BS68" s="14"/>
    </row>
    <row r="69" spans="1:71" s="5" customFormat="1" ht="10.95" customHeight="1" x14ac:dyDescent="0.3">
      <c r="A69" s="62"/>
      <c r="B69" s="387" t="s">
        <v>741</v>
      </c>
      <c r="C69" s="387"/>
      <c r="D69" s="387"/>
      <c r="E69" s="387"/>
      <c r="F69" s="387"/>
      <c r="G69" s="387"/>
      <c r="H69" s="387"/>
      <c r="I69" s="387"/>
      <c r="J69" s="387"/>
      <c r="K69" s="387"/>
      <c r="L69" s="387"/>
      <c r="M69" s="326"/>
      <c r="N69" s="326"/>
      <c r="O69" s="326"/>
      <c r="P69" s="370" t="s">
        <v>745</v>
      </c>
      <c r="Q69" s="371"/>
      <c r="R69" s="371"/>
      <c r="S69" s="371"/>
      <c r="T69" s="371"/>
      <c r="U69" s="371"/>
      <c r="V69" s="371"/>
      <c r="W69" s="371"/>
      <c r="X69" s="371"/>
      <c r="Y69" s="372"/>
      <c r="Z69" s="370"/>
      <c r="AA69" s="371"/>
      <c r="AB69" s="372"/>
      <c r="AC69" s="135"/>
      <c r="AD69" s="355" t="s">
        <v>667</v>
      </c>
      <c r="AE69" s="355"/>
      <c r="AF69" s="355"/>
      <c r="AG69" s="355"/>
      <c r="AH69" s="355"/>
      <c r="AI69" s="355"/>
      <c r="AJ69" s="355"/>
      <c r="AK69" s="324">
        <f>CEILING(2510*B4,1)</f>
        <v>3514</v>
      </c>
      <c r="AL69" s="324"/>
      <c r="AM69" s="324"/>
      <c r="AN69" s="324">
        <f>CEILING(4230*B4,1)</f>
        <v>5922</v>
      </c>
      <c r="AO69" s="324"/>
      <c r="AP69" s="324"/>
      <c r="AQ69" s="131"/>
      <c r="AR69" s="355" t="s">
        <v>667</v>
      </c>
      <c r="AS69" s="355"/>
      <c r="AT69" s="355"/>
      <c r="AU69" s="355"/>
      <c r="AV69" s="355"/>
      <c r="AW69" s="355"/>
      <c r="AX69" s="355"/>
      <c r="AY69" s="369">
        <f>CEILING(2500*B4,1)</f>
        <v>3500</v>
      </c>
      <c r="AZ69" s="369"/>
      <c r="BA69" s="369"/>
      <c r="BB69" s="324">
        <f>CEILING(3958*B4,1)</f>
        <v>5542</v>
      </c>
      <c r="BC69" s="324"/>
      <c r="BD69" s="324"/>
      <c r="BE69" s="131"/>
      <c r="BF69" s="355" t="s">
        <v>667</v>
      </c>
      <c r="BG69" s="355"/>
      <c r="BH69" s="355"/>
      <c r="BI69" s="355"/>
      <c r="BJ69" s="355"/>
      <c r="BK69" s="355"/>
      <c r="BL69" s="355"/>
      <c r="BM69" s="324">
        <f>CEILING(2584*B4,1)</f>
        <v>3618</v>
      </c>
      <c r="BN69" s="324"/>
      <c r="BO69" s="324"/>
      <c r="BP69" s="324">
        <f>CEILING(4084*B4,1)</f>
        <v>5718</v>
      </c>
      <c r="BQ69" s="324"/>
      <c r="BR69" s="324"/>
      <c r="BS69" s="63"/>
    </row>
    <row r="70" spans="1:71" ht="1.5" customHeight="1" x14ac:dyDescent="0.3">
      <c r="A70" s="15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4"/>
    </row>
    <row r="71" spans="1:71" ht="9" customHeight="1" x14ac:dyDescent="0.3">
      <c r="A71" s="15"/>
      <c r="B71" s="356" t="s">
        <v>328</v>
      </c>
      <c r="C71" s="357"/>
      <c r="D71" s="357"/>
      <c r="E71" s="358"/>
      <c r="F71" s="359" t="s">
        <v>669</v>
      </c>
      <c r="G71" s="360"/>
      <c r="H71" s="360"/>
      <c r="I71" s="360"/>
      <c r="J71" s="360"/>
      <c r="K71" s="360"/>
      <c r="L71" s="360"/>
      <c r="M71" s="360"/>
      <c r="N71" s="361"/>
      <c r="O71" s="123"/>
      <c r="P71" s="136" t="s">
        <v>776</v>
      </c>
      <c r="Q71" s="137"/>
      <c r="R71" s="137"/>
      <c r="S71" s="137"/>
      <c r="T71" s="137" t="s">
        <v>335</v>
      </c>
      <c r="U71" s="137"/>
      <c r="V71" s="137"/>
      <c r="W71" s="137"/>
      <c r="X71" s="137"/>
      <c r="Y71" s="137"/>
      <c r="Z71" s="137"/>
      <c r="AA71" s="137"/>
      <c r="AB71" s="138"/>
      <c r="AC71" s="123"/>
      <c r="AD71" s="356" t="s">
        <v>329</v>
      </c>
      <c r="AE71" s="357"/>
      <c r="AF71" s="357"/>
      <c r="AG71" s="358"/>
      <c r="AH71" s="359" t="s">
        <v>335</v>
      </c>
      <c r="AI71" s="360"/>
      <c r="AJ71" s="360"/>
      <c r="AK71" s="360"/>
      <c r="AL71" s="360"/>
      <c r="AM71" s="360"/>
      <c r="AN71" s="360"/>
      <c r="AO71" s="360"/>
      <c r="AP71" s="361"/>
      <c r="AQ71" s="123"/>
      <c r="AR71" s="356" t="s">
        <v>332</v>
      </c>
      <c r="AS71" s="357"/>
      <c r="AT71" s="357"/>
      <c r="AU71" s="358"/>
      <c r="AV71" s="359" t="s">
        <v>335</v>
      </c>
      <c r="AW71" s="360"/>
      <c r="AX71" s="360"/>
      <c r="AY71" s="360"/>
      <c r="AZ71" s="360"/>
      <c r="BA71" s="360"/>
      <c r="BB71" s="360"/>
      <c r="BC71" s="360"/>
      <c r="BD71" s="361"/>
      <c r="BE71" s="123"/>
      <c r="BF71" s="356" t="s">
        <v>672</v>
      </c>
      <c r="BG71" s="357"/>
      <c r="BH71" s="357"/>
      <c r="BI71" s="358"/>
      <c r="BJ71" s="133"/>
      <c r="BK71" s="133"/>
      <c r="BL71" s="133"/>
      <c r="BM71" s="133"/>
      <c r="BN71" s="133"/>
      <c r="BO71" s="133"/>
      <c r="BP71" s="133"/>
      <c r="BQ71" s="133"/>
      <c r="BR71" s="134"/>
      <c r="BS71" s="14"/>
    </row>
    <row r="72" spans="1:71" ht="9" customHeight="1" x14ac:dyDescent="0.3">
      <c r="A72" s="15"/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4"/>
      <c r="O72" s="123"/>
      <c r="P72" s="122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4"/>
      <c r="AC72" s="123"/>
      <c r="AD72" s="122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4"/>
      <c r="AQ72" s="123"/>
      <c r="AR72" s="122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4"/>
      <c r="BE72" s="123"/>
      <c r="BF72" s="122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4"/>
      <c r="BS72" s="14"/>
    </row>
    <row r="73" spans="1:71" ht="9" customHeight="1" x14ac:dyDescent="0.3">
      <c r="A73" s="15"/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4"/>
      <c r="O73" s="123"/>
      <c r="P73" s="122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4"/>
      <c r="AC73" s="123"/>
      <c r="AD73" s="122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4"/>
      <c r="AQ73" s="123"/>
      <c r="AR73" s="122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4"/>
      <c r="BE73" s="123"/>
      <c r="BF73" s="122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4"/>
      <c r="BS73" s="14"/>
    </row>
    <row r="74" spans="1:71" ht="9" customHeight="1" x14ac:dyDescent="0.3">
      <c r="A74" s="15"/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4"/>
      <c r="O74" s="123"/>
      <c r="P74" s="122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4"/>
      <c r="AC74" s="123"/>
      <c r="AD74" s="122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4"/>
      <c r="AQ74" s="123"/>
      <c r="AR74" s="122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4"/>
      <c r="BE74" s="123"/>
      <c r="BF74" s="122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4"/>
      <c r="BS74" s="14"/>
    </row>
    <row r="75" spans="1:71" ht="9" customHeight="1" x14ac:dyDescent="0.3">
      <c r="A75" s="15"/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4"/>
      <c r="O75" s="123"/>
      <c r="P75" s="122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4"/>
      <c r="AC75" s="123"/>
      <c r="AD75" s="122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4"/>
      <c r="AQ75" s="123"/>
      <c r="AR75" s="122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4"/>
      <c r="BE75" s="123"/>
      <c r="BF75" s="122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4"/>
      <c r="BS75" s="14"/>
    </row>
    <row r="76" spans="1:71" ht="9" customHeight="1" x14ac:dyDescent="0.3">
      <c r="A76" s="15"/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4"/>
      <c r="O76" s="123"/>
      <c r="P76" s="122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4"/>
      <c r="AC76" s="123"/>
      <c r="AD76" s="122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4"/>
      <c r="AQ76" s="123"/>
      <c r="AR76" s="122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4"/>
      <c r="BE76" s="123"/>
      <c r="BF76" s="122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4"/>
      <c r="BS76" s="14"/>
    </row>
    <row r="77" spans="1:71" ht="9" customHeight="1" x14ac:dyDescent="0.3">
      <c r="A77" s="15"/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4"/>
      <c r="O77" s="123"/>
      <c r="P77" s="122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4"/>
      <c r="AC77" s="123"/>
      <c r="AD77" s="122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4"/>
      <c r="AQ77" s="123"/>
      <c r="AR77" s="122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4"/>
      <c r="BE77" s="123"/>
      <c r="BF77" s="122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4"/>
      <c r="BS77" s="14"/>
    </row>
    <row r="78" spans="1:71" ht="9" customHeight="1" x14ac:dyDescent="0.3">
      <c r="A78" s="15"/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4"/>
      <c r="O78" s="123"/>
      <c r="P78" s="122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4"/>
      <c r="AC78" s="123"/>
      <c r="AD78" s="122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4"/>
      <c r="AQ78" s="123"/>
      <c r="AR78" s="122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4"/>
      <c r="BE78" s="123"/>
      <c r="BF78" s="122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4"/>
      <c r="BS78" s="14"/>
    </row>
    <row r="79" spans="1:71" ht="9" customHeight="1" x14ac:dyDescent="0.3">
      <c r="A79" s="15"/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4"/>
      <c r="O79" s="123"/>
      <c r="P79" s="122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4"/>
      <c r="AC79" s="123"/>
      <c r="AD79" s="122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4"/>
      <c r="AQ79" s="123"/>
      <c r="AR79" s="122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4"/>
      <c r="BE79" s="123"/>
      <c r="BF79" s="122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4"/>
      <c r="BS79" s="14"/>
    </row>
    <row r="80" spans="1:71" ht="9" customHeight="1" x14ac:dyDescent="0.3">
      <c r="A80" s="15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4"/>
      <c r="O80" s="123"/>
      <c r="P80" s="352" t="s">
        <v>673</v>
      </c>
      <c r="Q80" s="353"/>
      <c r="R80" s="353"/>
      <c r="S80" s="353"/>
      <c r="T80" s="353"/>
      <c r="U80" s="353"/>
      <c r="V80" s="353"/>
      <c r="W80" s="353"/>
      <c r="X80" s="353"/>
      <c r="Y80" s="353"/>
      <c r="Z80" s="353"/>
      <c r="AA80" s="353"/>
      <c r="AB80" s="354"/>
      <c r="AC80" s="123"/>
      <c r="AD80" s="352" t="s">
        <v>673</v>
      </c>
      <c r="AE80" s="353"/>
      <c r="AF80" s="353"/>
      <c r="AG80" s="353"/>
      <c r="AH80" s="353"/>
      <c r="AI80" s="353"/>
      <c r="AJ80" s="353"/>
      <c r="AK80" s="353"/>
      <c r="AL80" s="353"/>
      <c r="AM80" s="353"/>
      <c r="AN80" s="353"/>
      <c r="AO80" s="353"/>
      <c r="AP80" s="354"/>
      <c r="AQ80" s="123"/>
      <c r="AR80" s="352" t="s">
        <v>673</v>
      </c>
      <c r="AS80" s="353"/>
      <c r="AT80" s="353"/>
      <c r="AU80" s="353"/>
      <c r="AV80" s="353"/>
      <c r="AW80" s="353"/>
      <c r="AX80" s="353"/>
      <c r="AY80" s="353"/>
      <c r="AZ80" s="353"/>
      <c r="BA80" s="353"/>
      <c r="BB80" s="353"/>
      <c r="BC80" s="353"/>
      <c r="BD80" s="354"/>
      <c r="BE80" s="123"/>
      <c r="BF80" s="122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4"/>
      <c r="BS80" s="14"/>
    </row>
    <row r="81" spans="1:71" ht="9" customHeight="1" x14ac:dyDescent="0.3">
      <c r="A81" s="15"/>
      <c r="B81" s="352" t="s">
        <v>670</v>
      </c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3"/>
      <c r="N81" s="354"/>
      <c r="O81" s="123"/>
      <c r="P81" s="362" t="s">
        <v>674</v>
      </c>
      <c r="Q81" s="363"/>
      <c r="R81" s="363"/>
      <c r="S81" s="363"/>
      <c r="T81" s="363"/>
      <c r="U81" s="363"/>
      <c r="V81" s="363"/>
      <c r="W81" s="363"/>
      <c r="X81" s="363"/>
      <c r="Y81" s="363"/>
      <c r="Z81" s="363"/>
      <c r="AA81" s="363"/>
      <c r="AB81" s="364"/>
      <c r="AC81" s="123"/>
      <c r="AD81" s="128"/>
      <c r="AE81" s="129"/>
      <c r="AF81" s="129"/>
      <c r="AG81" s="365" t="s">
        <v>336</v>
      </c>
      <c r="AH81" s="365"/>
      <c r="AI81" s="365" t="s">
        <v>337</v>
      </c>
      <c r="AJ81" s="365"/>
      <c r="AK81" s="365" t="s">
        <v>338</v>
      </c>
      <c r="AL81" s="365"/>
      <c r="AM81" s="365" t="s">
        <v>339</v>
      </c>
      <c r="AN81" s="365"/>
      <c r="AO81" s="365" t="s">
        <v>340</v>
      </c>
      <c r="AP81" s="365"/>
      <c r="AQ81" s="123"/>
      <c r="AR81" s="365" t="s">
        <v>674</v>
      </c>
      <c r="AS81" s="365"/>
      <c r="AT81" s="365"/>
      <c r="AU81" s="365"/>
      <c r="AV81" s="365"/>
      <c r="AW81" s="365"/>
      <c r="AX81" s="365"/>
      <c r="AY81" s="365"/>
      <c r="AZ81" s="365"/>
      <c r="BA81" s="365"/>
      <c r="BB81" s="365"/>
      <c r="BC81" s="365"/>
      <c r="BD81" s="365"/>
      <c r="BE81" s="123"/>
      <c r="BF81" s="122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4"/>
      <c r="BS81" s="14"/>
    </row>
    <row r="82" spans="1:71" ht="12" customHeight="1" x14ac:dyDescent="0.3">
      <c r="A82" s="15"/>
      <c r="B82" s="352" t="s">
        <v>708</v>
      </c>
      <c r="C82" s="353"/>
      <c r="D82" s="353"/>
      <c r="E82" s="353"/>
      <c r="F82" s="353"/>
      <c r="G82" s="353"/>
      <c r="H82" s="354"/>
      <c r="I82" s="365" t="s">
        <v>619</v>
      </c>
      <c r="J82" s="365"/>
      <c r="K82" s="365"/>
      <c r="L82" s="365" t="s">
        <v>618</v>
      </c>
      <c r="M82" s="365"/>
      <c r="N82" s="365"/>
      <c r="O82" s="123"/>
      <c r="P82" s="323" t="s">
        <v>749</v>
      </c>
      <c r="Q82" s="323"/>
      <c r="R82" s="323"/>
      <c r="S82" s="323"/>
      <c r="T82" s="323"/>
      <c r="U82" s="323"/>
      <c r="V82" s="323"/>
      <c r="W82" s="323"/>
      <c r="X82" s="323"/>
      <c r="Y82" s="323"/>
      <c r="Z82" s="324">
        <f>CEILING(918*B4,1)</f>
        <v>1286</v>
      </c>
      <c r="AA82" s="324"/>
      <c r="AB82" s="324"/>
      <c r="AC82" s="131"/>
      <c r="AD82" s="323" t="s">
        <v>749</v>
      </c>
      <c r="AE82" s="323"/>
      <c r="AF82" s="323"/>
      <c r="AG82" s="323"/>
      <c r="AH82" s="323"/>
      <c r="AI82" s="323"/>
      <c r="AJ82" s="323"/>
      <c r="AK82" s="323"/>
      <c r="AL82" s="323"/>
      <c r="AM82" s="323"/>
      <c r="AN82" s="324">
        <f>CEILING(667*B4,1)</f>
        <v>934</v>
      </c>
      <c r="AO82" s="324"/>
      <c r="AP82" s="324"/>
      <c r="AQ82" s="131"/>
      <c r="AR82" s="323" t="s">
        <v>749</v>
      </c>
      <c r="AS82" s="323"/>
      <c r="AT82" s="323"/>
      <c r="AU82" s="323"/>
      <c r="AV82" s="323"/>
      <c r="AW82" s="323"/>
      <c r="AX82" s="323"/>
      <c r="AY82" s="323"/>
      <c r="AZ82" s="323"/>
      <c r="BA82" s="323"/>
      <c r="BB82" s="324">
        <f>CEILING(886*B4,1)</f>
        <v>1241</v>
      </c>
      <c r="BC82" s="324"/>
      <c r="BD82" s="324"/>
      <c r="BE82" s="123"/>
      <c r="BF82" s="352" t="s">
        <v>349</v>
      </c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  <c r="BR82" s="354"/>
      <c r="BS82" s="14"/>
    </row>
    <row r="83" spans="1:71" s="5" customFormat="1" ht="12" customHeight="1" x14ac:dyDescent="0.3">
      <c r="A83" s="62"/>
      <c r="B83" s="355" t="s">
        <v>671</v>
      </c>
      <c r="C83" s="355"/>
      <c r="D83" s="355"/>
      <c r="E83" s="355"/>
      <c r="F83" s="355"/>
      <c r="G83" s="355"/>
      <c r="H83" s="355"/>
      <c r="I83" s="324">
        <f>CEILING(2570*B4,1)</f>
        <v>3598</v>
      </c>
      <c r="J83" s="324"/>
      <c r="K83" s="324"/>
      <c r="L83" s="324">
        <f>CEILING(12850*B4,1)</f>
        <v>17990</v>
      </c>
      <c r="M83" s="324"/>
      <c r="N83" s="324"/>
      <c r="O83" s="131"/>
      <c r="P83" s="323" t="s">
        <v>750</v>
      </c>
      <c r="Q83" s="323"/>
      <c r="R83" s="323"/>
      <c r="S83" s="323"/>
      <c r="T83" s="323"/>
      <c r="U83" s="323"/>
      <c r="V83" s="323"/>
      <c r="W83" s="323"/>
      <c r="X83" s="323"/>
      <c r="Y83" s="323"/>
      <c r="Z83" s="324">
        <f>CEILING(984*B4,1)</f>
        <v>1378</v>
      </c>
      <c r="AA83" s="324"/>
      <c r="AB83" s="324"/>
      <c r="AC83" s="131"/>
      <c r="AD83" s="323" t="s">
        <v>750</v>
      </c>
      <c r="AE83" s="323"/>
      <c r="AF83" s="323"/>
      <c r="AG83" s="323"/>
      <c r="AH83" s="323"/>
      <c r="AI83" s="323"/>
      <c r="AJ83" s="323"/>
      <c r="AK83" s="323"/>
      <c r="AL83" s="323"/>
      <c r="AM83" s="323"/>
      <c r="AN83" s="324">
        <f>CEILING(735*B4,1)</f>
        <v>1029</v>
      </c>
      <c r="AO83" s="324"/>
      <c r="AP83" s="324"/>
      <c r="AQ83" s="131"/>
      <c r="AR83" s="323" t="s">
        <v>750</v>
      </c>
      <c r="AS83" s="323"/>
      <c r="AT83" s="323"/>
      <c r="AU83" s="323"/>
      <c r="AV83" s="323"/>
      <c r="AW83" s="323"/>
      <c r="AX83" s="323"/>
      <c r="AY83" s="323"/>
      <c r="AZ83" s="323"/>
      <c r="BA83" s="323"/>
      <c r="BB83" s="324">
        <f>CEILING(955*B4,1)</f>
        <v>1337</v>
      </c>
      <c r="BC83" s="324"/>
      <c r="BD83" s="324"/>
      <c r="BE83" s="131"/>
      <c r="BF83" s="324" t="s">
        <v>675</v>
      </c>
      <c r="BG83" s="324"/>
      <c r="BH83" s="324"/>
      <c r="BI83" s="324"/>
      <c r="BJ83" s="324"/>
      <c r="BK83" s="324"/>
      <c r="BL83" s="324"/>
      <c r="BM83" s="324"/>
      <c r="BN83" s="324"/>
      <c r="BO83" s="324"/>
      <c r="BP83" s="324">
        <f>CEILING(3894*B4,1)</f>
        <v>5452</v>
      </c>
      <c r="BQ83" s="324"/>
      <c r="BR83" s="324"/>
      <c r="BS83" s="63"/>
    </row>
    <row r="84" spans="1:71" ht="1.5" customHeight="1" x14ac:dyDescent="0.3">
      <c r="A84" s="15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4"/>
    </row>
    <row r="85" spans="1:71" ht="9" customHeight="1" x14ac:dyDescent="0.3">
      <c r="A85" s="15"/>
      <c r="B85" s="356" t="s">
        <v>676</v>
      </c>
      <c r="C85" s="357"/>
      <c r="D85" s="357"/>
      <c r="E85" s="357"/>
      <c r="F85" s="357"/>
      <c r="G85" s="357"/>
      <c r="H85" s="358"/>
      <c r="I85" s="133"/>
      <c r="J85" s="133"/>
      <c r="K85" s="133"/>
      <c r="L85" s="133"/>
      <c r="M85" s="133"/>
      <c r="N85" s="134"/>
      <c r="O85" s="123"/>
      <c r="P85" s="356" t="s">
        <v>677</v>
      </c>
      <c r="Q85" s="357"/>
      <c r="R85" s="357"/>
      <c r="S85" s="357"/>
      <c r="T85" s="357"/>
      <c r="U85" s="357"/>
      <c r="V85" s="358"/>
      <c r="W85" s="133"/>
      <c r="X85" s="133"/>
      <c r="Y85" s="133"/>
      <c r="Z85" s="133"/>
      <c r="AA85" s="133"/>
      <c r="AB85" s="134"/>
      <c r="AC85" s="123"/>
      <c r="AD85" s="356" t="s">
        <v>330</v>
      </c>
      <c r="AE85" s="357"/>
      <c r="AF85" s="357"/>
      <c r="AG85" s="358"/>
      <c r="AH85" s="137"/>
      <c r="AI85" s="137"/>
      <c r="AJ85" s="137"/>
      <c r="AK85" s="133"/>
      <c r="AL85" s="133"/>
      <c r="AM85" s="133"/>
      <c r="AN85" s="133"/>
      <c r="AO85" s="133"/>
      <c r="AP85" s="134"/>
      <c r="AQ85" s="123"/>
      <c r="AR85" s="356" t="s">
        <v>678</v>
      </c>
      <c r="AS85" s="357"/>
      <c r="AT85" s="357"/>
      <c r="AU85" s="358"/>
      <c r="AV85" s="359" t="s">
        <v>682</v>
      </c>
      <c r="AW85" s="360"/>
      <c r="AX85" s="360"/>
      <c r="AY85" s="360"/>
      <c r="AZ85" s="360"/>
      <c r="BA85" s="360"/>
      <c r="BB85" s="360"/>
      <c r="BC85" s="360"/>
      <c r="BD85" s="361"/>
      <c r="BE85" s="123"/>
      <c r="BF85" s="356" t="s">
        <v>679</v>
      </c>
      <c r="BG85" s="357"/>
      <c r="BH85" s="357"/>
      <c r="BI85" s="358"/>
      <c r="BJ85" s="137"/>
      <c r="BK85" s="137"/>
      <c r="BL85" s="137"/>
      <c r="BM85" s="133"/>
      <c r="BN85" s="133"/>
      <c r="BO85" s="133"/>
      <c r="BP85" s="133"/>
      <c r="BQ85" s="133"/>
      <c r="BR85" s="134"/>
      <c r="BS85" s="14"/>
    </row>
    <row r="86" spans="1:71" ht="9" customHeight="1" x14ac:dyDescent="0.3">
      <c r="A86" s="15"/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4"/>
      <c r="O86" s="123"/>
      <c r="P86" s="122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4"/>
      <c r="AC86" s="123"/>
      <c r="AD86" s="122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4"/>
      <c r="AQ86" s="123"/>
      <c r="AR86" s="122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4"/>
      <c r="BE86" s="123"/>
      <c r="BF86" s="122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4"/>
      <c r="BS86" s="14"/>
    </row>
    <row r="87" spans="1:71" ht="9" customHeight="1" x14ac:dyDescent="0.3">
      <c r="A87" s="15"/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4"/>
      <c r="O87" s="123"/>
      <c r="P87" s="122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4"/>
      <c r="AC87" s="123"/>
      <c r="AD87" s="122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4"/>
      <c r="AQ87" s="123"/>
      <c r="AR87" s="122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4"/>
      <c r="BE87" s="123"/>
      <c r="BF87" s="122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4"/>
      <c r="BS87" s="14"/>
    </row>
    <row r="88" spans="1:71" ht="9" customHeight="1" x14ac:dyDescent="0.3">
      <c r="A88" s="15"/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4"/>
      <c r="O88" s="123"/>
      <c r="P88" s="122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4"/>
      <c r="AC88" s="123"/>
      <c r="AD88" s="122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4"/>
      <c r="AQ88" s="123"/>
      <c r="AR88" s="122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4"/>
      <c r="BE88" s="123"/>
      <c r="BF88" s="122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4"/>
      <c r="BS88" s="14"/>
    </row>
    <row r="89" spans="1:71" ht="9" customHeight="1" x14ac:dyDescent="0.3">
      <c r="A89" s="15"/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4"/>
      <c r="O89" s="123"/>
      <c r="P89" s="122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4"/>
      <c r="AC89" s="123"/>
      <c r="AD89" s="122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4"/>
      <c r="AQ89" s="123"/>
      <c r="AR89" s="122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4"/>
      <c r="BE89" s="123"/>
      <c r="BF89" s="122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4"/>
      <c r="BS89" s="14"/>
    </row>
    <row r="90" spans="1:71" ht="9" customHeight="1" x14ac:dyDescent="0.3">
      <c r="A90" s="15"/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4"/>
      <c r="O90" s="123"/>
      <c r="P90" s="122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4"/>
      <c r="AC90" s="123"/>
      <c r="AD90" s="122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4"/>
      <c r="AQ90" s="123"/>
      <c r="AR90" s="122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4"/>
      <c r="BE90" s="123"/>
      <c r="BF90" s="122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4"/>
      <c r="BS90" s="14"/>
    </row>
    <row r="91" spans="1:71" ht="9" customHeight="1" x14ac:dyDescent="0.3">
      <c r="A91" s="15"/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4"/>
      <c r="O91" s="123"/>
      <c r="P91" s="122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4"/>
      <c r="AC91" s="123"/>
      <c r="AD91" s="122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4"/>
      <c r="AQ91" s="123"/>
      <c r="AR91" s="122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4"/>
      <c r="BE91" s="123"/>
      <c r="BF91" s="122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4"/>
      <c r="BS91" s="14"/>
    </row>
    <row r="92" spans="1:71" ht="9" customHeight="1" x14ac:dyDescent="0.3">
      <c r="A92" s="15"/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4"/>
      <c r="O92" s="123"/>
      <c r="P92" s="122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4"/>
      <c r="AC92" s="123"/>
      <c r="AD92" s="122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4"/>
      <c r="AQ92" s="123"/>
      <c r="AR92" s="122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4"/>
      <c r="BE92" s="123"/>
      <c r="BF92" s="122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4"/>
      <c r="BS92" s="14"/>
    </row>
    <row r="93" spans="1:71" ht="9" customHeight="1" x14ac:dyDescent="0.3">
      <c r="A93" s="15"/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4"/>
      <c r="O93" s="123"/>
      <c r="P93" s="122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4"/>
      <c r="AC93" s="123"/>
      <c r="AD93" s="122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4"/>
      <c r="AQ93" s="123"/>
      <c r="AR93" s="122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4"/>
      <c r="BE93" s="123"/>
      <c r="BF93" s="122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4"/>
      <c r="BS93" s="14"/>
    </row>
    <row r="94" spans="1:71" ht="9" customHeight="1" x14ac:dyDescent="0.3">
      <c r="A94" s="15"/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4"/>
      <c r="O94" s="123"/>
      <c r="P94" s="122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4"/>
      <c r="AC94" s="123"/>
      <c r="AD94" s="122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4"/>
      <c r="AQ94" s="123"/>
      <c r="AR94" s="352"/>
      <c r="AS94" s="353"/>
      <c r="AT94" s="353"/>
      <c r="AU94" s="353"/>
      <c r="AV94" s="353"/>
      <c r="AW94" s="353"/>
      <c r="AX94" s="353"/>
      <c r="AY94" s="353"/>
      <c r="AZ94" s="353"/>
      <c r="BA94" s="353"/>
      <c r="BB94" s="353"/>
      <c r="BC94" s="353"/>
      <c r="BD94" s="354"/>
      <c r="BE94" s="123"/>
      <c r="BF94" s="122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4"/>
      <c r="BS94" s="14"/>
    </row>
    <row r="95" spans="1:71" ht="9" customHeight="1" x14ac:dyDescent="0.3">
      <c r="A95" s="15"/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4"/>
      <c r="O95" s="123"/>
      <c r="P95" s="122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4"/>
      <c r="AC95" s="123"/>
      <c r="AD95" s="352" t="s">
        <v>396</v>
      </c>
      <c r="AE95" s="353"/>
      <c r="AF95" s="353"/>
      <c r="AG95" s="353"/>
      <c r="AH95" s="353"/>
      <c r="AI95" s="353"/>
      <c r="AJ95" s="353"/>
      <c r="AK95" s="353"/>
      <c r="AL95" s="353"/>
      <c r="AM95" s="353"/>
      <c r="AN95" s="353"/>
      <c r="AO95" s="353"/>
      <c r="AP95" s="354"/>
      <c r="AQ95" s="123"/>
      <c r="AR95" s="352" t="s">
        <v>396</v>
      </c>
      <c r="AS95" s="353"/>
      <c r="AT95" s="353"/>
      <c r="AU95" s="353"/>
      <c r="AV95" s="353"/>
      <c r="AW95" s="353"/>
      <c r="AX95" s="353"/>
      <c r="AY95" s="353"/>
      <c r="AZ95" s="353"/>
      <c r="BA95" s="353"/>
      <c r="BB95" s="353"/>
      <c r="BC95" s="353"/>
      <c r="BD95" s="354"/>
      <c r="BE95" s="123"/>
      <c r="BF95" s="352" t="s">
        <v>396</v>
      </c>
      <c r="BG95" s="353"/>
      <c r="BH95" s="353"/>
      <c r="BI95" s="353"/>
      <c r="BJ95" s="353"/>
      <c r="BK95" s="353"/>
      <c r="BL95" s="353"/>
      <c r="BM95" s="353"/>
      <c r="BN95" s="353"/>
      <c r="BO95" s="353"/>
      <c r="BP95" s="353"/>
      <c r="BQ95" s="353"/>
      <c r="BR95" s="354"/>
      <c r="BS95" s="14"/>
    </row>
    <row r="96" spans="1:71" ht="12" customHeight="1" x14ac:dyDescent="0.3">
      <c r="A96" s="15"/>
      <c r="B96" s="352" t="s">
        <v>680</v>
      </c>
      <c r="C96" s="353"/>
      <c r="D96" s="353"/>
      <c r="E96" s="353"/>
      <c r="F96" s="353"/>
      <c r="G96" s="353"/>
      <c r="H96" s="353"/>
      <c r="I96" s="353"/>
      <c r="J96" s="353"/>
      <c r="K96" s="353"/>
      <c r="L96" s="353"/>
      <c r="M96" s="353"/>
      <c r="N96" s="354"/>
      <c r="O96" s="123"/>
      <c r="P96" s="352" t="s">
        <v>680</v>
      </c>
      <c r="Q96" s="353"/>
      <c r="R96" s="353"/>
      <c r="S96" s="353"/>
      <c r="T96" s="353"/>
      <c r="U96" s="353"/>
      <c r="V96" s="353"/>
      <c r="W96" s="353"/>
      <c r="X96" s="353"/>
      <c r="Y96" s="353"/>
      <c r="Z96" s="353"/>
      <c r="AA96" s="353"/>
      <c r="AB96" s="354"/>
      <c r="AC96" s="123"/>
      <c r="AD96" s="355" t="s">
        <v>752</v>
      </c>
      <c r="AE96" s="355"/>
      <c r="AF96" s="355"/>
      <c r="AG96" s="355"/>
      <c r="AH96" s="355"/>
      <c r="AI96" s="355"/>
      <c r="AJ96" s="355"/>
      <c r="AK96" s="355"/>
      <c r="AL96" s="355"/>
      <c r="AM96" s="355"/>
      <c r="AN96" s="324">
        <f>CEILING(1330*B4,1)</f>
        <v>1862</v>
      </c>
      <c r="AO96" s="324"/>
      <c r="AP96" s="324"/>
      <c r="AQ96" s="131"/>
      <c r="AR96" s="355" t="s">
        <v>755</v>
      </c>
      <c r="AS96" s="355"/>
      <c r="AT96" s="355"/>
      <c r="AU96" s="355"/>
      <c r="AV96" s="355"/>
      <c r="AW96" s="355"/>
      <c r="AX96" s="355"/>
      <c r="AY96" s="355"/>
      <c r="AZ96" s="355"/>
      <c r="BA96" s="355"/>
      <c r="BB96" s="324">
        <f>CEILING(1293*B4,1)</f>
        <v>1811</v>
      </c>
      <c r="BC96" s="324"/>
      <c r="BD96" s="324"/>
      <c r="BE96" s="131"/>
      <c r="BF96" s="355" t="s">
        <v>756</v>
      </c>
      <c r="BG96" s="355"/>
      <c r="BH96" s="355"/>
      <c r="BI96" s="355"/>
      <c r="BJ96" s="355"/>
      <c r="BK96" s="355"/>
      <c r="BL96" s="355"/>
      <c r="BM96" s="355"/>
      <c r="BN96" s="355"/>
      <c r="BO96" s="355"/>
      <c r="BP96" s="324">
        <f>CEILING(593*B4,1)</f>
        <v>831</v>
      </c>
      <c r="BQ96" s="324"/>
      <c r="BR96" s="324"/>
      <c r="BS96" s="14"/>
    </row>
    <row r="97" spans="1:71" s="5" customFormat="1" ht="12" customHeight="1" x14ac:dyDescent="0.3">
      <c r="A97" s="62"/>
      <c r="B97" s="323" t="s">
        <v>681</v>
      </c>
      <c r="C97" s="323"/>
      <c r="D97" s="323"/>
      <c r="E97" s="323"/>
      <c r="F97" s="323"/>
      <c r="G97" s="323"/>
      <c r="H97" s="323"/>
      <c r="I97" s="323"/>
      <c r="J97" s="323"/>
      <c r="K97" s="323"/>
      <c r="L97" s="324">
        <f>CEILING(2756*B4,1)</f>
        <v>3859</v>
      </c>
      <c r="M97" s="324"/>
      <c r="N97" s="324"/>
      <c r="O97" s="131"/>
      <c r="P97" s="323" t="s">
        <v>751</v>
      </c>
      <c r="Q97" s="323"/>
      <c r="R97" s="323"/>
      <c r="S97" s="323"/>
      <c r="T97" s="323"/>
      <c r="U97" s="323"/>
      <c r="V97" s="323"/>
      <c r="W97" s="323"/>
      <c r="X97" s="323"/>
      <c r="Y97" s="323"/>
      <c r="Z97" s="324">
        <f>CEILING(1503*B4,1)</f>
        <v>2105</v>
      </c>
      <c r="AA97" s="324"/>
      <c r="AB97" s="324"/>
      <c r="AC97" s="132"/>
      <c r="AD97" s="355" t="s">
        <v>753</v>
      </c>
      <c r="AE97" s="355"/>
      <c r="AF97" s="355"/>
      <c r="AG97" s="355"/>
      <c r="AH97" s="355"/>
      <c r="AI97" s="355"/>
      <c r="AJ97" s="355"/>
      <c r="AK97" s="355"/>
      <c r="AL97" s="355"/>
      <c r="AM97" s="355"/>
      <c r="AN97" s="324">
        <f>CEILING(1379*B4,1)</f>
        <v>1931</v>
      </c>
      <c r="AO97" s="324"/>
      <c r="AP97" s="324"/>
      <c r="AQ97" s="131"/>
      <c r="AR97" s="355" t="s">
        <v>754</v>
      </c>
      <c r="AS97" s="355"/>
      <c r="AT97" s="355"/>
      <c r="AU97" s="355"/>
      <c r="AV97" s="355"/>
      <c r="AW97" s="355"/>
      <c r="AX97" s="355"/>
      <c r="AY97" s="355"/>
      <c r="AZ97" s="355"/>
      <c r="BA97" s="355"/>
      <c r="BB97" s="324">
        <f>CEILING(1478*B4,1)</f>
        <v>2070</v>
      </c>
      <c r="BC97" s="324"/>
      <c r="BD97" s="324"/>
      <c r="BE97" s="131"/>
      <c r="BF97" s="355" t="s">
        <v>825</v>
      </c>
      <c r="BG97" s="355"/>
      <c r="BH97" s="355"/>
      <c r="BI97" s="355"/>
      <c r="BJ97" s="355"/>
      <c r="BK97" s="355"/>
      <c r="BL97" s="355"/>
      <c r="BM97" s="355"/>
      <c r="BN97" s="355"/>
      <c r="BO97" s="355"/>
      <c r="BP97" s="324">
        <f>CEILING(323*B4,1)</f>
        <v>453</v>
      </c>
      <c r="BQ97" s="324"/>
      <c r="BR97" s="324"/>
      <c r="BS97" s="63"/>
    </row>
    <row r="98" spans="1:71" ht="1.5" customHeight="1" x14ac:dyDescent="0.3">
      <c r="A98" s="21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22"/>
    </row>
    <row r="99" spans="1:71" ht="9" customHeight="1" x14ac:dyDescent="0.3"/>
    <row r="100" spans="1:71" ht="9" customHeight="1" x14ac:dyDescent="0.3"/>
    <row r="101" spans="1:71" ht="9" customHeight="1" x14ac:dyDescent="0.3"/>
    <row r="102" spans="1:71" ht="9" customHeight="1" x14ac:dyDescent="0.3"/>
    <row r="103" spans="1:71" ht="9" customHeight="1" x14ac:dyDescent="0.3"/>
    <row r="104" spans="1:71" ht="9" customHeight="1" x14ac:dyDescent="0.3"/>
    <row r="105" spans="1:71" ht="9" customHeight="1" x14ac:dyDescent="0.3"/>
    <row r="106" spans="1:71" ht="9" customHeight="1" x14ac:dyDescent="0.3"/>
    <row r="107" spans="1:71" ht="9" customHeight="1" x14ac:dyDescent="0.3"/>
    <row r="108" spans="1:71" ht="9" customHeight="1" x14ac:dyDescent="0.3"/>
    <row r="109" spans="1:71" ht="9" customHeight="1" x14ac:dyDescent="0.3"/>
    <row r="110" spans="1:71" ht="9" customHeight="1" x14ac:dyDescent="0.3"/>
    <row r="111" spans="1:71" ht="9" customHeight="1" x14ac:dyDescent="0.3"/>
    <row r="112" spans="1:71" ht="9" customHeight="1" x14ac:dyDescent="0.3"/>
    <row r="113" ht="9" customHeight="1" x14ac:dyDescent="0.3"/>
    <row r="114" ht="9" customHeight="1" x14ac:dyDescent="0.3"/>
    <row r="115" ht="9" customHeight="1" x14ac:dyDescent="0.3"/>
    <row r="116" ht="9" customHeight="1" x14ac:dyDescent="0.3"/>
    <row r="117" ht="9" customHeight="1" x14ac:dyDescent="0.3"/>
    <row r="118" ht="9" customHeight="1" x14ac:dyDescent="0.3"/>
    <row r="119" ht="9" customHeight="1" x14ac:dyDescent="0.3"/>
    <row r="120" ht="9" customHeight="1" x14ac:dyDescent="0.3"/>
    <row r="121" ht="9" customHeight="1" x14ac:dyDescent="0.3"/>
    <row r="122" ht="9" customHeight="1" x14ac:dyDescent="0.3"/>
    <row r="123" ht="9" customHeight="1" x14ac:dyDescent="0.3"/>
    <row r="124" ht="9" customHeight="1" x14ac:dyDescent="0.3"/>
    <row r="125" ht="9" customHeight="1" x14ac:dyDescent="0.3"/>
    <row r="126" ht="9" customHeight="1" x14ac:dyDescent="0.3"/>
    <row r="127" ht="9" customHeight="1" x14ac:dyDescent="0.3"/>
    <row r="128" ht="9" customHeight="1" x14ac:dyDescent="0.3"/>
    <row r="129" ht="9" customHeight="1" x14ac:dyDescent="0.3"/>
    <row r="130" ht="9" customHeight="1" x14ac:dyDescent="0.3"/>
    <row r="131" ht="9" customHeight="1" x14ac:dyDescent="0.3"/>
    <row r="132" ht="9" customHeight="1" x14ac:dyDescent="0.3"/>
    <row r="133" ht="9" customHeight="1" x14ac:dyDescent="0.3"/>
    <row r="134" ht="9" customHeight="1" x14ac:dyDescent="0.3"/>
    <row r="135" ht="9" customHeight="1" x14ac:dyDescent="0.3"/>
    <row r="136" ht="9" customHeight="1" x14ac:dyDescent="0.3"/>
    <row r="137" ht="9" customHeight="1" x14ac:dyDescent="0.3"/>
    <row r="138" ht="9" customHeight="1" x14ac:dyDescent="0.3"/>
    <row r="139" ht="9" customHeight="1" x14ac:dyDescent="0.3"/>
    <row r="140" ht="9" customHeight="1" x14ac:dyDescent="0.3"/>
    <row r="141" ht="9" customHeight="1" x14ac:dyDescent="0.3"/>
    <row r="142" ht="9" customHeight="1" x14ac:dyDescent="0.3"/>
    <row r="143" ht="9" customHeight="1" x14ac:dyDescent="0.3"/>
    <row r="144" ht="9" customHeight="1" x14ac:dyDescent="0.3"/>
    <row r="145" ht="9" customHeight="1" x14ac:dyDescent="0.3"/>
    <row r="146" ht="9" customHeight="1" x14ac:dyDescent="0.3"/>
    <row r="147" ht="9" customHeight="1" x14ac:dyDescent="0.3"/>
    <row r="148" ht="9" customHeight="1" x14ac:dyDescent="0.3"/>
    <row r="149" ht="9" customHeight="1" x14ac:dyDescent="0.3"/>
    <row r="150" ht="9" customHeight="1" x14ac:dyDescent="0.3"/>
    <row r="151" ht="9" customHeight="1" x14ac:dyDescent="0.3"/>
    <row r="152" ht="9" customHeight="1" x14ac:dyDescent="0.3"/>
    <row r="153" ht="9" customHeight="1" x14ac:dyDescent="0.3"/>
    <row r="154" ht="9" customHeight="1" x14ac:dyDescent="0.3"/>
    <row r="155" ht="9" customHeight="1" x14ac:dyDescent="0.3"/>
    <row r="156" ht="9" customHeight="1" x14ac:dyDescent="0.3"/>
    <row r="157" ht="9" customHeight="1" x14ac:dyDescent="0.3"/>
    <row r="158" ht="9" customHeight="1" x14ac:dyDescent="0.3"/>
    <row r="159" ht="9" customHeight="1" x14ac:dyDescent="0.3"/>
    <row r="160" ht="9" customHeight="1" x14ac:dyDescent="0.3"/>
    <row r="161" ht="9" customHeight="1" x14ac:dyDescent="0.3"/>
    <row r="162" ht="9" customHeight="1" x14ac:dyDescent="0.3"/>
    <row r="163" ht="9" customHeight="1" x14ac:dyDescent="0.3"/>
    <row r="164" ht="9" customHeight="1" x14ac:dyDescent="0.3"/>
    <row r="165" ht="9" customHeight="1" x14ac:dyDescent="0.3"/>
    <row r="166" ht="9" customHeight="1" x14ac:dyDescent="0.3"/>
    <row r="167" ht="9" customHeight="1" x14ac:dyDescent="0.3"/>
    <row r="168" ht="9" customHeight="1" x14ac:dyDescent="0.3"/>
    <row r="169" ht="9" customHeight="1" x14ac:dyDescent="0.3"/>
    <row r="170" ht="9" customHeight="1" x14ac:dyDescent="0.3"/>
    <row r="171" ht="9" customHeight="1" x14ac:dyDescent="0.3"/>
    <row r="172" ht="9" customHeight="1" x14ac:dyDescent="0.3"/>
    <row r="173" ht="9" customHeight="1" x14ac:dyDescent="0.3"/>
    <row r="174" ht="9" customHeight="1" x14ac:dyDescent="0.3"/>
    <row r="175" ht="9" customHeight="1" x14ac:dyDescent="0.3"/>
    <row r="176" ht="9" customHeight="1" x14ac:dyDescent="0.3"/>
    <row r="177" ht="9" customHeight="1" x14ac:dyDescent="0.3"/>
    <row r="178" ht="9" customHeight="1" x14ac:dyDescent="0.3"/>
    <row r="179" ht="9" customHeight="1" x14ac:dyDescent="0.3"/>
    <row r="180" ht="9" customHeight="1" x14ac:dyDescent="0.3"/>
    <row r="181" ht="9" customHeight="1" x14ac:dyDescent="0.3"/>
    <row r="182" ht="9" customHeight="1" x14ac:dyDescent="0.3"/>
    <row r="183" ht="9" customHeight="1" x14ac:dyDescent="0.3"/>
    <row r="184" ht="9" customHeight="1" x14ac:dyDescent="0.3"/>
    <row r="185" ht="9" customHeight="1" x14ac:dyDescent="0.3"/>
    <row r="186" ht="9" customHeight="1" x14ac:dyDescent="0.3"/>
    <row r="187" ht="9" customHeight="1" x14ac:dyDescent="0.3"/>
    <row r="188" ht="9" customHeight="1" x14ac:dyDescent="0.3"/>
    <row r="189" ht="9" customHeight="1" x14ac:dyDescent="0.3"/>
    <row r="190" ht="9" customHeight="1" x14ac:dyDescent="0.3"/>
    <row r="191" ht="9" customHeight="1" x14ac:dyDescent="0.3"/>
    <row r="192" ht="9" customHeight="1" x14ac:dyDescent="0.3"/>
    <row r="193" ht="9" customHeight="1" x14ac:dyDescent="0.3"/>
    <row r="194" ht="9" customHeight="1" x14ac:dyDescent="0.3"/>
    <row r="195" ht="9" customHeight="1" x14ac:dyDescent="0.3"/>
    <row r="196" ht="9" customHeight="1" x14ac:dyDescent="0.3"/>
    <row r="197" ht="9" customHeight="1" x14ac:dyDescent="0.3"/>
    <row r="198" ht="9" customHeight="1" x14ac:dyDescent="0.3"/>
    <row r="199" ht="9" customHeight="1" x14ac:dyDescent="0.3"/>
    <row r="200" ht="9" customHeight="1" x14ac:dyDescent="0.3"/>
    <row r="201" ht="9" customHeight="1" x14ac:dyDescent="0.3"/>
    <row r="202" ht="9" customHeight="1" x14ac:dyDescent="0.3"/>
    <row r="203" ht="9" customHeight="1" x14ac:dyDescent="0.3"/>
    <row r="204" ht="9" customHeight="1" x14ac:dyDescent="0.3"/>
    <row r="205" ht="9" customHeight="1" x14ac:dyDescent="0.3"/>
    <row r="206" ht="9" customHeight="1" x14ac:dyDescent="0.3"/>
    <row r="207" ht="9" customHeight="1" x14ac:dyDescent="0.3"/>
    <row r="208" ht="9" customHeight="1" x14ac:dyDescent="0.3"/>
    <row r="209" ht="9" customHeight="1" x14ac:dyDescent="0.3"/>
    <row r="210" ht="9" customHeight="1" x14ac:dyDescent="0.3"/>
    <row r="211" ht="9" customHeight="1" x14ac:dyDescent="0.3"/>
    <row r="212" ht="9" customHeight="1" x14ac:dyDescent="0.3"/>
    <row r="213" ht="9" customHeight="1" x14ac:dyDescent="0.3"/>
    <row r="214" ht="9" customHeight="1" x14ac:dyDescent="0.3"/>
    <row r="215" ht="9" customHeight="1" x14ac:dyDescent="0.3"/>
    <row r="216" ht="9" customHeight="1" x14ac:dyDescent="0.3"/>
    <row r="217" ht="9" customHeight="1" x14ac:dyDescent="0.3"/>
    <row r="218" ht="9" customHeight="1" x14ac:dyDescent="0.3"/>
    <row r="219" ht="9" customHeight="1" x14ac:dyDescent="0.3"/>
    <row r="220" ht="9" customHeight="1" x14ac:dyDescent="0.3"/>
    <row r="221" ht="9" customHeight="1" x14ac:dyDescent="0.3"/>
    <row r="222" ht="9" customHeight="1" x14ac:dyDescent="0.3"/>
    <row r="223" ht="9" customHeight="1" x14ac:dyDescent="0.3"/>
    <row r="224" ht="9" customHeight="1" x14ac:dyDescent="0.3"/>
    <row r="225" ht="9" customHeight="1" x14ac:dyDescent="0.3"/>
    <row r="226" ht="9" customHeight="1" x14ac:dyDescent="0.3"/>
    <row r="227" ht="9" customHeight="1" x14ac:dyDescent="0.3"/>
    <row r="228" ht="9" customHeight="1" x14ac:dyDescent="0.3"/>
    <row r="229" ht="9" customHeight="1" x14ac:dyDescent="0.3"/>
    <row r="230" ht="9" customHeight="1" x14ac:dyDescent="0.3"/>
    <row r="231" ht="9" customHeight="1" x14ac:dyDescent="0.3"/>
    <row r="232" ht="9" customHeight="1" x14ac:dyDescent="0.3"/>
    <row r="233" ht="9" customHeight="1" x14ac:dyDescent="0.3"/>
    <row r="234" ht="9" customHeight="1" x14ac:dyDescent="0.3"/>
    <row r="235" ht="9" customHeight="1" x14ac:dyDescent="0.3"/>
    <row r="236" ht="9" customHeight="1" x14ac:dyDescent="0.3"/>
    <row r="237" ht="9" customHeight="1" x14ac:dyDescent="0.3"/>
    <row r="238" ht="9" customHeight="1" x14ac:dyDescent="0.3"/>
    <row r="239" ht="9" customHeight="1" x14ac:dyDescent="0.3"/>
    <row r="240" ht="9" customHeight="1" x14ac:dyDescent="0.3"/>
    <row r="241" ht="9" customHeight="1" x14ac:dyDescent="0.3"/>
    <row r="242" ht="9" customHeight="1" x14ac:dyDescent="0.3"/>
    <row r="243" ht="9" customHeight="1" x14ac:dyDescent="0.3"/>
    <row r="244" ht="9" customHeight="1" x14ac:dyDescent="0.3"/>
    <row r="245" ht="9" customHeight="1" x14ac:dyDescent="0.3"/>
    <row r="246" ht="9" customHeight="1" x14ac:dyDescent="0.3"/>
    <row r="247" ht="9" customHeight="1" x14ac:dyDescent="0.3"/>
    <row r="248" ht="9" customHeight="1" x14ac:dyDescent="0.3"/>
    <row r="249" ht="9" customHeight="1" x14ac:dyDescent="0.3"/>
    <row r="250" ht="9" customHeight="1" x14ac:dyDescent="0.3"/>
    <row r="251" ht="9" customHeight="1" x14ac:dyDescent="0.3"/>
    <row r="252" ht="9" customHeight="1" x14ac:dyDescent="0.3"/>
    <row r="253" ht="9" customHeight="1" x14ac:dyDescent="0.3"/>
    <row r="254" ht="9" customHeight="1" x14ac:dyDescent="0.3"/>
    <row r="255" ht="9" customHeight="1" x14ac:dyDescent="0.3"/>
    <row r="256" ht="9" customHeight="1" x14ac:dyDescent="0.3"/>
    <row r="257" ht="9" customHeight="1" x14ac:dyDescent="0.3"/>
  </sheetData>
  <mergeCells count="223">
    <mergeCell ref="B2:BR2"/>
    <mergeCell ref="P4:BR4"/>
    <mergeCell ref="B4:N4"/>
    <mergeCell ref="M65:O65"/>
    <mergeCell ref="B66:L66"/>
    <mergeCell ref="M66:O66"/>
    <mergeCell ref="M67:O67"/>
    <mergeCell ref="M68:O68"/>
    <mergeCell ref="M69:O69"/>
    <mergeCell ref="B65:L65"/>
    <mergeCell ref="B67:L67"/>
    <mergeCell ref="B68:L68"/>
    <mergeCell ref="B69:L69"/>
    <mergeCell ref="L21:N21"/>
    <mergeCell ref="BP39:BR39"/>
    <mergeCell ref="L39:N39"/>
    <mergeCell ref="B39:K39"/>
    <mergeCell ref="P39:Y39"/>
    <mergeCell ref="Z39:AB39"/>
    <mergeCell ref="AD39:AM39"/>
    <mergeCell ref="BF25:BI25"/>
    <mergeCell ref="BF23:BO23"/>
    <mergeCell ref="BP23:BR23"/>
    <mergeCell ref="BF37:BR37"/>
    <mergeCell ref="AD22:AM22"/>
    <mergeCell ref="AN22:AP22"/>
    <mergeCell ref="B21:K21"/>
    <mergeCell ref="B22:K22"/>
    <mergeCell ref="AV9:BD9"/>
    <mergeCell ref="AR18:BD18"/>
    <mergeCell ref="F9:N9"/>
    <mergeCell ref="B19:N19"/>
    <mergeCell ref="B20:N20"/>
    <mergeCell ref="B9:E9"/>
    <mergeCell ref="AR9:AU9"/>
    <mergeCell ref="A8:BR8"/>
    <mergeCell ref="Z22:AB22"/>
    <mergeCell ref="AD23:AM23"/>
    <mergeCell ref="AN23:AP23"/>
    <mergeCell ref="B23:K23"/>
    <mergeCell ref="P23:Y23"/>
    <mergeCell ref="Z23:AB23"/>
    <mergeCell ref="L23:N23"/>
    <mergeCell ref="L22:N22"/>
    <mergeCell ref="P22:Y22"/>
    <mergeCell ref="AR20:BD20"/>
    <mergeCell ref="BB22:BD22"/>
    <mergeCell ref="AR21:BA21"/>
    <mergeCell ref="BB21:BD21"/>
    <mergeCell ref="AR22:BA22"/>
    <mergeCell ref="BF9:BI9"/>
    <mergeCell ref="P19:AB19"/>
    <mergeCell ref="P9:S9"/>
    <mergeCell ref="AD9:AG9"/>
    <mergeCell ref="P20:AB20"/>
    <mergeCell ref="AD19:AP19"/>
    <mergeCell ref="AD20:AP20"/>
    <mergeCell ref="BF21:BR21"/>
    <mergeCell ref="BF22:BR22"/>
    <mergeCell ref="AR36:BD36"/>
    <mergeCell ref="AR37:AX37"/>
    <mergeCell ref="BB38:BD38"/>
    <mergeCell ref="AR23:BA23"/>
    <mergeCell ref="BB23:BD23"/>
    <mergeCell ref="AY38:BA38"/>
    <mergeCell ref="B25:E25"/>
    <mergeCell ref="P25:S25"/>
    <mergeCell ref="AD25:AG25"/>
    <mergeCell ref="AR25:AU25"/>
    <mergeCell ref="AV25:BD25"/>
    <mergeCell ref="B37:N37"/>
    <mergeCell ref="B38:N38"/>
    <mergeCell ref="P36:AB36"/>
    <mergeCell ref="P38:AB38"/>
    <mergeCell ref="AD36:AP36"/>
    <mergeCell ref="AD38:AP38"/>
    <mergeCell ref="BB37:BD37"/>
    <mergeCell ref="AY37:BA37"/>
    <mergeCell ref="B41:E41"/>
    <mergeCell ref="P41:S41"/>
    <mergeCell ref="AD41:AG41"/>
    <mergeCell ref="AR41:AU41"/>
    <mergeCell ref="BF41:BI41"/>
    <mergeCell ref="AY39:BA39"/>
    <mergeCell ref="AR38:AX38"/>
    <mergeCell ref="AR39:AX39"/>
    <mergeCell ref="AN39:AP39"/>
    <mergeCell ref="BB39:BD39"/>
    <mergeCell ref="BF39:BO39"/>
    <mergeCell ref="BF38:BR38"/>
    <mergeCell ref="AD52:AP52"/>
    <mergeCell ref="AK53:AM53"/>
    <mergeCell ref="AN53:AP53"/>
    <mergeCell ref="AD53:AJ53"/>
    <mergeCell ref="AR53:BD53"/>
    <mergeCell ref="AN55:AP55"/>
    <mergeCell ref="AK55:AM55"/>
    <mergeCell ref="AN54:AP54"/>
    <mergeCell ref="AK54:AM54"/>
    <mergeCell ref="AD54:AJ54"/>
    <mergeCell ref="AD55:AJ55"/>
    <mergeCell ref="B57:N58"/>
    <mergeCell ref="P57:AB58"/>
    <mergeCell ref="BF53:BR53"/>
    <mergeCell ref="BF54:BL54"/>
    <mergeCell ref="BM54:BO54"/>
    <mergeCell ref="BP54:BR54"/>
    <mergeCell ref="BF55:BL55"/>
    <mergeCell ref="BM55:BO55"/>
    <mergeCell ref="BP55:BR55"/>
    <mergeCell ref="AR54:AX54"/>
    <mergeCell ref="AY54:BA54"/>
    <mergeCell ref="BB54:BD54"/>
    <mergeCell ref="AR55:AX55"/>
    <mergeCell ref="AY55:BA55"/>
    <mergeCell ref="BB55:BD55"/>
    <mergeCell ref="B54:N54"/>
    <mergeCell ref="B55:K55"/>
    <mergeCell ref="L55:N55"/>
    <mergeCell ref="B53:N53"/>
    <mergeCell ref="AR57:AU57"/>
    <mergeCell ref="BF57:BI57"/>
    <mergeCell ref="P53:AB53"/>
    <mergeCell ref="P54:AB54"/>
    <mergeCell ref="P55:Y55"/>
    <mergeCell ref="AD69:AJ69"/>
    <mergeCell ref="AK69:AM69"/>
    <mergeCell ref="AN69:AP69"/>
    <mergeCell ref="Z68:AB68"/>
    <mergeCell ref="Z69:AB69"/>
    <mergeCell ref="Z55:AB55"/>
    <mergeCell ref="AD57:AH57"/>
    <mergeCell ref="P67:Y67"/>
    <mergeCell ref="Z67:AB67"/>
    <mergeCell ref="P68:Y68"/>
    <mergeCell ref="P69:Y69"/>
    <mergeCell ref="AD67:AP67"/>
    <mergeCell ref="AD68:AJ68"/>
    <mergeCell ref="AK68:AM68"/>
    <mergeCell ref="AN68:AP68"/>
    <mergeCell ref="AR67:AX67"/>
    <mergeCell ref="AY67:BA67"/>
    <mergeCell ref="BB67:BD67"/>
    <mergeCell ref="BF67:BR67"/>
    <mergeCell ref="BF68:BL68"/>
    <mergeCell ref="BM68:BO68"/>
    <mergeCell ref="BP68:BR68"/>
    <mergeCell ref="BF69:BL69"/>
    <mergeCell ref="BM69:BO69"/>
    <mergeCell ref="BP69:BR69"/>
    <mergeCell ref="AR68:AX68"/>
    <mergeCell ref="AY68:BA68"/>
    <mergeCell ref="BB68:BD68"/>
    <mergeCell ref="AR69:AX69"/>
    <mergeCell ref="AY69:BA69"/>
    <mergeCell ref="BB69:BD69"/>
    <mergeCell ref="AD85:AG85"/>
    <mergeCell ref="AR85:AU85"/>
    <mergeCell ref="BF85:BI85"/>
    <mergeCell ref="BF71:BI71"/>
    <mergeCell ref="AR81:BD81"/>
    <mergeCell ref="AH71:AP71"/>
    <mergeCell ref="AV71:BD71"/>
    <mergeCell ref="BB83:BD83"/>
    <mergeCell ref="AR83:BA83"/>
    <mergeCell ref="AN83:AP83"/>
    <mergeCell ref="AD83:AM83"/>
    <mergeCell ref="AD80:AP80"/>
    <mergeCell ref="AR80:BD80"/>
    <mergeCell ref="AR82:BA82"/>
    <mergeCell ref="BB82:BD82"/>
    <mergeCell ref="AI81:AJ81"/>
    <mergeCell ref="AG81:AH81"/>
    <mergeCell ref="AD82:AM82"/>
    <mergeCell ref="AN82:AP82"/>
    <mergeCell ref="L82:N82"/>
    <mergeCell ref="B83:H83"/>
    <mergeCell ref="I83:K83"/>
    <mergeCell ref="L83:N83"/>
    <mergeCell ref="Z83:AB83"/>
    <mergeCell ref="P80:AB80"/>
    <mergeCell ref="P82:Y82"/>
    <mergeCell ref="Z82:AB82"/>
    <mergeCell ref="BF82:BR82"/>
    <mergeCell ref="BP83:BR83"/>
    <mergeCell ref="BF83:BO83"/>
    <mergeCell ref="P85:V85"/>
    <mergeCell ref="AV85:BD85"/>
    <mergeCell ref="BB97:BD97"/>
    <mergeCell ref="AD71:AG71"/>
    <mergeCell ref="AR71:AU71"/>
    <mergeCell ref="AR95:BD95"/>
    <mergeCell ref="AD97:AM97"/>
    <mergeCell ref="F71:N71"/>
    <mergeCell ref="P81:AB81"/>
    <mergeCell ref="P83:Y83"/>
    <mergeCell ref="B96:N96"/>
    <mergeCell ref="B97:K97"/>
    <mergeCell ref="L97:N97"/>
    <mergeCell ref="P96:AB96"/>
    <mergeCell ref="P97:Y97"/>
    <mergeCell ref="Z97:AB97"/>
    <mergeCell ref="AO81:AP81"/>
    <mergeCell ref="AM81:AN81"/>
    <mergeCell ref="AK81:AL81"/>
    <mergeCell ref="B85:H85"/>
    <mergeCell ref="B71:E71"/>
    <mergeCell ref="B81:N81"/>
    <mergeCell ref="B82:H82"/>
    <mergeCell ref="I82:K82"/>
    <mergeCell ref="BF95:BR95"/>
    <mergeCell ref="BF96:BO96"/>
    <mergeCell ref="BP96:BR96"/>
    <mergeCell ref="BF97:BO97"/>
    <mergeCell ref="BP97:BR97"/>
    <mergeCell ref="AR94:BD94"/>
    <mergeCell ref="AR96:BA96"/>
    <mergeCell ref="BB96:BD96"/>
    <mergeCell ref="AD95:AP95"/>
    <mergeCell ref="AD96:AM96"/>
    <mergeCell ref="AN96:AP96"/>
    <mergeCell ref="AR97:BA97"/>
    <mergeCell ref="AN97:AP97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68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S309"/>
  <sheetViews>
    <sheetView showGridLines="0" view="pageBreakPreview" topLeftCell="A52" zoomScale="92" zoomScaleSheetLayoutView="92" workbookViewId="0">
      <selection activeCell="A6" sqref="A6:BQ6"/>
    </sheetView>
  </sheetViews>
  <sheetFormatPr defaultColWidth="9.109375" defaultRowHeight="13.8" x14ac:dyDescent="0.3"/>
  <cols>
    <col min="1" max="1" width="0.33203125" style="71" customWidth="1"/>
    <col min="2" max="6" width="1.6640625" style="71" customWidth="1"/>
    <col min="7" max="7" width="3.44140625" style="71" customWidth="1"/>
    <col min="8" max="10" width="1.6640625" style="71" customWidth="1"/>
    <col min="11" max="11" width="4.77734375" style="71" customWidth="1"/>
    <col min="12" max="12" width="0.33203125" style="71" customWidth="1"/>
    <col min="13" max="17" width="1.6640625" style="71" customWidth="1"/>
    <col min="18" max="18" width="4.44140625" style="71" customWidth="1"/>
    <col min="19" max="21" width="1.6640625" style="71" customWidth="1"/>
    <col min="22" max="22" width="2.44140625" style="71" customWidth="1"/>
    <col min="23" max="23" width="0.33203125" style="71" customWidth="1"/>
    <col min="24" max="28" width="1.6640625" style="71" customWidth="1"/>
    <col min="29" max="29" width="5.33203125" style="71" customWidth="1"/>
    <col min="30" max="33" width="1.6640625" style="71" customWidth="1"/>
    <col min="34" max="34" width="0.33203125" style="71" customWidth="1"/>
    <col min="35" max="39" width="1.6640625" style="71" customWidth="1"/>
    <col min="40" max="40" width="6.6640625" style="71" customWidth="1"/>
    <col min="41" max="44" width="1.6640625" style="71" customWidth="1"/>
    <col min="45" max="45" width="0.33203125" style="71" customWidth="1"/>
    <col min="46" max="51" width="1.6640625" style="71" customWidth="1"/>
    <col min="52" max="52" width="4" style="71" customWidth="1"/>
    <col min="53" max="55" width="1.6640625" style="71" customWidth="1"/>
    <col min="56" max="56" width="2.44140625" style="71" customWidth="1"/>
    <col min="57" max="57" width="0.33203125" style="71" customWidth="1"/>
    <col min="58" max="64" width="1.6640625" style="71" customWidth="1"/>
    <col min="65" max="65" width="4.44140625" style="71" customWidth="1"/>
    <col min="66" max="69" width="1.6640625" style="71" customWidth="1"/>
    <col min="70" max="70" width="0.33203125" style="2" customWidth="1"/>
    <col min="71" max="16384" width="9.109375" style="2"/>
  </cols>
  <sheetData>
    <row r="1" spans="1:70" ht="1.5" customHeight="1" x14ac:dyDescent="0.3">
      <c r="A1" s="140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"/>
    </row>
    <row r="2" spans="1:70" ht="104.4" customHeight="1" x14ac:dyDescent="0.3">
      <c r="A2" s="141"/>
      <c r="B2" s="414" t="s">
        <v>839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5"/>
      <c r="AT2" s="415"/>
      <c r="AU2" s="415"/>
      <c r="AV2" s="415"/>
      <c r="AW2" s="415"/>
      <c r="AX2" s="415"/>
      <c r="AY2" s="415"/>
      <c r="AZ2" s="415"/>
      <c r="BA2" s="415"/>
      <c r="BB2" s="415"/>
      <c r="BC2" s="415"/>
      <c r="BD2" s="415"/>
      <c r="BE2" s="415"/>
      <c r="BF2" s="415"/>
      <c r="BG2" s="415"/>
      <c r="BH2" s="415"/>
      <c r="BI2" s="415"/>
      <c r="BJ2" s="415"/>
      <c r="BK2" s="415"/>
      <c r="BL2" s="415"/>
      <c r="BM2" s="415"/>
      <c r="BN2" s="415"/>
      <c r="BO2" s="415"/>
      <c r="BP2" s="415"/>
      <c r="BQ2" s="416"/>
      <c r="BR2" s="14"/>
    </row>
    <row r="3" spans="1:70" ht="3" customHeight="1" x14ac:dyDescent="0.3">
      <c r="A3" s="141"/>
      <c r="B3" s="142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43"/>
      <c r="BR3" s="14"/>
    </row>
    <row r="4" spans="1:70" ht="18" customHeight="1" x14ac:dyDescent="0.3">
      <c r="A4" s="141"/>
      <c r="B4" s="300">
        <v>1.4</v>
      </c>
      <c r="C4" s="301"/>
      <c r="D4" s="301"/>
      <c r="E4" s="301"/>
      <c r="F4" s="301"/>
      <c r="G4" s="301"/>
      <c r="H4" s="301"/>
      <c r="I4" s="301"/>
      <c r="J4" s="301"/>
      <c r="K4" s="301"/>
      <c r="L4" s="110"/>
      <c r="M4" s="298" t="s">
        <v>324</v>
      </c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9"/>
      <c r="BR4" s="14"/>
    </row>
    <row r="5" spans="1:70" ht="1.5" customHeight="1" x14ac:dyDescent="0.3">
      <c r="A5" s="141"/>
      <c r="B5" s="144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145"/>
      <c r="BR5" s="14"/>
    </row>
    <row r="6" spans="1:70" ht="19.5" customHeight="1" x14ac:dyDescent="0.3">
      <c r="A6" s="417" t="s">
        <v>822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14"/>
    </row>
    <row r="7" spans="1:70" ht="23.25" customHeight="1" x14ac:dyDescent="0.3">
      <c r="A7" s="141"/>
      <c r="B7" s="418" t="s">
        <v>706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8"/>
      <c r="AJ7" s="418"/>
      <c r="AK7" s="418"/>
      <c r="AL7" s="418"/>
      <c r="AM7" s="418"/>
      <c r="AN7" s="418"/>
      <c r="AO7" s="418"/>
      <c r="AP7" s="418"/>
      <c r="AQ7" s="418"/>
      <c r="AR7" s="418"/>
      <c r="AS7" s="418"/>
      <c r="AT7" s="418"/>
      <c r="AU7" s="418"/>
      <c r="AV7" s="418"/>
      <c r="AW7" s="418"/>
      <c r="AX7" s="418"/>
      <c r="AY7" s="418"/>
      <c r="AZ7" s="418"/>
      <c r="BA7" s="418"/>
      <c r="BB7" s="418"/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23"/>
    </row>
    <row r="8" spans="1:70" ht="1.5" customHeight="1" x14ac:dyDescent="0.3">
      <c r="A8" s="141"/>
      <c r="B8" s="146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8"/>
      <c r="BR8" s="23"/>
    </row>
    <row r="9" spans="1:70" ht="9" customHeight="1" x14ac:dyDescent="0.3">
      <c r="A9" s="141"/>
      <c r="B9" s="408" t="s">
        <v>180</v>
      </c>
      <c r="C9" s="409"/>
      <c r="D9" s="409"/>
      <c r="E9" s="410"/>
      <c r="F9" s="149"/>
      <c r="G9" s="149"/>
      <c r="H9" s="149"/>
      <c r="I9" s="149"/>
      <c r="J9" s="149"/>
      <c r="K9" s="150"/>
      <c r="L9" s="151"/>
      <c r="M9" s="408" t="s">
        <v>181</v>
      </c>
      <c r="N9" s="409"/>
      <c r="O9" s="409"/>
      <c r="P9" s="410"/>
      <c r="Q9" s="149"/>
      <c r="R9" s="149"/>
      <c r="S9" s="149"/>
      <c r="T9" s="149"/>
      <c r="U9" s="149"/>
      <c r="V9" s="150"/>
      <c r="W9" s="151"/>
      <c r="X9" s="408" t="s">
        <v>182</v>
      </c>
      <c r="Y9" s="409"/>
      <c r="Z9" s="409"/>
      <c r="AA9" s="410"/>
      <c r="AB9" s="149"/>
      <c r="AC9" s="149"/>
      <c r="AD9" s="149"/>
      <c r="AE9" s="149"/>
      <c r="AF9" s="149"/>
      <c r="AG9" s="150"/>
      <c r="AH9" s="147"/>
      <c r="AI9" s="408" t="s">
        <v>183</v>
      </c>
      <c r="AJ9" s="409"/>
      <c r="AK9" s="409"/>
      <c r="AL9" s="410"/>
      <c r="AM9" s="149"/>
      <c r="AN9" s="149"/>
      <c r="AO9" s="149"/>
      <c r="AP9" s="149"/>
      <c r="AQ9" s="149"/>
      <c r="AR9" s="150"/>
      <c r="AS9" s="147"/>
      <c r="AT9" s="408" t="s">
        <v>184</v>
      </c>
      <c r="AU9" s="409"/>
      <c r="AV9" s="409"/>
      <c r="AW9" s="410"/>
      <c r="AX9" s="149"/>
      <c r="AY9" s="149"/>
      <c r="AZ9" s="149"/>
      <c r="BA9" s="149"/>
      <c r="BB9" s="149"/>
      <c r="BC9" s="149"/>
      <c r="BD9" s="150"/>
      <c r="BE9" s="147"/>
      <c r="BF9" s="408" t="s">
        <v>185</v>
      </c>
      <c r="BG9" s="409"/>
      <c r="BH9" s="409"/>
      <c r="BI9" s="410"/>
      <c r="BJ9" s="149"/>
      <c r="BK9" s="149"/>
      <c r="BL9" s="149"/>
      <c r="BM9" s="149"/>
      <c r="BN9" s="149"/>
      <c r="BO9" s="149"/>
      <c r="BP9" s="149"/>
      <c r="BQ9" s="150"/>
      <c r="BR9" s="23"/>
    </row>
    <row r="10" spans="1:70" ht="9" customHeight="1" x14ac:dyDescent="0.3">
      <c r="A10" s="141"/>
      <c r="B10" s="146"/>
      <c r="C10" s="147"/>
      <c r="D10" s="147"/>
      <c r="E10" s="147"/>
      <c r="F10" s="147"/>
      <c r="G10" s="147"/>
      <c r="H10" s="147"/>
      <c r="I10" s="147"/>
      <c r="J10" s="147"/>
      <c r="K10" s="148"/>
      <c r="L10" s="151"/>
      <c r="M10" s="146"/>
      <c r="N10" s="147"/>
      <c r="O10" s="147"/>
      <c r="P10" s="147"/>
      <c r="Q10" s="147"/>
      <c r="R10" s="147"/>
      <c r="S10" s="147"/>
      <c r="T10" s="147"/>
      <c r="U10" s="147"/>
      <c r="V10" s="148"/>
      <c r="W10" s="151"/>
      <c r="X10" s="146"/>
      <c r="Y10" s="147"/>
      <c r="Z10" s="147"/>
      <c r="AA10" s="147"/>
      <c r="AB10" s="147"/>
      <c r="AC10" s="147"/>
      <c r="AD10" s="147"/>
      <c r="AE10" s="147"/>
      <c r="AF10" s="147"/>
      <c r="AG10" s="148"/>
      <c r="AH10" s="147"/>
      <c r="AI10" s="146"/>
      <c r="AJ10" s="147"/>
      <c r="AK10" s="147"/>
      <c r="AL10" s="147"/>
      <c r="AM10" s="147"/>
      <c r="AN10" s="147"/>
      <c r="AO10" s="147"/>
      <c r="AP10" s="147"/>
      <c r="AQ10" s="147"/>
      <c r="AR10" s="148"/>
      <c r="AS10" s="147"/>
      <c r="AT10" s="146"/>
      <c r="AU10" s="147"/>
      <c r="AV10" s="147"/>
      <c r="AW10" s="147"/>
      <c r="AX10" s="147"/>
      <c r="AY10" s="147"/>
      <c r="AZ10" s="147"/>
      <c r="BA10" s="147"/>
      <c r="BB10" s="147"/>
      <c r="BC10" s="147"/>
      <c r="BD10" s="148"/>
      <c r="BE10" s="147"/>
      <c r="BF10" s="146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8"/>
      <c r="BR10" s="23"/>
    </row>
    <row r="11" spans="1:70" ht="9" customHeight="1" x14ac:dyDescent="0.3">
      <c r="A11" s="141"/>
      <c r="B11" s="146"/>
      <c r="C11" s="147"/>
      <c r="D11" s="147"/>
      <c r="E11" s="147"/>
      <c r="F11" s="147"/>
      <c r="G11" s="147"/>
      <c r="H11" s="147"/>
      <c r="I11" s="147"/>
      <c r="J11" s="147"/>
      <c r="K11" s="148"/>
      <c r="L11" s="151"/>
      <c r="M11" s="146"/>
      <c r="N11" s="147"/>
      <c r="O11" s="147"/>
      <c r="P11" s="147"/>
      <c r="Q11" s="147"/>
      <c r="R11" s="147"/>
      <c r="S11" s="147"/>
      <c r="T11" s="147"/>
      <c r="U11" s="147"/>
      <c r="V11" s="148"/>
      <c r="W11" s="151"/>
      <c r="X11" s="146"/>
      <c r="Y11" s="147"/>
      <c r="Z11" s="147"/>
      <c r="AA11" s="147"/>
      <c r="AB11" s="147"/>
      <c r="AC11" s="147"/>
      <c r="AD11" s="147"/>
      <c r="AE11" s="147"/>
      <c r="AF11" s="147"/>
      <c r="AG11" s="148"/>
      <c r="AH11" s="147"/>
      <c r="AI11" s="146"/>
      <c r="AJ11" s="147"/>
      <c r="AK11" s="147"/>
      <c r="AL11" s="147"/>
      <c r="AM11" s="147"/>
      <c r="AN11" s="147"/>
      <c r="AO11" s="147"/>
      <c r="AP11" s="147"/>
      <c r="AQ11" s="147"/>
      <c r="AR11" s="148"/>
      <c r="AS11" s="147"/>
      <c r="AT11" s="146"/>
      <c r="AU11" s="147"/>
      <c r="AV11" s="147"/>
      <c r="AW11" s="147"/>
      <c r="AX11" s="147"/>
      <c r="AY11" s="147"/>
      <c r="AZ11" s="147"/>
      <c r="BA11" s="147"/>
      <c r="BB11" s="147"/>
      <c r="BC11" s="147"/>
      <c r="BD11" s="148"/>
      <c r="BE11" s="147"/>
      <c r="BF11" s="146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8"/>
      <c r="BR11" s="23"/>
    </row>
    <row r="12" spans="1:70" ht="9" customHeight="1" x14ac:dyDescent="0.3">
      <c r="A12" s="141"/>
      <c r="B12" s="146"/>
      <c r="C12" s="147"/>
      <c r="D12" s="147"/>
      <c r="E12" s="147"/>
      <c r="F12" s="147"/>
      <c r="G12" s="147"/>
      <c r="H12" s="147"/>
      <c r="I12" s="147"/>
      <c r="J12" s="147"/>
      <c r="K12" s="148"/>
      <c r="L12" s="151"/>
      <c r="M12" s="146"/>
      <c r="N12" s="147"/>
      <c r="O12" s="147"/>
      <c r="P12" s="147"/>
      <c r="Q12" s="147"/>
      <c r="R12" s="147"/>
      <c r="S12" s="147"/>
      <c r="T12" s="147"/>
      <c r="U12" s="147"/>
      <c r="V12" s="148"/>
      <c r="W12" s="151"/>
      <c r="X12" s="146"/>
      <c r="Y12" s="147"/>
      <c r="Z12" s="147"/>
      <c r="AA12" s="147"/>
      <c r="AB12" s="147"/>
      <c r="AC12" s="147"/>
      <c r="AD12" s="147"/>
      <c r="AE12" s="147"/>
      <c r="AF12" s="147"/>
      <c r="AG12" s="148"/>
      <c r="AH12" s="147"/>
      <c r="AI12" s="146"/>
      <c r="AJ12" s="147"/>
      <c r="AK12" s="147"/>
      <c r="AL12" s="147"/>
      <c r="AM12" s="147"/>
      <c r="AN12" s="147"/>
      <c r="AO12" s="147"/>
      <c r="AP12" s="147"/>
      <c r="AQ12" s="147"/>
      <c r="AR12" s="148"/>
      <c r="AS12" s="147"/>
      <c r="AT12" s="146"/>
      <c r="AU12" s="147"/>
      <c r="AV12" s="147"/>
      <c r="AW12" s="147"/>
      <c r="AX12" s="147"/>
      <c r="AY12" s="147"/>
      <c r="AZ12" s="147"/>
      <c r="BA12" s="147"/>
      <c r="BB12" s="147"/>
      <c r="BC12" s="147"/>
      <c r="BD12" s="148"/>
      <c r="BE12" s="147"/>
      <c r="BF12" s="146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8"/>
      <c r="BR12" s="23"/>
    </row>
    <row r="13" spans="1:70" ht="9" customHeight="1" x14ac:dyDescent="0.3">
      <c r="A13" s="141"/>
      <c r="B13" s="146"/>
      <c r="C13" s="147"/>
      <c r="D13" s="147"/>
      <c r="E13" s="147"/>
      <c r="F13" s="147"/>
      <c r="G13" s="147"/>
      <c r="H13" s="147"/>
      <c r="I13" s="147"/>
      <c r="J13" s="147"/>
      <c r="K13" s="148"/>
      <c r="L13" s="151"/>
      <c r="M13" s="146"/>
      <c r="N13" s="147"/>
      <c r="O13" s="147"/>
      <c r="P13" s="147"/>
      <c r="Q13" s="147"/>
      <c r="R13" s="147"/>
      <c r="S13" s="147"/>
      <c r="T13" s="147"/>
      <c r="U13" s="147"/>
      <c r="V13" s="148"/>
      <c r="W13" s="151"/>
      <c r="X13" s="146"/>
      <c r="Y13" s="147"/>
      <c r="Z13" s="147"/>
      <c r="AA13" s="147"/>
      <c r="AB13" s="147"/>
      <c r="AC13" s="147"/>
      <c r="AD13" s="147"/>
      <c r="AE13" s="147"/>
      <c r="AF13" s="147"/>
      <c r="AG13" s="148"/>
      <c r="AH13" s="147"/>
      <c r="AI13" s="146"/>
      <c r="AJ13" s="147"/>
      <c r="AK13" s="147"/>
      <c r="AL13" s="147"/>
      <c r="AM13" s="147"/>
      <c r="AN13" s="147"/>
      <c r="AO13" s="147"/>
      <c r="AP13" s="147"/>
      <c r="AQ13" s="147"/>
      <c r="AR13" s="148"/>
      <c r="AS13" s="147"/>
      <c r="AT13" s="146"/>
      <c r="AU13" s="147"/>
      <c r="AV13" s="147"/>
      <c r="AW13" s="147"/>
      <c r="AX13" s="147"/>
      <c r="AY13" s="147"/>
      <c r="AZ13" s="147"/>
      <c r="BA13" s="147"/>
      <c r="BB13" s="147"/>
      <c r="BC13" s="147"/>
      <c r="BD13" s="148"/>
      <c r="BE13" s="147"/>
      <c r="BF13" s="146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8"/>
      <c r="BR13" s="23"/>
    </row>
    <row r="14" spans="1:70" ht="9" customHeight="1" x14ac:dyDescent="0.3">
      <c r="A14" s="141"/>
      <c r="B14" s="146"/>
      <c r="C14" s="147"/>
      <c r="D14" s="147"/>
      <c r="E14" s="147"/>
      <c r="F14" s="147"/>
      <c r="G14" s="147"/>
      <c r="H14" s="147"/>
      <c r="I14" s="147"/>
      <c r="J14" s="147"/>
      <c r="K14" s="148"/>
      <c r="L14" s="151"/>
      <c r="M14" s="146"/>
      <c r="N14" s="147"/>
      <c r="O14" s="147"/>
      <c r="P14" s="147"/>
      <c r="Q14" s="147"/>
      <c r="R14" s="147"/>
      <c r="S14" s="147"/>
      <c r="T14" s="147"/>
      <c r="U14" s="147"/>
      <c r="V14" s="148"/>
      <c r="W14" s="151"/>
      <c r="X14" s="146"/>
      <c r="Y14" s="147"/>
      <c r="Z14" s="147"/>
      <c r="AA14" s="147"/>
      <c r="AB14" s="147"/>
      <c r="AC14" s="147"/>
      <c r="AD14" s="147"/>
      <c r="AE14" s="147"/>
      <c r="AF14" s="147"/>
      <c r="AG14" s="148"/>
      <c r="AH14" s="147"/>
      <c r="AI14" s="146"/>
      <c r="AJ14" s="147"/>
      <c r="AK14" s="147"/>
      <c r="AL14" s="147"/>
      <c r="AM14" s="147"/>
      <c r="AN14" s="147"/>
      <c r="AO14" s="147"/>
      <c r="AP14" s="147"/>
      <c r="AQ14" s="147"/>
      <c r="AR14" s="148"/>
      <c r="AS14" s="147"/>
      <c r="AT14" s="146"/>
      <c r="AU14" s="147"/>
      <c r="AV14" s="147"/>
      <c r="AW14" s="147"/>
      <c r="AX14" s="147"/>
      <c r="AY14" s="147"/>
      <c r="AZ14" s="147"/>
      <c r="BA14" s="147"/>
      <c r="BB14" s="147"/>
      <c r="BC14" s="147"/>
      <c r="BD14" s="148"/>
      <c r="BE14" s="147"/>
      <c r="BF14" s="146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8"/>
      <c r="BR14" s="23"/>
    </row>
    <row r="15" spans="1:70" ht="9" customHeight="1" x14ac:dyDescent="0.3">
      <c r="A15" s="141"/>
      <c r="B15" s="146"/>
      <c r="C15" s="147"/>
      <c r="D15" s="147"/>
      <c r="E15" s="147"/>
      <c r="F15" s="147"/>
      <c r="G15" s="147"/>
      <c r="H15" s="147"/>
      <c r="I15" s="147"/>
      <c r="J15" s="147"/>
      <c r="K15" s="148"/>
      <c r="L15" s="151"/>
      <c r="M15" s="146"/>
      <c r="N15" s="147"/>
      <c r="O15" s="147"/>
      <c r="P15" s="147"/>
      <c r="Q15" s="147"/>
      <c r="R15" s="147"/>
      <c r="S15" s="147"/>
      <c r="T15" s="147"/>
      <c r="U15" s="147"/>
      <c r="V15" s="148"/>
      <c r="W15" s="151"/>
      <c r="X15" s="146"/>
      <c r="Y15" s="147"/>
      <c r="Z15" s="147"/>
      <c r="AA15" s="147"/>
      <c r="AB15" s="147"/>
      <c r="AC15" s="147"/>
      <c r="AD15" s="147"/>
      <c r="AE15" s="147"/>
      <c r="AF15" s="147"/>
      <c r="AG15" s="148"/>
      <c r="AH15" s="147"/>
      <c r="AI15" s="146"/>
      <c r="AJ15" s="147"/>
      <c r="AK15" s="147"/>
      <c r="AL15" s="147"/>
      <c r="AM15" s="147"/>
      <c r="AN15" s="147"/>
      <c r="AO15" s="147"/>
      <c r="AP15" s="147"/>
      <c r="AQ15" s="147"/>
      <c r="AR15" s="148"/>
      <c r="AS15" s="147"/>
      <c r="AT15" s="146"/>
      <c r="AU15" s="147"/>
      <c r="AV15" s="147"/>
      <c r="AW15" s="147"/>
      <c r="AX15" s="147"/>
      <c r="AY15" s="147"/>
      <c r="AZ15" s="147"/>
      <c r="BA15" s="147"/>
      <c r="BB15" s="147"/>
      <c r="BC15" s="147"/>
      <c r="BD15" s="148"/>
      <c r="BE15" s="147"/>
      <c r="BF15" s="146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8"/>
      <c r="BR15" s="23"/>
    </row>
    <row r="16" spans="1:70" ht="9" customHeight="1" x14ac:dyDescent="0.3">
      <c r="A16" s="141"/>
      <c r="B16" s="146"/>
      <c r="C16" s="147"/>
      <c r="D16" s="147"/>
      <c r="E16" s="147"/>
      <c r="F16" s="147"/>
      <c r="G16" s="147"/>
      <c r="H16" s="147"/>
      <c r="I16" s="147"/>
      <c r="J16" s="147"/>
      <c r="K16" s="148"/>
      <c r="L16" s="151"/>
      <c r="M16" s="146"/>
      <c r="N16" s="147"/>
      <c r="O16" s="147"/>
      <c r="P16" s="147"/>
      <c r="Q16" s="147"/>
      <c r="R16" s="147"/>
      <c r="S16" s="147"/>
      <c r="T16" s="147"/>
      <c r="U16" s="147"/>
      <c r="V16" s="148"/>
      <c r="W16" s="151"/>
      <c r="X16" s="146"/>
      <c r="Y16" s="147"/>
      <c r="Z16" s="147"/>
      <c r="AA16" s="147"/>
      <c r="AB16" s="147"/>
      <c r="AC16" s="147"/>
      <c r="AD16" s="147"/>
      <c r="AE16" s="147"/>
      <c r="AF16" s="147"/>
      <c r="AG16" s="148"/>
      <c r="AH16" s="147"/>
      <c r="AI16" s="146"/>
      <c r="AJ16" s="147"/>
      <c r="AK16" s="147"/>
      <c r="AL16" s="147"/>
      <c r="AM16" s="147"/>
      <c r="AN16" s="147"/>
      <c r="AO16" s="147"/>
      <c r="AP16" s="147"/>
      <c r="AQ16" s="147"/>
      <c r="AR16" s="148"/>
      <c r="AS16" s="147"/>
      <c r="AT16" s="146"/>
      <c r="AU16" s="147"/>
      <c r="AV16" s="147"/>
      <c r="AW16" s="147"/>
      <c r="AX16" s="147"/>
      <c r="AY16" s="147"/>
      <c r="AZ16" s="147"/>
      <c r="BA16" s="147"/>
      <c r="BB16" s="147"/>
      <c r="BC16" s="147"/>
      <c r="BD16" s="148"/>
      <c r="BE16" s="147"/>
      <c r="BF16" s="146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8"/>
      <c r="BR16" s="23"/>
    </row>
    <row r="17" spans="1:70" ht="9" customHeight="1" x14ac:dyDescent="0.3">
      <c r="A17" s="141"/>
      <c r="B17" s="146"/>
      <c r="C17" s="147"/>
      <c r="D17" s="147"/>
      <c r="E17" s="147"/>
      <c r="F17" s="147"/>
      <c r="G17" s="147"/>
      <c r="H17" s="147"/>
      <c r="I17" s="147"/>
      <c r="J17" s="147"/>
      <c r="K17" s="148"/>
      <c r="L17" s="151"/>
      <c r="M17" s="146"/>
      <c r="N17" s="147"/>
      <c r="O17" s="147"/>
      <c r="P17" s="147"/>
      <c r="Q17" s="147"/>
      <c r="R17" s="147"/>
      <c r="S17" s="147"/>
      <c r="T17" s="147"/>
      <c r="U17" s="147"/>
      <c r="V17" s="148"/>
      <c r="W17" s="151"/>
      <c r="X17" s="146"/>
      <c r="Y17" s="147"/>
      <c r="Z17" s="147"/>
      <c r="AA17" s="147"/>
      <c r="AB17" s="147"/>
      <c r="AC17" s="147"/>
      <c r="AD17" s="147"/>
      <c r="AE17" s="147"/>
      <c r="AF17" s="147"/>
      <c r="AG17" s="148"/>
      <c r="AH17" s="147"/>
      <c r="AI17" s="146"/>
      <c r="AJ17" s="147"/>
      <c r="AK17" s="147"/>
      <c r="AL17" s="147"/>
      <c r="AM17" s="147"/>
      <c r="AN17" s="147"/>
      <c r="AO17" s="147"/>
      <c r="AP17" s="147"/>
      <c r="AQ17" s="147"/>
      <c r="AR17" s="148"/>
      <c r="AS17" s="147"/>
      <c r="AT17" s="146"/>
      <c r="AU17" s="147"/>
      <c r="AV17" s="147"/>
      <c r="AW17" s="147"/>
      <c r="AX17" s="147"/>
      <c r="AY17" s="147"/>
      <c r="AZ17" s="147"/>
      <c r="BA17" s="147"/>
      <c r="BB17" s="147"/>
      <c r="BC17" s="147"/>
      <c r="BD17" s="148"/>
      <c r="BE17" s="147"/>
      <c r="BF17" s="146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8"/>
      <c r="BR17" s="23"/>
    </row>
    <row r="18" spans="1:70" ht="9" customHeight="1" x14ac:dyDescent="0.3">
      <c r="A18" s="141"/>
      <c r="B18" s="146"/>
      <c r="C18" s="147"/>
      <c r="D18" s="147"/>
      <c r="E18" s="147"/>
      <c r="F18" s="147"/>
      <c r="G18" s="147"/>
      <c r="H18" s="147"/>
      <c r="I18" s="147"/>
      <c r="J18" s="147"/>
      <c r="K18" s="148"/>
      <c r="L18" s="151"/>
      <c r="M18" s="146"/>
      <c r="N18" s="147"/>
      <c r="O18" s="147"/>
      <c r="P18" s="147"/>
      <c r="Q18" s="147"/>
      <c r="R18" s="147"/>
      <c r="S18" s="147"/>
      <c r="T18" s="147"/>
      <c r="U18" s="147"/>
      <c r="V18" s="148"/>
      <c r="W18" s="151"/>
      <c r="X18" s="146"/>
      <c r="Y18" s="147"/>
      <c r="Z18" s="147"/>
      <c r="AA18" s="147"/>
      <c r="AB18" s="147"/>
      <c r="AC18" s="147"/>
      <c r="AD18" s="147"/>
      <c r="AE18" s="147"/>
      <c r="AF18" s="147"/>
      <c r="AG18" s="148"/>
      <c r="AH18" s="147"/>
      <c r="AI18" s="146"/>
      <c r="AJ18" s="147"/>
      <c r="AK18" s="147"/>
      <c r="AL18" s="147"/>
      <c r="AM18" s="147"/>
      <c r="AN18" s="147"/>
      <c r="AO18" s="147"/>
      <c r="AP18" s="147"/>
      <c r="AQ18" s="147"/>
      <c r="AR18" s="148"/>
      <c r="AS18" s="147"/>
      <c r="AT18" s="146"/>
      <c r="AU18" s="147"/>
      <c r="AV18" s="147"/>
      <c r="AW18" s="147"/>
      <c r="AX18" s="147"/>
      <c r="AY18" s="147"/>
      <c r="AZ18" s="147"/>
      <c r="BA18" s="147"/>
      <c r="BB18" s="147"/>
      <c r="BC18" s="147"/>
      <c r="BD18" s="148"/>
      <c r="BE18" s="147"/>
      <c r="BF18" s="146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8"/>
      <c r="BR18" s="23"/>
    </row>
    <row r="19" spans="1:70" ht="9" customHeight="1" x14ac:dyDescent="0.3">
      <c r="A19" s="141"/>
      <c r="B19" s="146"/>
      <c r="C19" s="147"/>
      <c r="D19" s="147"/>
      <c r="E19" s="147"/>
      <c r="F19" s="147"/>
      <c r="G19" s="147"/>
      <c r="H19" s="147"/>
      <c r="I19" s="147"/>
      <c r="J19" s="147"/>
      <c r="K19" s="148"/>
      <c r="L19" s="151"/>
      <c r="M19" s="146"/>
      <c r="N19" s="147"/>
      <c r="O19" s="147"/>
      <c r="P19" s="147"/>
      <c r="Q19" s="147"/>
      <c r="R19" s="147"/>
      <c r="S19" s="147"/>
      <c r="T19" s="147"/>
      <c r="U19" s="147"/>
      <c r="V19" s="148"/>
      <c r="W19" s="151"/>
      <c r="X19" s="146"/>
      <c r="Y19" s="147"/>
      <c r="Z19" s="147"/>
      <c r="AA19" s="147"/>
      <c r="AB19" s="147"/>
      <c r="AC19" s="147"/>
      <c r="AD19" s="147"/>
      <c r="AE19" s="147"/>
      <c r="AF19" s="147"/>
      <c r="AG19" s="148"/>
      <c r="AH19" s="147"/>
      <c r="AI19" s="146"/>
      <c r="AJ19" s="147"/>
      <c r="AK19" s="147"/>
      <c r="AL19" s="147"/>
      <c r="AM19" s="147"/>
      <c r="AN19" s="147"/>
      <c r="AO19" s="147"/>
      <c r="AP19" s="147"/>
      <c r="AQ19" s="147"/>
      <c r="AR19" s="148"/>
      <c r="AS19" s="147"/>
      <c r="AT19" s="146"/>
      <c r="AU19" s="147"/>
      <c r="AV19" s="147"/>
      <c r="AW19" s="147"/>
      <c r="AX19" s="147"/>
      <c r="AY19" s="147"/>
      <c r="AZ19" s="147"/>
      <c r="BA19" s="147"/>
      <c r="BB19" s="147"/>
      <c r="BC19" s="147"/>
      <c r="BD19" s="148"/>
      <c r="BE19" s="147"/>
      <c r="BF19" s="146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8"/>
      <c r="BR19" s="23"/>
    </row>
    <row r="20" spans="1:70" ht="9" customHeight="1" x14ac:dyDescent="0.3">
      <c r="A20" s="141"/>
      <c r="B20" s="403" t="s">
        <v>214</v>
      </c>
      <c r="C20" s="400"/>
      <c r="D20" s="400"/>
      <c r="E20" s="400"/>
      <c r="F20" s="400"/>
      <c r="G20" s="400"/>
      <c r="H20" s="400"/>
      <c r="I20" s="400"/>
      <c r="J20" s="400"/>
      <c r="K20" s="402"/>
      <c r="L20" s="152"/>
      <c r="M20" s="403" t="s">
        <v>215</v>
      </c>
      <c r="N20" s="400"/>
      <c r="O20" s="400"/>
      <c r="P20" s="400"/>
      <c r="Q20" s="400"/>
      <c r="R20" s="400"/>
      <c r="S20" s="400"/>
      <c r="T20" s="400"/>
      <c r="U20" s="400"/>
      <c r="V20" s="402"/>
      <c r="W20" s="152"/>
      <c r="X20" s="403" t="s">
        <v>216</v>
      </c>
      <c r="Y20" s="400"/>
      <c r="Z20" s="400"/>
      <c r="AA20" s="400"/>
      <c r="AB20" s="400"/>
      <c r="AC20" s="400"/>
      <c r="AD20" s="400"/>
      <c r="AE20" s="400"/>
      <c r="AF20" s="400"/>
      <c r="AG20" s="402"/>
      <c r="AH20" s="152"/>
      <c r="AI20" s="403" t="s">
        <v>217</v>
      </c>
      <c r="AJ20" s="400"/>
      <c r="AK20" s="400"/>
      <c r="AL20" s="400"/>
      <c r="AM20" s="400"/>
      <c r="AN20" s="400"/>
      <c r="AO20" s="400"/>
      <c r="AP20" s="400"/>
      <c r="AQ20" s="400"/>
      <c r="AR20" s="402"/>
      <c r="AS20" s="152"/>
      <c r="AT20" s="403" t="s">
        <v>218</v>
      </c>
      <c r="AU20" s="400"/>
      <c r="AV20" s="400"/>
      <c r="AW20" s="400"/>
      <c r="AX20" s="400"/>
      <c r="AY20" s="400"/>
      <c r="AZ20" s="400"/>
      <c r="BA20" s="400"/>
      <c r="BB20" s="400"/>
      <c r="BC20" s="400"/>
      <c r="BD20" s="402"/>
      <c r="BE20" s="152"/>
      <c r="BF20" s="403" t="s">
        <v>213</v>
      </c>
      <c r="BG20" s="400"/>
      <c r="BH20" s="400"/>
      <c r="BI20" s="400"/>
      <c r="BJ20" s="400"/>
      <c r="BK20" s="400"/>
      <c r="BL20" s="400"/>
      <c r="BM20" s="400"/>
      <c r="BN20" s="400"/>
      <c r="BO20" s="400"/>
      <c r="BP20" s="400"/>
      <c r="BQ20" s="402"/>
      <c r="BR20" s="23"/>
    </row>
    <row r="21" spans="1:70" s="5" customFormat="1" ht="12" customHeight="1" x14ac:dyDescent="0.3">
      <c r="A21" s="153"/>
      <c r="B21" s="323" t="s">
        <v>700</v>
      </c>
      <c r="C21" s="323"/>
      <c r="D21" s="323"/>
      <c r="E21" s="323"/>
      <c r="F21" s="323"/>
      <c r="G21" s="323"/>
      <c r="H21" s="324">
        <f>CEILING(2034*B4,1)</f>
        <v>2848</v>
      </c>
      <c r="I21" s="324"/>
      <c r="J21" s="324"/>
      <c r="K21" s="324"/>
      <c r="L21" s="83"/>
      <c r="M21" s="323" t="s">
        <v>701</v>
      </c>
      <c r="N21" s="323"/>
      <c r="O21" s="323"/>
      <c r="P21" s="323"/>
      <c r="Q21" s="323"/>
      <c r="R21" s="323"/>
      <c r="S21" s="324">
        <f>CEILING(3298*B4,1)</f>
        <v>4618</v>
      </c>
      <c r="T21" s="324"/>
      <c r="U21" s="324"/>
      <c r="V21" s="324"/>
      <c r="W21" s="83"/>
      <c r="X21" s="323" t="s">
        <v>702</v>
      </c>
      <c r="Y21" s="323"/>
      <c r="Z21" s="323"/>
      <c r="AA21" s="323"/>
      <c r="AB21" s="323"/>
      <c r="AC21" s="323"/>
      <c r="AD21" s="324">
        <f>CEILING(5037*B4,1)</f>
        <v>7052</v>
      </c>
      <c r="AE21" s="324"/>
      <c r="AF21" s="324"/>
      <c r="AG21" s="324"/>
      <c r="AH21" s="85"/>
      <c r="AI21" s="323" t="s">
        <v>703</v>
      </c>
      <c r="AJ21" s="323"/>
      <c r="AK21" s="323"/>
      <c r="AL21" s="323"/>
      <c r="AM21" s="323"/>
      <c r="AN21" s="323"/>
      <c r="AO21" s="324">
        <f>CEILING(6633*B4,1)</f>
        <v>9287</v>
      </c>
      <c r="AP21" s="324"/>
      <c r="AQ21" s="324"/>
      <c r="AR21" s="324"/>
      <c r="AS21" s="85"/>
      <c r="AT21" s="323" t="s">
        <v>704</v>
      </c>
      <c r="AU21" s="323"/>
      <c r="AV21" s="323"/>
      <c r="AW21" s="323"/>
      <c r="AX21" s="323"/>
      <c r="AY21" s="323"/>
      <c r="AZ21" s="323"/>
      <c r="BA21" s="324">
        <f>CEILING(8295*B4,1)</f>
        <v>11613</v>
      </c>
      <c r="BB21" s="324"/>
      <c r="BC21" s="324"/>
      <c r="BD21" s="324"/>
      <c r="BE21" s="85"/>
      <c r="BF21" s="323" t="s">
        <v>705</v>
      </c>
      <c r="BG21" s="323"/>
      <c r="BH21" s="323"/>
      <c r="BI21" s="323"/>
      <c r="BJ21" s="323"/>
      <c r="BK21" s="323"/>
      <c r="BL21" s="323"/>
      <c r="BM21" s="323"/>
      <c r="BN21" s="324">
        <f>CEILING(9852*B4,1)</f>
        <v>13793</v>
      </c>
      <c r="BO21" s="324"/>
      <c r="BP21" s="324"/>
      <c r="BQ21" s="324"/>
      <c r="BR21" s="64"/>
    </row>
    <row r="22" spans="1:70" ht="1.95" customHeight="1" x14ac:dyDescent="0.3">
      <c r="A22" s="141"/>
      <c r="B22" s="154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8"/>
      <c r="BR22" s="23"/>
    </row>
    <row r="23" spans="1:70" ht="9" customHeight="1" x14ac:dyDescent="0.3">
      <c r="A23" s="141"/>
      <c r="B23" s="408" t="s">
        <v>186</v>
      </c>
      <c r="C23" s="409"/>
      <c r="D23" s="409"/>
      <c r="E23" s="410"/>
      <c r="F23" s="149"/>
      <c r="G23" s="149"/>
      <c r="H23" s="149"/>
      <c r="I23" s="149"/>
      <c r="J23" s="149"/>
      <c r="K23" s="150"/>
      <c r="L23" s="151"/>
      <c r="M23" s="408" t="s">
        <v>187</v>
      </c>
      <c r="N23" s="409"/>
      <c r="O23" s="409"/>
      <c r="P23" s="410"/>
      <c r="Q23" s="149"/>
      <c r="R23" s="149"/>
      <c r="S23" s="149"/>
      <c r="T23" s="149"/>
      <c r="U23" s="149"/>
      <c r="V23" s="150"/>
      <c r="W23" s="151"/>
      <c r="X23" s="408" t="s">
        <v>188</v>
      </c>
      <c r="Y23" s="409"/>
      <c r="Z23" s="409"/>
      <c r="AA23" s="410"/>
      <c r="AB23" s="149"/>
      <c r="AC23" s="149"/>
      <c r="AD23" s="149"/>
      <c r="AE23" s="149"/>
      <c r="AF23" s="149"/>
      <c r="AG23" s="150"/>
      <c r="AH23" s="147"/>
      <c r="AI23" s="408" t="s">
        <v>189</v>
      </c>
      <c r="AJ23" s="409"/>
      <c r="AK23" s="409"/>
      <c r="AL23" s="410"/>
      <c r="AM23" s="149"/>
      <c r="AN23" s="149"/>
      <c r="AO23" s="149"/>
      <c r="AP23" s="149"/>
      <c r="AQ23" s="149"/>
      <c r="AR23" s="150"/>
      <c r="AS23" s="147"/>
      <c r="AT23" s="408" t="s">
        <v>190</v>
      </c>
      <c r="AU23" s="409"/>
      <c r="AV23" s="409"/>
      <c r="AW23" s="410"/>
      <c r="AX23" s="149"/>
      <c r="AY23" s="149"/>
      <c r="AZ23" s="149"/>
      <c r="BA23" s="149"/>
      <c r="BB23" s="149"/>
      <c r="BC23" s="149"/>
      <c r="BD23" s="150"/>
      <c r="BE23" s="147"/>
      <c r="BF23" s="408" t="s">
        <v>191</v>
      </c>
      <c r="BG23" s="409"/>
      <c r="BH23" s="409"/>
      <c r="BI23" s="410"/>
      <c r="BJ23" s="149"/>
      <c r="BK23" s="149"/>
      <c r="BL23" s="149"/>
      <c r="BM23" s="149"/>
      <c r="BN23" s="149"/>
      <c r="BO23" s="149"/>
      <c r="BP23" s="149"/>
      <c r="BQ23" s="150"/>
      <c r="BR23" s="23"/>
    </row>
    <row r="24" spans="1:70" ht="9" customHeight="1" x14ac:dyDescent="0.3">
      <c r="A24" s="141"/>
      <c r="B24" s="146"/>
      <c r="C24" s="147"/>
      <c r="D24" s="147"/>
      <c r="E24" s="147"/>
      <c r="F24" s="147"/>
      <c r="G24" s="147"/>
      <c r="H24" s="147"/>
      <c r="I24" s="147"/>
      <c r="J24" s="147"/>
      <c r="K24" s="148"/>
      <c r="L24" s="147"/>
      <c r="M24" s="146"/>
      <c r="N24" s="147"/>
      <c r="O24" s="147"/>
      <c r="P24" s="147"/>
      <c r="Q24" s="147"/>
      <c r="R24" s="147"/>
      <c r="S24" s="147"/>
      <c r="T24" s="147"/>
      <c r="U24" s="147"/>
      <c r="V24" s="148"/>
      <c r="W24" s="147"/>
      <c r="X24" s="146"/>
      <c r="Y24" s="147"/>
      <c r="Z24" s="147"/>
      <c r="AA24" s="147"/>
      <c r="AB24" s="147"/>
      <c r="AC24" s="147"/>
      <c r="AD24" s="147"/>
      <c r="AE24" s="147"/>
      <c r="AF24" s="147"/>
      <c r="AG24" s="148"/>
      <c r="AH24" s="147"/>
      <c r="AI24" s="146"/>
      <c r="AJ24" s="147"/>
      <c r="AK24" s="147"/>
      <c r="AL24" s="147"/>
      <c r="AM24" s="147"/>
      <c r="AN24" s="147"/>
      <c r="AO24" s="147"/>
      <c r="AP24" s="147"/>
      <c r="AQ24" s="147"/>
      <c r="AR24" s="148"/>
      <c r="AS24" s="147"/>
      <c r="AT24" s="146"/>
      <c r="AU24" s="147"/>
      <c r="AV24" s="147"/>
      <c r="AW24" s="147"/>
      <c r="AX24" s="147"/>
      <c r="AY24" s="147"/>
      <c r="AZ24" s="147"/>
      <c r="BA24" s="147"/>
      <c r="BB24" s="147"/>
      <c r="BC24" s="147"/>
      <c r="BD24" s="148"/>
      <c r="BE24" s="147"/>
      <c r="BF24" s="146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8"/>
      <c r="BR24" s="23"/>
    </row>
    <row r="25" spans="1:70" ht="9" customHeight="1" x14ac:dyDescent="0.3">
      <c r="A25" s="141"/>
      <c r="B25" s="146"/>
      <c r="C25" s="147"/>
      <c r="D25" s="147"/>
      <c r="E25" s="147"/>
      <c r="F25" s="147"/>
      <c r="G25" s="147"/>
      <c r="H25" s="147"/>
      <c r="I25" s="147"/>
      <c r="J25" s="147"/>
      <c r="K25" s="148"/>
      <c r="L25" s="147"/>
      <c r="M25" s="146"/>
      <c r="N25" s="147"/>
      <c r="O25" s="147"/>
      <c r="P25" s="147"/>
      <c r="Q25" s="147"/>
      <c r="R25" s="147"/>
      <c r="S25" s="147"/>
      <c r="T25" s="147"/>
      <c r="U25" s="147"/>
      <c r="V25" s="148"/>
      <c r="W25" s="147"/>
      <c r="X25" s="146"/>
      <c r="Y25" s="147"/>
      <c r="Z25" s="147"/>
      <c r="AA25" s="147"/>
      <c r="AB25" s="147"/>
      <c r="AC25" s="147"/>
      <c r="AD25" s="147"/>
      <c r="AE25" s="147"/>
      <c r="AF25" s="147"/>
      <c r="AG25" s="148"/>
      <c r="AH25" s="147"/>
      <c r="AI25" s="146"/>
      <c r="AJ25" s="147"/>
      <c r="AK25" s="147"/>
      <c r="AL25" s="147"/>
      <c r="AM25" s="147"/>
      <c r="AN25" s="147"/>
      <c r="AO25" s="147"/>
      <c r="AP25" s="147"/>
      <c r="AQ25" s="147"/>
      <c r="AR25" s="148"/>
      <c r="AS25" s="147"/>
      <c r="AT25" s="146"/>
      <c r="AU25" s="147"/>
      <c r="AV25" s="147"/>
      <c r="AW25" s="147"/>
      <c r="AX25" s="147"/>
      <c r="AY25" s="147"/>
      <c r="AZ25" s="147"/>
      <c r="BA25" s="147"/>
      <c r="BB25" s="147"/>
      <c r="BC25" s="147"/>
      <c r="BD25" s="148"/>
      <c r="BE25" s="147"/>
      <c r="BF25" s="146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8"/>
      <c r="BR25" s="23"/>
    </row>
    <row r="26" spans="1:70" ht="9" customHeight="1" x14ac:dyDescent="0.3">
      <c r="A26" s="141"/>
      <c r="B26" s="146"/>
      <c r="C26" s="147"/>
      <c r="D26" s="147"/>
      <c r="E26" s="147"/>
      <c r="F26" s="147"/>
      <c r="G26" s="147"/>
      <c r="H26" s="147"/>
      <c r="I26" s="147"/>
      <c r="J26" s="147"/>
      <c r="K26" s="148"/>
      <c r="L26" s="147"/>
      <c r="M26" s="146"/>
      <c r="N26" s="147"/>
      <c r="O26" s="147"/>
      <c r="P26" s="147"/>
      <c r="Q26" s="147"/>
      <c r="R26" s="147"/>
      <c r="S26" s="147"/>
      <c r="T26" s="147"/>
      <c r="U26" s="147"/>
      <c r="V26" s="148"/>
      <c r="W26" s="147"/>
      <c r="X26" s="146"/>
      <c r="Y26" s="147"/>
      <c r="Z26" s="147"/>
      <c r="AA26" s="147"/>
      <c r="AB26" s="147"/>
      <c r="AC26" s="147"/>
      <c r="AD26" s="147"/>
      <c r="AE26" s="147"/>
      <c r="AF26" s="147"/>
      <c r="AG26" s="148"/>
      <c r="AH26" s="147"/>
      <c r="AI26" s="146"/>
      <c r="AJ26" s="147"/>
      <c r="AK26" s="147"/>
      <c r="AL26" s="147"/>
      <c r="AM26" s="147"/>
      <c r="AN26" s="147"/>
      <c r="AO26" s="147"/>
      <c r="AP26" s="147"/>
      <c r="AQ26" s="147"/>
      <c r="AR26" s="148"/>
      <c r="AS26" s="147"/>
      <c r="AT26" s="146"/>
      <c r="AU26" s="147"/>
      <c r="AV26" s="147"/>
      <c r="AW26" s="147"/>
      <c r="AX26" s="147"/>
      <c r="AY26" s="147"/>
      <c r="AZ26" s="147"/>
      <c r="BA26" s="147"/>
      <c r="BB26" s="147"/>
      <c r="BC26" s="147"/>
      <c r="BD26" s="148"/>
      <c r="BE26" s="147"/>
      <c r="BF26" s="146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8"/>
      <c r="BR26" s="23"/>
    </row>
    <row r="27" spans="1:70" ht="9" customHeight="1" x14ac:dyDescent="0.3">
      <c r="A27" s="141"/>
      <c r="B27" s="146"/>
      <c r="C27" s="147"/>
      <c r="D27" s="147"/>
      <c r="E27" s="147"/>
      <c r="F27" s="147"/>
      <c r="G27" s="147"/>
      <c r="H27" s="147"/>
      <c r="I27" s="147"/>
      <c r="J27" s="147"/>
      <c r="K27" s="148"/>
      <c r="L27" s="147"/>
      <c r="M27" s="146"/>
      <c r="N27" s="147"/>
      <c r="O27" s="147"/>
      <c r="P27" s="147"/>
      <c r="Q27" s="147"/>
      <c r="R27" s="147"/>
      <c r="S27" s="147"/>
      <c r="T27" s="147"/>
      <c r="U27" s="147"/>
      <c r="V27" s="148"/>
      <c r="W27" s="147"/>
      <c r="X27" s="146"/>
      <c r="Y27" s="147"/>
      <c r="Z27" s="147"/>
      <c r="AA27" s="147"/>
      <c r="AB27" s="147"/>
      <c r="AC27" s="147"/>
      <c r="AD27" s="147"/>
      <c r="AE27" s="147"/>
      <c r="AF27" s="147"/>
      <c r="AG27" s="148"/>
      <c r="AH27" s="147"/>
      <c r="AI27" s="146"/>
      <c r="AJ27" s="147"/>
      <c r="AK27" s="147"/>
      <c r="AL27" s="147"/>
      <c r="AM27" s="147"/>
      <c r="AN27" s="147"/>
      <c r="AO27" s="147"/>
      <c r="AP27" s="147"/>
      <c r="AQ27" s="147"/>
      <c r="AR27" s="148"/>
      <c r="AS27" s="147"/>
      <c r="AT27" s="146"/>
      <c r="AU27" s="147"/>
      <c r="AV27" s="147"/>
      <c r="AW27" s="147"/>
      <c r="AX27" s="147"/>
      <c r="AY27" s="147"/>
      <c r="AZ27" s="147"/>
      <c r="BA27" s="147"/>
      <c r="BB27" s="147"/>
      <c r="BC27" s="147"/>
      <c r="BD27" s="148"/>
      <c r="BE27" s="147"/>
      <c r="BF27" s="146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8"/>
      <c r="BR27" s="23"/>
    </row>
    <row r="28" spans="1:70" ht="9" customHeight="1" x14ac:dyDescent="0.3">
      <c r="A28" s="141"/>
      <c r="B28" s="146"/>
      <c r="C28" s="147"/>
      <c r="D28" s="147"/>
      <c r="E28" s="147"/>
      <c r="F28" s="147"/>
      <c r="G28" s="147"/>
      <c r="H28" s="147"/>
      <c r="I28" s="147"/>
      <c r="J28" s="147"/>
      <c r="K28" s="148"/>
      <c r="L28" s="147"/>
      <c r="M28" s="146"/>
      <c r="N28" s="147"/>
      <c r="O28" s="147"/>
      <c r="P28" s="147"/>
      <c r="Q28" s="147"/>
      <c r="R28" s="147"/>
      <c r="S28" s="147"/>
      <c r="T28" s="147"/>
      <c r="U28" s="147"/>
      <c r="V28" s="148"/>
      <c r="W28" s="147"/>
      <c r="X28" s="146"/>
      <c r="Y28" s="147"/>
      <c r="Z28" s="147"/>
      <c r="AA28" s="147"/>
      <c r="AB28" s="147"/>
      <c r="AC28" s="147"/>
      <c r="AD28" s="147"/>
      <c r="AE28" s="147"/>
      <c r="AF28" s="147"/>
      <c r="AG28" s="148"/>
      <c r="AH28" s="147"/>
      <c r="AI28" s="146"/>
      <c r="AJ28" s="147"/>
      <c r="AK28" s="147"/>
      <c r="AL28" s="147"/>
      <c r="AM28" s="147"/>
      <c r="AN28" s="147"/>
      <c r="AO28" s="147"/>
      <c r="AP28" s="147"/>
      <c r="AQ28" s="147"/>
      <c r="AR28" s="148"/>
      <c r="AS28" s="147"/>
      <c r="AT28" s="146"/>
      <c r="AU28" s="147"/>
      <c r="AV28" s="147"/>
      <c r="AW28" s="147"/>
      <c r="AX28" s="147"/>
      <c r="AY28" s="147"/>
      <c r="AZ28" s="147"/>
      <c r="BA28" s="147"/>
      <c r="BB28" s="147"/>
      <c r="BC28" s="147"/>
      <c r="BD28" s="148"/>
      <c r="BE28" s="147"/>
      <c r="BF28" s="146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8"/>
      <c r="BR28" s="23"/>
    </row>
    <row r="29" spans="1:70" ht="9" customHeight="1" x14ac:dyDescent="0.3">
      <c r="A29" s="141"/>
      <c r="B29" s="146"/>
      <c r="C29" s="147"/>
      <c r="D29" s="147"/>
      <c r="E29" s="147"/>
      <c r="F29" s="147"/>
      <c r="G29" s="147"/>
      <c r="H29" s="147"/>
      <c r="I29" s="147"/>
      <c r="J29" s="147"/>
      <c r="K29" s="148"/>
      <c r="L29" s="147"/>
      <c r="M29" s="146"/>
      <c r="N29" s="147"/>
      <c r="O29" s="147"/>
      <c r="P29" s="147"/>
      <c r="Q29" s="147"/>
      <c r="R29" s="147"/>
      <c r="S29" s="147"/>
      <c r="T29" s="147"/>
      <c r="U29" s="147"/>
      <c r="V29" s="148"/>
      <c r="W29" s="147"/>
      <c r="X29" s="146"/>
      <c r="Y29" s="147"/>
      <c r="Z29" s="147"/>
      <c r="AA29" s="147"/>
      <c r="AB29" s="147"/>
      <c r="AC29" s="147"/>
      <c r="AD29" s="147"/>
      <c r="AE29" s="147"/>
      <c r="AF29" s="147"/>
      <c r="AG29" s="148"/>
      <c r="AH29" s="147"/>
      <c r="AI29" s="146"/>
      <c r="AJ29" s="147"/>
      <c r="AK29" s="147"/>
      <c r="AL29" s="147"/>
      <c r="AM29" s="147"/>
      <c r="AN29" s="147"/>
      <c r="AO29" s="147"/>
      <c r="AP29" s="147"/>
      <c r="AQ29" s="147"/>
      <c r="AR29" s="148"/>
      <c r="AS29" s="147"/>
      <c r="AT29" s="146"/>
      <c r="AU29" s="147"/>
      <c r="AV29" s="147"/>
      <c r="AW29" s="147"/>
      <c r="AX29" s="147"/>
      <c r="AY29" s="147"/>
      <c r="AZ29" s="147"/>
      <c r="BA29" s="147"/>
      <c r="BB29" s="147"/>
      <c r="BC29" s="147"/>
      <c r="BD29" s="148"/>
      <c r="BE29" s="147"/>
      <c r="BF29" s="146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8"/>
      <c r="BR29" s="23"/>
    </row>
    <row r="30" spans="1:70" ht="9" customHeight="1" x14ac:dyDescent="0.3">
      <c r="A30" s="141"/>
      <c r="B30" s="146"/>
      <c r="C30" s="147"/>
      <c r="D30" s="147"/>
      <c r="E30" s="147"/>
      <c r="F30" s="147"/>
      <c r="G30" s="147"/>
      <c r="H30" s="147"/>
      <c r="I30" s="147"/>
      <c r="J30" s="147"/>
      <c r="K30" s="148"/>
      <c r="L30" s="147"/>
      <c r="M30" s="146"/>
      <c r="N30" s="147"/>
      <c r="O30" s="147"/>
      <c r="P30" s="147"/>
      <c r="Q30" s="147"/>
      <c r="R30" s="147"/>
      <c r="S30" s="147"/>
      <c r="T30" s="147"/>
      <c r="U30" s="147"/>
      <c r="V30" s="148"/>
      <c r="W30" s="147"/>
      <c r="X30" s="146"/>
      <c r="Y30" s="147"/>
      <c r="Z30" s="147"/>
      <c r="AA30" s="147"/>
      <c r="AB30" s="147"/>
      <c r="AC30" s="147"/>
      <c r="AD30" s="147"/>
      <c r="AE30" s="147"/>
      <c r="AF30" s="147"/>
      <c r="AG30" s="148"/>
      <c r="AH30" s="147"/>
      <c r="AI30" s="146"/>
      <c r="AJ30" s="147"/>
      <c r="AK30" s="147"/>
      <c r="AL30" s="147"/>
      <c r="AM30" s="147"/>
      <c r="AN30" s="147"/>
      <c r="AO30" s="147"/>
      <c r="AP30" s="147"/>
      <c r="AQ30" s="147"/>
      <c r="AR30" s="148"/>
      <c r="AS30" s="147"/>
      <c r="AT30" s="146"/>
      <c r="AU30" s="147"/>
      <c r="AV30" s="147"/>
      <c r="AW30" s="147"/>
      <c r="AX30" s="147"/>
      <c r="AY30" s="147"/>
      <c r="AZ30" s="147"/>
      <c r="BA30" s="147"/>
      <c r="BB30" s="147"/>
      <c r="BC30" s="147"/>
      <c r="BD30" s="148"/>
      <c r="BE30" s="147"/>
      <c r="BF30" s="146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8"/>
      <c r="BR30" s="23"/>
    </row>
    <row r="31" spans="1:70" ht="9" customHeight="1" x14ac:dyDescent="0.3">
      <c r="A31" s="141"/>
      <c r="B31" s="146"/>
      <c r="C31" s="147"/>
      <c r="D31" s="147"/>
      <c r="E31" s="147"/>
      <c r="F31" s="147"/>
      <c r="G31" s="147"/>
      <c r="H31" s="147"/>
      <c r="I31" s="147"/>
      <c r="J31" s="147"/>
      <c r="K31" s="148"/>
      <c r="L31" s="147"/>
      <c r="M31" s="146"/>
      <c r="N31" s="147"/>
      <c r="O31" s="147"/>
      <c r="P31" s="147"/>
      <c r="Q31" s="147"/>
      <c r="R31" s="147"/>
      <c r="S31" s="147"/>
      <c r="T31" s="147"/>
      <c r="U31" s="147"/>
      <c r="V31" s="148"/>
      <c r="W31" s="147"/>
      <c r="X31" s="146"/>
      <c r="Y31" s="147"/>
      <c r="Z31" s="147"/>
      <c r="AA31" s="147"/>
      <c r="AB31" s="147"/>
      <c r="AC31" s="147"/>
      <c r="AD31" s="147"/>
      <c r="AE31" s="147"/>
      <c r="AF31" s="147"/>
      <c r="AG31" s="148"/>
      <c r="AH31" s="147"/>
      <c r="AI31" s="146"/>
      <c r="AJ31" s="147"/>
      <c r="AK31" s="147"/>
      <c r="AL31" s="147"/>
      <c r="AM31" s="147"/>
      <c r="AN31" s="147"/>
      <c r="AO31" s="147"/>
      <c r="AP31" s="147"/>
      <c r="AQ31" s="147"/>
      <c r="AR31" s="148"/>
      <c r="AS31" s="147"/>
      <c r="AT31" s="146"/>
      <c r="AU31" s="147"/>
      <c r="AV31" s="147"/>
      <c r="AW31" s="147"/>
      <c r="AX31" s="147"/>
      <c r="AY31" s="147"/>
      <c r="AZ31" s="147"/>
      <c r="BA31" s="147"/>
      <c r="BB31" s="147"/>
      <c r="BC31" s="147"/>
      <c r="BD31" s="148"/>
      <c r="BE31" s="147"/>
      <c r="BF31" s="146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8"/>
      <c r="BR31" s="23"/>
    </row>
    <row r="32" spans="1:70" ht="9" customHeight="1" x14ac:dyDescent="0.3">
      <c r="A32" s="141"/>
      <c r="B32" s="146"/>
      <c r="C32" s="147"/>
      <c r="D32" s="147"/>
      <c r="E32" s="147"/>
      <c r="F32" s="147"/>
      <c r="G32" s="147"/>
      <c r="H32" s="147"/>
      <c r="I32" s="147"/>
      <c r="J32" s="147"/>
      <c r="K32" s="148"/>
      <c r="L32" s="147"/>
      <c r="M32" s="146"/>
      <c r="N32" s="147"/>
      <c r="O32" s="147"/>
      <c r="P32" s="147"/>
      <c r="Q32" s="147"/>
      <c r="R32" s="147"/>
      <c r="S32" s="147"/>
      <c r="T32" s="147"/>
      <c r="U32" s="147"/>
      <c r="V32" s="148"/>
      <c r="W32" s="147"/>
      <c r="X32" s="146"/>
      <c r="Y32" s="147"/>
      <c r="Z32" s="147"/>
      <c r="AA32" s="147"/>
      <c r="AB32" s="147"/>
      <c r="AC32" s="147"/>
      <c r="AD32" s="147"/>
      <c r="AE32" s="147"/>
      <c r="AF32" s="147"/>
      <c r="AG32" s="148"/>
      <c r="AH32" s="147"/>
      <c r="AI32" s="146"/>
      <c r="AJ32" s="147"/>
      <c r="AK32" s="147"/>
      <c r="AL32" s="147"/>
      <c r="AM32" s="147"/>
      <c r="AN32" s="147"/>
      <c r="AO32" s="147"/>
      <c r="AP32" s="147"/>
      <c r="AQ32" s="147"/>
      <c r="AR32" s="148"/>
      <c r="AS32" s="147"/>
      <c r="AT32" s="146"/>
      <c r="AU32" s="147"/>
      <c r="AV32" s="147"/>
      <c r="AW32" s="147"/>
      <c r="AX32" s="147"/>
      <c r="AY32" s="147"/>
      <c r="AZ32" s="147"/>
      <c r="BA32" s="147"/>
      <c r="BB32" s="147"/>
      <c r="BC32" s="147"/>
      <c r="BD32" s="148"/>
      <c r="BE32" s="147"/>
      <c r="BF32" s="146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8"/>
      <c r="BR32" s="23"/>
    </row>
    <row r="33" spans="1:71" ht="9" customHeight="1" x14ac:dyDescent="0.3">
      <c r="A33" s="141"/>
      <c r="B33" s="146"/>
      <c r="C33" s="147"/>
      <c r="D33" s="147"/>
      <c r="E33" s="147"/>
      <c r="F33" s="147"/>
      <c r="G33" s="147"/>
      <c r="H33" s="147"/>
      <c r="I33" s="147"/>
      <c r="J33" s="147"/>
      <c r="K33" s="148"/>
      <c r="L33" s="147"/>
      <c r="M33" s="146"/>
      <c r="N33" s="147"/>
      <c r="O33" s="147"/>
      <c r="P33" s="147"/>
      <c r="Q33" s="147"/>
      <c r="R33" s="147"/>
      <c r="S33" s="147"/>
      <c r="T33" s="147"/>
      <c r="U33" s="147"/>
      <c r="V33" s="148"/>
      <c r="W33" s="147"/>
      <c r="X33" s="146"/>
      <c r="Y33" s="147"/>
      <c r="Z33" s="147"/>
      <c r="AA33" s="147"/>
      <c r="AB33" s="147"/>
      <c r="AC33" s="147"/>
      <c r="AD33" s="147"/>
      <c r="AE33" s="147"/>
      <c r="AF33" s="147"/>
      <c r="AG33" s="148"/>
      <c r="AH33" s="147"/>
      <c r="AI33" s="146"/>
      <c r="AJ33" s="147"/>
      <c r="AK33" s="147"/>
      <c r="AL33" s="147"/>
      <c r="AM33" s="147"/>
      <c r="AN33" s="147"/>
      <c r="AO33" s="147"/>
      <c r="AP33" s="147"/>
      <c r="AQ33" s="147"/>
      <c r="AR33" s="148"/>
      <c r="AS33" s="147"/>
      <c r="AT33" s="146"/>
      <c r="AU33" s="147"/>
      <c r="AV33" s="147"/>
      <c r="AW33" s="147"/>
      <c r="AX33" s="147"/>
      <c r="AY33" s="147"/>
      <c r="AZ33" s="147"/>
      <c r="BA33" s="147"/>
      <c r="BB33" s="147"/>
      <c r="BC33" s="147"/>
      <c r="BD33" s="148"/>
      <c r="BE33" s="147"/>
      <c r="BF33" s="146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8"/>
      <c r="BR33" s="23"/>
    </row>
    <row r="34" spans="1:71" ht="9" customHeight="1" x14ac:dyDescent="0.3">
      <c r="A34" s="141"/>
      <c r="B34" s="403" t="s">
        <v>214</v>
      </c>
      <c r="C34" s="400"/>
      <c r="D34" s="400"/>
      <c r="E34" s="400"/>
      <c r="F34" s="400"/>
      <c r="G34" s="400"/>
      <c r="H34" s="400"/>
      <c r="I34" s="400"/>
      <c r="J34" s="400"/>
      <c r="K34" s="402"/>
      <c r="L34" s="152"/>
      <c r="M34" s="403" t="s">
        <v>215</v>
      </c>
      <c r="N34" s="400"/>
      <c r="O34" s="400"/>
      <c r="P34" s="400"/>
      <c r="Q34" s="400"/>
      <c r="R34" s="400"/>
      <c r="S34" s="400"/>
      <c r="T34" s="400"/>
      <c r="U34" s="400"/>
      <c r="V34" s="402"/>
      <c r="W34" s="152"/>
      <c r="X34" s="403" t="s">
        <v>216</v>
      </c>
      <c r="Y34" s="400"/>
      <c r="Z34" s="400"/>
      <c r="AA34" s="400"/>
      <c r="AB34" s="400"/>
      <c r="AC34" s="400"/>
      <c r="AD34" s="400"/>
      <c r="AE34" s="400"/>
      <c r="AF34" s="400"/>
      <c r="AG34" s="402"/>
      <c r="AH34" s="152"/>
      <c r="AI34" s="403" t="s">
        <v>217</v>
      </c>
      <c r="AJ34" s="400"/>
      <c r="AK34" s="400"/>
      <c r="AL34" s="400"/>
      <c r="AM34" s="400"/>
      <c r="AN34" s="400"/>
      <c r="AO34" s="400"/>
      <c r="AP34" s="400"/>
      <c r="AQ34" s="400"/>
      <c r="AR34" s="402"/>
      <c r="AS34" s="152"/>
      <c r="AT34" s="403" t="s">
        <v>218</v>
      </c>
      <c r="AU34" s="400"/>
      <c r="AV34" s="400"/>
      <c r="AW34" s="400"/>
      <c r="AX34" s="400"/>
      <c r="AY34" s="400"/>
      <c r="AZ34" s="400"/>
      <c r="BA34" s="400"/>
      <c r="BB34" s="400"/>
      <c r="BC34" s="400"/>
      <c r="BD34" s="402"/>
      <c r="BE34" s="152"/>
      <c r="BF34" s="403" t="s">
        <v>213</v>
      </c>
      <c r="BG34" s="400"/>
      <c r="BH34" s="400"/>
      <c r="BI34" s="400"/>
      <c r="BJ34" s="400"/>
      <c r="BK34" s="400"/>
      <c r="BL34" s="400"/>
      <c r="BM34" s="400"/>
      <c r="BN34" s="400"/>
      <c r="BO34" s="400"/>
      <c r="BP34" s="400"/>
      <c r="BQ34" s="402"/>
      <c r="BR34" s="23"/>
    </row>
    <row r="35" spans="1:71" s="5" customFormat="1" ht="10.95" customHeight="1" x14ac:dyDescent="0.3">
      <c r="A35" s="153"/>
      <c r="B35" s="323" t="s">
        <v>700</v>
      </c>
      <c r="C35" s="323"/>
      <c r="D35" s="323"/>
      <c r="E35" s="323"/>
      <c r="F35" s="323"/>
      <c r="G35" s="323"/>
      <c r="H35" s="324">
        <f>CEILING(2354*B4,1)</f>
        <v>3296</v>
      </c>
      <c r="I35" s="324"/>
      <c r="J35" s="324"/>
      <c r="K35" s="324"/>
      <c r="L35" s="83"/>
      <c r="M35" s="323" t="s">
        <v>701</v>
      </c>
      <c r="N35" s="323"/>
      <c r="O35" s="323"/>
      <c r="P35" s="323"/>
      <c r="Q35" s="323"/>
      <c r="R35" s="323"/>
      <c r="S35" s="324">
        <f>CEILING(3620*B4,1)</f>
        <v>5068</v>
      </c>
      <c r="T35" s="324"/>
      <c r="U35" s="324"/>
      <c r="V35" s="324"/>
      <c r="W35" s="83"/>
      <c r="X35" s="323" t="s">
        <v>702</v>
      </c>
      <c r="Y35" s="323"/>
      <c r="Z35" s="323"/>
      <c r="AA35" s="323"/>
      <c r="AB35" s="323"/>
      <c r="AC35" s="323"/>
      <c r="AD35" s="324">
        <f>CEILING(5356*B4,1)</f>
        <v>7499</v>
      </c>
      <c r="AE35" s="324"/>
      <c r="AF35" s="324"/>
      <c r="AG35" s="324"/>
      <c r="AH35" s="85"/>
      <c r="AI35" s="323" t="s">
        <v>703</v>
      </c>
      <c r="AJ35" s="323"/>
      <c r="AK35" s="323"/>
      <c r="AL35" s="323"/>
      <c r="AM35" s="323"/>
      <c r="AN35" s="323"/>
      <c r="AO35" s="324">
        <f>CEILING(6952*B4,1)</f>
        <v>9733</v>
      </c>
      <c r="AP35" s="324"/>
      <c r="AQ35" s="324"/>
      <c r="AR35" s="324"/>
      <c r="AS35" s="85"/>
      <c r="AT35" s="323" t="s">
        <v>704</v>
      </c>
      <c r="AU35" s="323"/>
      <c r="AV35" s="323"/>
      <c r="AW35" s="323"/>
      <c r="AX35" s="323"/>
      <c r="AY35" s="323"/>
      <c r="AZ35" s="323"/>
      <c r="BA35" s="324">
        <f>CEILING(8614*B4,1)</f>
        <v>12060</v>
      </c>
      <c r="BB35" s="324"/>
      <c r="BC35" s="324"/>
      <c r="BD35" s="324"/>
      <c r="BE35" s="85"/>
      <c r="BF35" s="323" t="s">
        <v>705</v>
      </c>
      <c r="BG35" s="323"/>
      <c r="BH35" s="323"/>
      <c r="BI35" s="323"/>
      <c r="BJ35" s="323"/>
      <c r="BK35" s="323"/>
      <c r="BL35" s="323"/>
      <c r="BM35" s="323"/>
      <c r="BN35" s="324">
        <f>CEILING(10171*B4,1)</f>
        <v>14240</v>
      </c>
      <c r="BO35" s="324"/>
      <c r="BP35" s="324"/>
      <c r="BQ35" s="324"/>
      <c r="BR35" s="64"/>
    </row>
    <row r="36" spans="1:71" ht="1.5" customHeight="1" x14ac:dyDescent="0.3">
      <c r="A36" s="141"/>
      <c r="B36" s="154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5"/>
      <c r="BR36" s="23"/>
    </row>
    <row r="37" spans="1:71" ht="30" customHeight="1" x14ac:dyDescent="0.3">
      <c r="A37" s="141"/>
      <c r="B37" s="411" t="s">
        <v>707</v>
      </c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  <c r="AU37" s="411"/>
      <c r="AV37" s="411"/>
      <c r="AW37" s="411"/>
      <c r="AX37" s="411"/>
      <c r="AY37" s="411"/>
      <c r="AZ37" s="411"/>
      <c r="BA37" s="411"/>
      <c r="BB37" s="411"/>
      <c r="BC37" s="411"/>
      <c r="BD37" s="411"/>
      <c r="BE37" s="411"/>
      <c r="BF37" s="411"/>
      <c r="BG37" s="411"/>
      <c r="BH37" s="411"/>
      <c r="BI37" s="411"/>
      <c r="BJ37" s="411"/>
      <c r="BK37" s="411"/>
      <c r="BL37" s="411"/>
      <c r="BM37" s="411"/>
      <c r="BN37" s="411"/>
      <c r="BO37" s="411"/>
      <c r="BP37" s="411"/>
      <c r="BQ37" s="411"/>
      <c r="BR37" s="23"/>
    </row>
    <row r="38" spans="1:71" ht="1.5" customHeight="1" x14ac:dyDescent="0.3">
      <c r="A38" s="141"/>
      <c r="B38" s="146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8"/>
      <c r="BR38" s="23"/>
    </row>
    <row r="39" spans="1:71" ht="9" customHeight="1" x14ac:dyDescent="0.3">
      <c r="A39" s="141"/>
      <c r="B39" s="408" t="s">
        <v>192</v>
      </c>
      <c r="C39" s="409"/>
      <c r="D39" s="409"/>
      <c r="E39" s="409"/>
      <c r="F39" s="410"/>
      <c r="G39" s="149"/>
      <c r="H39" s="149"/>
      <c r="I39" s="149"/>
      <c r="J39" s="149"/>
      <c r="K39" s="150"/>
      <c r="L39" s="147"/>
      <c r="M39" s="408" t="s">
        <v>193</v>
      </c>
      <c r="N39" s="409"/>
      <c r="O39" s="409"/>
      <c r="P39" s="409"/>
      <c r="Q39" s="410"/>
      <c r="R39" s="149"/>
      <c r="S39" s="149"/>
      <c r="T39" s="149"/>
      <c r="U39" s="149"/>
      <c r="V39" s="150"/>
      <c r="W39" s="147"/>
      <c r="X39" s="408" t="s">
        <v>194</v>
      </c>
      <c r="Y39" s="409"/>
      <c r="Z39" s="409"/>
      <c r="AA39" s="409"/>
      <c r="AB39" s="410"/>
      <c r="AC39" s="149"/>
      <c r="AD39" s="149"/>
      <c r="AE39" s="149"/>
      <c r="AF39" s="149"/>
      <c r="AG39" s="150"/>
      <c r="AH39" s="147"/>
      <c r="AI39" s="408" t="s">
        <v>195</v>
      </c>
      <c r="AJ39" s="409"/>
      <c r="AK39" s="409"/>
      <c r="AL39" s="409"/>
      <c r="AM39" s="410"/>
      <c r="AN39" s="149"/>
      <c r="AO39" s="149"/>
      <c r="AP39" s="149"/>
      <c r="AQ39" s="149"/>
      <c r="AR39" s="150"/>
      <c r="AS39" s="147"/>
      <c r="AT39" s="408" t="s">
        <v>196</v>
      </c>
      <c r="AU39" s="409"/>
      <c r="AV39" s="409"/>
      <c r="AW39" s="409"/>
      <c r="AX39" s="410"/>
      <c r="AY39" s="147"/>
      <c r="AZ39" s="147"/>
      <c r="BA39" s="147"/>
      <c r="BB39" s="147"/>
      <c r="BC39" s="147"/>
      <c r="BD39" s="148"/>
      <c r="BE39" s="147"/>
      <c r="BF39" s="408" t="s">
        <v>197</v>
      </c>
      <c r="BG39" s="409"/>
      <c r="BH39" s="409"/>
      <c r="BI39" s="409"/>
      <c r="BJ39" s="410"/>
      <c r="BK39" s="149"/>
      <c r="BL39" s="149"/>
      <c r="BM39" s="149"/>
      <c r="BN39" s="149"/>
      <c r="BO39" s="149"/>
      <c r="BP39" s="149"/>
      <c r="BQ39" s="150"/>
      <c r="BR39" s="23"/>
    </row>
    <row r="40" spans="1:71" ht="9" customHeight="1" x14ac:dyDescent="0.3">
      <c r="A40" s="141"/>
      <c r="B40" s="146"/>
      <c r="C40" s="147"/>
      <c r="D40" s="147"/>
      <c r="E40" s="147"/>
      <c r="F40" s="147"/>
      <c r="G40" s="147"/>
      <c r="H40" s="147"/>
      <c r="I40" s="147"/>
      <c r="J40" s="147"/>
      <c r="K40" s="148"/>
      <c r="L40" s="147"/>
      <c r="M40" s="146"/>
      <c r="N40" s="147"/>
      <c r="O40" s="147"/>
      <c r="P40" s="147"/>
      <c r="Q40" s="147"/>
      <c r="R40" s="147"/>
      <c r="S40" s="147"/>
      <c r="T40" s="147"/>
      <c r="U40" s="147"/>
      <c r="V40" s="148"/>
      <c r="W40" s="147"/>
      <c r="X40" s="146"/>
      <c r="Y40" s="147"/>
      <c r="Z40" s="147"/>
      <c r="AA40" s="147"/>
      <c r="AB40" s="147"/>
      <c r="AC40" s="147"/>
      <c r="AD40" s="147"/>
      <c r="AE40" s="147"/>
      <c r="AF40" s="147"/>
      <c r="AG40" s="148"/>
      <c r="AH40" s="147"/>
      <c r="AI40" s="146"/>
      <c r="AJ40" s="147"/>
      <c r="AK40" s="147"/>
      <c r="AL40" s="147"/>
      <c r="AM40" s="147"/>
      <c r="AN40" s="147"/>
      <c r="AO40" s="147"/>
      <c r="AP40" s="147"/>
      <c r="AQ40" s="147"/>
      <c r="AR40" s="148"/>
      <c r="AS40" s="147"/>
      <c r="AT40" s="146"/>
      <c r="AU40" s="147"/>
      <c r="AV40" s="147"/>
      <c r="AW40" s="147"/>
      <c r="AX40" s="147"/>
      <c r="AY40" s="147"/>
      <c r="AZ40" s="147"/>
      <c r="BA40" s="147"/>
      <c r="BB40" s="147"/>
      <c r="BC40" s="147"/>
      <c r="BD40" s="148"/>
      <c r="BE40" s="147"/>
      <c r="BF40" s="146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8"/>
      <c r="BR40" s="23"/>
      <c r="BS40" s="9"/>
    </row>
    <row r="41" spans="1:71" ht="9" customHeight="1" x14ac:dyDescent="0.3">
      <c r="A41" s="141"/>
      <c r="B41" s="146"/>
      <c r="C41" s="147"/>
      <c r="D41" s="147"/>
      <c r="E41" s="147"/>
      <c r="F41" s="147"/>
      <c r="G41" s="147"/>
      <c r="H41" s="147"/>
      <c r="I41" s="147"/>
      <c r="J41" s="147"/>
      <c r="K41" s="148"/>
      <c r="L41" s="147"/>
      <c r="M41" s="146"/>
      <c r="N41" s="147"/>
      <c r="O41" s="147"/>
      <c r="P41" s="147"/>
      <c r="Q41" s="147"/>
      <c r="R41" s="147"/>
      <c r="S41" s="147"/>
      <c r="T41" s="147"/>
      <c r="U41" s="147"/>
      <c r="V41" s="148"/>
      <c r="W41" s="147"/>
      <c r="X41" s="146"/>
      <c r="Y41" s="147"/>
      <c r="Z41" s="147"/>
      <c r="AA41" s="147"/>
      <c r="AB41" s="147"/>
      <c r="AC41" s="147"/>
      <c r="AD41" s="147"/>
      <c r="AE41" s="147"/>
      <c r="AF41" s="147"/>
      <c r="AG41" s="148"/>
      <c r="AH41" s="147"/>
      <c r="AI41" s="146"/>
      <c r="AJ41" s="147"/>
      <c r="AK41" s="147"/>
      <c r="AL41" s="147"/>
      <c r="AM41" s="147"/>
      <c r="AN41" s="147"/>
      <c r="AO41" s="147"/>
      <c r="AP41" s="147"/>
      <c r="AQ41" s="147"/>
      <c r="AR41" s="148"/>
      <c r="AS41" s="147"/>
      <c r="AT41" s="146"/>
      <c r="AU41" s="147"/>
      <c r="AV41" s="147"/>
      <c r="AW41" s="147"/>
      <c r="AX41" s="147"/>
      <c r="AY41" s="147"/>
      <c r="AZ41" s="147"/>
      <c r="BA41" s="147"/>
      <c r="BB41" s="147"/>
      <c r="BC41" s="147"/>
      <c r="BD41" s="148"/>
      <c r="BE41" s="147"/>
      <c r="BF41" s="146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8"/>
      <c r="BR41" s="23"/>
    </row>
    <row r="42" spans="1:71" ht="9" customHeight="1" x14ac:dyDescent="0.3">
      <c r="A42" s="141"/>
      <c r="B42" s="146"/>
      <c r="C42" s="147"/>
      <c r="D42" s="147"/>
      <c r="E42" s="147"/>
      <c r="F42" s="147"/>
      <c r="G42" s="147"/>
      <c r="H42" s="147"/>
      <c r="I42" s="147"/>
      <c r="J42" s="147"/>
      <c r="K42" s="148"/>
      <c r="L42" s="147"/>
      <c r="M42" s="146"/>
      <c r="N42" s="147"/>
      <c r="O42" s="147"/>
      <c r="P42" s="147"/>
      <c r="Q42" s="147"/>
      <c r="R42" s="147"/>
      <c r="S42" s="147"/>
      <c r="T42" s="147"/>
      <c r="U42" s="147"/>
      <c r="V42" s="148"/>
      <c r="W42" s="147"/>
      <c r="X42" s="146"/>
      <c r="Y42" s="147"/>
      <c r="Z42" s="147"/>
      <c r="AA42" s="147"/>
      <c r="AB42" s="147"/>
      <c r="AC42" s="147"/>
      <c r="AD42" s="147"/>
      <c r="AE42" s="147"/>
      <c r="AF42" s="147"/>
      <c r="AG42" s="148"/>
      <c r="AH42" s="147"/>
      <c r="AI42" s="146"/>
      <c r="AJ42" s="147"/>
      <c r="AK42" s="147"/>
      <c r="AL42" s="147"/>
      <c r="AM42" s="147"/>
      <c r="AN42" s="147"/>
      <c r="AO42" s="147"/>
      <c r="AP42" s="147"/>
      <c r="AQ42" s="147"/>
      <c r="AR42" s="148"/>
      <c r="AS42" s="147"/>
      <c r="AT42" s="146"/>
      <c r="AU42" s="147"/>
      <c r="AV42" s="147"/>
      <c r="AW42" s="147"/>
      <c r="AX42" s="147"/>
      <c r="AY42" s="147"/>
      <c r="AZ42" s="147"/>
      <c r="BA42" s="147"/>
      <c r="BB42" s="147"/>
      <c r="BC42" s="147"/>
      <c r="BD42" s="148"/>
      <c r="BE42" s="147"/>
      <c r="BF42" s="146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8"/>
      <c r="BR42" s="23"/>
    </row>
    <row r="43" spans="1:71" ht="9" customHeight="1" x14ac:dyDescent="0.3">
      <c r="A43" s="141"/>
      <c r="B43" s="146"/>
      <c r="C43" s="147"/>
      <c r="D43" s="147"/>
      <c r="E43" s="147"/>
      <c r="F43" s="147"/>
      <c r="G43" s="147"/>
      <c r="H43" s="147"/>
      <c r="I43" s="147"/>
      <c r="J43" s="147"/>
      <c r="K43" s="148"/>
      <c r="L43" s="147"/>
      <c r="M43" s="146"/>
      <c r="N43" s="147"/>
      <c r="O43" s="147"/>
      <c r="P43" s="147"/>
      <c r="Q43" s="147"/>
      <c r="R43" s="147"/>
      <c r="S43" s="147"/>
      <c r="T43" s="147"/>
      <c r="U43" s="147"/>
      <c r="V43" s="148"/>
      <c r="W43" s="147"/>
      <c r="X43" s="146"/>
      <c r="Y43" s="147"/>
      <c r="Z43" s="147"/>
      <c r="AA43" s="147"/>
      <c r="AB43" s="147"/>
      <c r="AC43" s="147"/>
      <c r="AD43" s="147"/>
      <c r="AE43" s="147"/>
      <c r="AF43" s="147"/>
      <c r="AG43" s="148"/>
      <c r="AH43" s="147"/>
      <c r="AI43" s="146"/>
      <c r="AJ43" s="147"/>
      <c r="AK43" s="147"/>
      <c r="AL43" s="147"/>
      <c r="AM43" s="147"/>
      <c r="AN43" s="147"/>
      <c r="AO43" s="147"/>
      <c r="AP43" s="147"/>
      <c r="AQ43" s="147"/>
      <c r="AR43" s="148"/>
      <c r="AS43" s="147"/>
      <c r="AT43" s="146"/>
      <c r="AU43" s="147"/>
      <c r="AV43" s="147"/>
      <c r="AW43" s="147"/>
      <c r="AX43" s="147"/>
      <c r="AY43" s="147"/>
      <c r="AZ43" s="147"/>
      <c r="BA43" s="147"/>
      <c r="BB43" s="147"/>
      <c r="BC43" s="147"/>
      <c r="BD43" s="148"/>
      <c r="BE43" s="147"/>
      <c r="BF43" s="146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8"/>
      <c r="BR43" s="23"/>
    </row>
    <row r="44" spans="1:71" ht="9" customHeight="1" x14ac:dyDescent="0.3">
      <c r="A44" s="141"/>
      <c r="B44" s="146"/>
      <c r="C44" s="147"/>
      <c r="D44" s="147"/>
      <c r="E44" s="147"/>
      <c r="F44" s="147"/>
      <c r="G44" s="147"/>
      <c r="H44" s="147"/>
      <c r="I44" s="147"/>
      <c r="J44" s="147"/>
      <c r="K44" s="148"/>
      <c r="L44" s="147"/>
      <c r="M44" s="146"/>
      <c r="N44" s="147"/>
      <c r="O44" s="147"/>
      <c r="P44" s="147"/>
      <c r="Q44" s="147"/>
      <c r="R44" s="147"/>
      <c r="S44" s="147"/>
      <c r="T44" s="147"/>
      <c r="U44" s="147"/>
      <c r="V44" s="148"/>
      <c r="W44" s="147"/>
      <c r="X44" s="146"/>
      <c r="Y44" s="147"/>
      <c r="Z44" s="147"/>
      <c r="AA44" s="147"/>
      <c r="AB44" s="147"/>
      <c r="AC44" s="147"/>
      <c r="AD44" s="147"/>
      <c r="AE44" s="147"/>
      <c r="AF44" s="147"/>
      <c r="AG44" s="148"/>
      <c r="AH44" s="147"/>
      <c r="AI44" s="146"/>
      <c r="AJ44" s="147"/>
      <c r="AK44" s="147"/>
      <c r="AL44" s="147"/>
      <c r="AM44" s="147"/>
      <c r="AN44" s="147"/>
      <c r="AO44" s="147"/>
      <c r="AP44" s="147"/>
      <c r="AQ44" s="147"/>
      <c r="AR44" s="148"/>
      <c r="AS44" s="147"/>
      <c r="AT44" s="146"/>
      <c r="AU44" s="147"/>
      <c r="AV44" s="147"/>
      <c r="AW44" s="147"/>
      <c r="AX44" s="147"/>
      <c r="AY44" s="147"/>
      <c r="AZ44" s="147"/>
      <c r="BA44" s="147"/>
      <c r="BB44" s="147"/>
      <c r="BC44" s="147"/>
      <c r="BD44" s="148"/>
      <c r="BE44" s="147"/>
      <c r="BF44" s="146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8"/>
      <c r="BR44" s="23"/>
    </row>
    <row r="45" spans="1:71" ht="9" customHeight="1" x14ac:dyDescent="0.3">
      <c r="A45" s="141"/>
      <c r="B45" s="146"/>
      <c r="C45" s="147"/>
      <c r="D45" s="147"/>
      <c r="E45" s="147"/>
      <c r="F45" s="147"/>
      <c r="G45" s="147"/>
      <c r="H45" s="147"/>
      <c r="I45" s="147"/>
      <c r="J45" s="147"/>
      <c r="K45" s="148"/>
      <c r="L45" s="147"/>
      <c r="M45" s="146"/>
      <c r="N45" s="147"/>
      <c r="O45" s="147"/>
      <c r="P45" s="147"/>
      <c r="Q45" s="147"/>
      <c r="R45" s="147"/>
      <c r="S45" s="147"/>
      <c r="T45" s="147"/>
      <c r="U45" s="147"/>
      <c r="V45" s="148"/>
      <c r="W45" s="147"/>
      <c r="X45" s="146"/>
      <c r="Y45" s="147"/>
      <c r="Z45" s="147"/>
      <c r="AA45" s="147"/>
      <c r="AB45" s="147"/>
      <c r="AC45" s="147"/>
      <c r="AD45" s="147"/>
      <c r="AE45" s="147"/>
      <c r="AF45" s="147"/>
      <c r="AG45" s="148"/>
      <c r="AH45" s="147"/>
      <c r="AI45" s="146"/>
      <c r="AJ45" s="147"/>
      <c r="AK45" s="147"/>
      <c r="AL45" s="147"/>
      <c r="AM45" s="147"/>
      <c r="AN45" s="147"/>
      <c r="AO45" s="147"/>
      <c r="AP45" s="147"/>
      <c r="AQ45" s="147"/>
      <c r="AR45" s="148"/>
      <c r="AS45" s="147"/>
      <c r="AT45" s="146"/>
      <c r="AU45" s="147"/>
      <c r="AV45" s="147"/>
      <c r="AW45" s="147"/>
      <c r="AX45" s="147"/>
      <c r="AY45" s="147"/>
      <c r="AZ45" s="147"/>
      <c r="BA45" s="147"/>
      <c r="BB45" s="147"/>
      <c r="BC45" s="147"/>
      <c r="BD45" s="148"/>
      <c r="BE45" s="147"/>
      <c r="BF45" s="146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8"/>
      <c r="BR45" s="23"/>
    </row>
    <row r="46" spans="1:71" ht="9" customHeight="1" x14ac:dyDescent="0.3">
      <c r="A46" s="141"/>
      <c r="B46" s="146"/>
      <c r="C46" s="147"/>
      <c r="D46" s="147"/>
      <c r="E46" s="147"/>
      <c r="F46" s="147"/>
      <c r="G46" s="147"/>
      <c r="H46" s="147"/>
      <c r="I46" s="147"/>
      <c r="J46" s="147"/>
      <c r="K46" s="148"/>
      <c r="L46" s="147"/>
      <c r="M46" s="146"/>
      <c r="N46" s="147"/>
      <c r="O46" s="147"/>
      <c r="P46" s="147"/>
      <c r="Q46" s="147"/>
      <c r="R46" s="147"/>
      <c r="S46" s="147"/>
      <c r="T46" s="147"/>
      <c r="U46" s="147"/>
      <c r="V46" s="148"/>
      <c r="W46" s="147"/>
      <c r="X46" s="146"/>
      <c r="Y46" s="147"/>
      <c r="Z46" s="147"/>
      <c r="AA46" s="147"/>
      <c r="AB46" s="147"/>
      <c r="AC46" s="147"/>
      <c r="AD46" s="147"/>
      <c r="AE46" s="147"/>
      <c r="AF46" s="147"/>
      <c r="AG46" s="148"/>
      <c r="AH46" s="147"/>
      <c r="AI46" s="146"/>
      <c r="AJ46" s="147"/>
      <c r="AK46" s="147"/>
      <c r="AL46" s="147"/>
      <c r="AM46" s="147"/>
      <c r="AN46" s="147"/>
      <c r="AO46" s="147"/>
      <c r="AP46" s="147"/>
      <c r="AQ46" s="147"/>
      <c r="AR46" s="148"/>
      <c r="AS46" s="147"/>
      <c r="AT46" s="146"/>
      <c r="AU46" s="147"/>
      <c r="AV46" s="147"/>
      <c r="AW46" s="147"/>
      <c r="AX46" s="147"/>
      <c r="AY46" s="147"/>
      <c r="AZ46" s="147"/>
      <c r="BA46" s="147"/>
      <c r="BB46" s="147"/>
      <c r="BC46" s="147"/>
      <c r="BD46" s="148"/>
      <c r="BE46" s="147"/>
      <c r="BF46" s="146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8"/>
      <c r="BR46" s="23"/>
    </row>
    <row r="47" spans="1:71" ht="9" customHeight="1" x14ac:dyDescent="0.3">
      <c r="A47" s="141"/>
      <c r="B47" s="146"/>
      <c r="C47" s="147"/>
      <c r="D47" s="147"/>
      <c r="E47" s="147"/>
      <c r="F47" s="147"/>
      <c r="G47" s="147"/>
      <c r="H47" s="147"/>
      <c r="I47" s="147"/>
      <c r="J47" s="147"/>
      <c r="K47" s="148"/>
      <c r="L47" s="147"/>
      <c r="M47" s="146"/>
      <c r="N47" s="147"/>
      <c r="O47" s="147"/>
      <c r="P47" s="147"/>
      <c r="Q47" s="147"/>
      <c r="R47" s="147"/>
      <c r="S47" s="147"/>
      <c r="T47" s="147"/>
      <c r="U47" s="147"/>
      <c r="V47" s="148"/>
      <c r="W47" s="147"/>
      <c r="X47" s="146"/>
      <c r="Y47" s="147"/>
      <c r="Z47" s="147"/>
      <c r="AA47" s="147"/>
      <c r="AB47" s="147"/>
      <c r="AC47" s="147"/>
      <c r="AD47" s="147"/>
      <c r="AE47" s="147"/>
      <c r="AF47" s="147"/>
      <c r="AG47" s="148"/>
      <c r="AH47" s="147"/>
      <c r="AI47" s="146"/>
      <c r="AJ47" s="147"/>
      <c r="AK47" s="147"/>
      <c r="AL47" s="147"/>
      <c r="AM47" s="147"/>
      <c r="AN47" s="147"/>
      <c r="AO47" s="147"/>
      <c r="AP47" s="147"/>
      <c r="AQ47" s="147"/>
      <c r="AR47" s="148"/>
      <c r="AS47" s="147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8"/>
      <c r="BE47" s="147"/>
      <c r="BF47" s="146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8"/>
      <c r="BR47" s="23"/>
    </row>
    <row r="48" spans="1:71" ht="9" customHeight="1" x14ac:dyDescent="0.3">
      <c r="A48" s="141"/>
      <c r="B48" s="146"/>
      <c r="C48" s="147"/>
      <c r="D48" s="147"/>
      <c r="E48" s="147"/>
      <c r="F48" s="147"/>
      <c r="G48" s="147"/>
      <c r="H48" s="147"/>
      <c r="I48" s="147"/>
      <c r="J48" s="147"/>
      <c r="K48" s="148"/>
      <c r="L48" s="147"/>
      <c r="M48" s="146"/>
      <c r="N48" s="147"/>
      <c r="O48" s="147"/>
      <c r="P48" s="147"/>
      <c r="Q48" s="147"/>
      <c r="R48" s="147"/>
      <c r="S48" s="147"/>
      <c r="T48" s="147"/>
      <c r="U48" s="147"/>
      <c r="V48" s="148"/>
      <c r="W48" s="147"/>
      <c r="X48" s="146"/>
      <c r="Y48" s="147"/>
      <c r="Z48" s="147"/>
      <c r="AA48" s="147"/>
      <c r="AB48" s="147"/>
      <c r="AC48" s="147"/>
      <c r="AD48" s="147"/>
      <c r="AE48" s="147"/>
      <c r="AF48" s="147"/>
      <c r="AG48" s="148"/>
      <c r="AH48" s="147"/>
      <c r="AI48" s="146"/>
      <c r="AJ48" s="147"/>
      <c r="AK48" s="147"/>
      <c r="AL48" s="147"/>
      <c r="AM48" s="147"/>
      <c r="AN48" s="147"/>
      <c r="AO48" s="147"/>
      <c r="AP48" s="147"/>
      <c r="AQ48" s="147"/>
      <c r="AR48" s="148"/>
      <c r="AS48" s="147"/>
      <c r="AT48" s="146"/>
      <c r="AU48" s="147"/>
      <c r="AV48" s="147"/>
      <c r="AW48" s="147"/>
      <c r="AX48" s="147"/>
      <c r="AY48" s="147"/>
      <c r="AZ48" s="147"/>
      <c r="BA48" s="147"/>
      <c r="BB48" s="147"/>
      <c r="BC48" s="147"/>
      <c r="BD48" s="148"/>
      <c r="BE48" s="147"/>
      <c r="BF48" s="146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8"/>
      <c r="BR48" s="23"/>
    </row>
    <row r="49" spans="1:70" ht="9" customHeight="1" x14ac:dyDescent="0.3">
      <c r="A49" s="141"/>
      <c r="B49" s="403" t="s">
        <v>214</v>
      </c>
      <c r="C49" s="400"/>
      <c r="D49" s="400"/>
      <c r="E49" s="400"/>
      <c r="F49" s="400"/>
      <c r="G49" s="400"/>
      <c r="H49" s="400"/>
      <c r="I49" s="400"/>
      <c r="J49" s="400"/>
      <c r="K49" s="402"/>
      <c r="L49" s="152"/>
      <c r="M49" s="403" t="s">
        <v>215</v>
      </c>
      <c r="N49" s="400"/>
      <c r="O49" s="400"/>
      <c r="P49" s="400"/>
      <c r="Q49" s="400"/>
      <c r="R49" s="400"/>
      <c r="S49" s="400"/>
      <c r="T49" s="400"/>
      <c r="U49" s="400"/>
      <c r="V49" s="402"/>
      <c r="W49" s="152"/>
      <c r="X49" s="403" t="s">
        <v>216</v>
      </c>
      <c r="Y49" s="400"/>
      <c r="Z49" s="400"/>
      <c r="AA49" s="400"/>
      <c r="AB49" s="400"/>
      <c r="AC49" s="400"/>
      <c r="AD49" s="400"/>
      <c r="AE49" s="400"/>
      <c r="AF49" s="400"/>
      <c r="AG49" s="402"/>
      <c r="AH49" s="152"/>
      <c r="AI49" s="403" t="s">
        <v>217</v>
      </c>
      <c r="AJ49" s="400"/>
      <c r="AK49" s="400"/>
      <c r="AL49" s="400"/>
      <c r="AM49" s="400"/>
      <c r="AN49" s="400"/>
      <c r="AO49" s="400"/>
      <c r="AP49" s="400"/>
      <c r="AQ49" s="400"/>
      <c r="AR49" s="402"/>
      <c r="AS49" s="152"/>
      <c r="AT49" s="403" t="s">
        <v>218</v>
      </c>
      <c r="AU49" s="400"/>
      <c r="AV49" s="400"/>
      <c r="AW49" s="400"/>
      <c r="AX49" s="400"/>
      <c r="AY49" s="400"/>
      <c r="AZ49" s="400"/>
      <c r="BA49" s="400"/>
      <c r="BB49" s="400"/>
      <c r="BC49" s="400"/>
      <c r="BD49" s="402"/>
      <c r="BE49" s="152"/>
      <c r="BF49" s="403" t="s">
        <v>213</v>
      </c>
      <c r="BG49" s="400"/>
      <c r="BH49" s="400"/>
      <c r="BI49" s="400"/>
      <c r="BJ49" s="400"/>
      <c r="BK49" s="400"/>
      <c r="BL49" s="400"/>
      <c r="BM49" s="400"/>
      <c r="BN49" s="400"/>
      <c r="BO49" s="400"/>
      <c r="BP49" s="400"/>
      <c r="BQ49" s="402"/>
      <c r="BR49" s="23"/>
    </row>
    <row r="50" spans="1:70" ht="9" customHeight="1" x14ac:dyDescent="0.3">
      <c r="A50" s="141"/>
      <c r="B50" s="405" t="s">
        <v>606</v>
      </c>
      <c r="C50" s="406"/>
      <c r="D50" s="406"/>
      <c r="E50" s="406"/>
      <c r="F50" s="406"/>
      <c r="G50" s="406"/>
      <c r="H50" s="406"/>
      <c r="I50" s="406"/>
      <c r="J50" s="406"/>
      <c r="K50" s="407"/>
      <c r="L50" s="156"/>
      <c r="M50" s="405" t="s">
        <v>606</v>
      </c>
      <c r="N50" s="406"/>
      <c r="O50" s="406"/>
      <c r="P50" s="406"/>
      <c r="Q50" s="406"/>
      <c r="R50" s="406"/>
      <c r="S50" s="406"/>
      <c r="T50" s="406"/>
      <c r="U50" s="406"/>
      <c r="V50" s="407"/>
      <c r="W50" s="156"/>
      <c r="X50" s="405" t="s">
        <v>606</v>
      </c>
      <c r="Y50" s="406"/>
      <c r="Z50" s="406"/>
      <c r="AA50" s="406"/>
      <c r="AB50" s="406"/>
      <c r="AC50" s="406"/>
      <c r="AD50" s="406"/>
      <c r="AE50" s="406"/>
      <c r="AF50" s="406"/>
      <c r="AG50" s="407"/>
      <c r="AH50" s="156"/>
      <c r="AI50" s="405" t="s">
        <v>606</v>
      </c>
      <c r="AJ50" s="406"/>
      <c r="AK50" s="406"/>
      <c r="AL50" s="406"/>
      <c r="AM50" s="406"/>
      <c r="AN50" s="406"/>
      <c r="AO50" s="406"/>
      <c r="AP50" s="406"/>
      <c r="AQ50" s="406"/>
      <c r="AR50" s="407"/>
      <c r="AS50" s="156"/>
      <c r="AT50" s="405" t="s">
        <v>606</v>
      </c>
      <c r="AU50" s="406"/>
      <c r="AV50" s="406"/>
      <c r="AW50" s="406"/>
      <c r="AX50" s="406"/>
      <c r="AY50" s="406"/>
      <c r="AZ50" s="406"/>
      <c r="BA50" s="406"/>
      <c r="BB50" s="406"/>
      <c r="BC50" s="406"/>
      <c r="BD50" s="407"/>
      <c r="BE50" s="156"/>
      <c r="BF50" s="405" t="s">
        <v>606</v>
      </c>
      <c r="BG50" s="406"/>
      <c r="BH50" s="406"/>
      <c r="BI50" s="406"/>
      <c r="BJ50" s="406"/>
      <c r="BK50" s="406"/>
      <c r="BL50" s="406"/>
      <c r="BM50" s="406"/>
      <c r="BN50" s="406"/>
      <c r="BO50" s="406"/>
      <c r="BP50" s="406"/>
      <c r="BQ50" s="407"/>
      <c r="BR50" s="23"/>
    </row>
    <row r="51" spans="1:70" s="5" customFormat="1" ht="12" customHeight="1" x14ac:dyDescent="0.3">
      <c r="A51" s="153"/>
      <c r="B51" s="323" t="s">
        <v>700</v>
      </c>
      <c r="C51" s="323"/>
      <c r="D51" s="323"/>
      <c r="E51" s="323"/>
      <c r="F51" s="323"/>
      <c r="G51" s="323"/>
      <c r="H51" s="324">
        <f>CEILING(2368*B4,1)</f>
        <v>3316</v>
      </c>
      <c r="I51" s="324"/>
      <c r="J51" s="324"/>
      <c r="K51" s="324"/>
      <c r="L51" s="83"/>
      <c r="M51" s="323" t="s">
        <v>701</v>
      </c>
      <c r="N51" s="323"/>
      <c r="O51" s="323"/>
      <c r="P51" s="323"/>
      <c r="Q51" s="323"/>
      <c r="R51" s="323"/>
      <c r="S51" s="324">
        <f>CEILING(3811*B4,1)</f>
        <v>5336</v>
      </c>
      <c r="T51" s="324"/>
      <c r="U51" s="324"/>
      <c r="V51" s="324"/>
      <c r="W51" s="83"/>
      <c r="X51" s="323" t="s">
        <v>702</v>
      </c>
      <c r="Y51" s="323"/>
      <c r="Z51" s="323"/>
      <c r="AA51" s="323"/>
      <c r="AB51" s="323"/>
      <c r="AC51" s="323"/>
      <c r="AD51" s="324">
        <f>CEILING(5702*B4,1)</f>
        <v>7983</v>
      </c>
      <c r="AE51" s="324"/>
      <c r="AF51" s="324"/>
      <c r="AG51" s="324"/>
      <c r="AH51" s="85"/>
      <c r="AI51" s="323" t="s">
        <v>703</v>
      </c>
      <c r="AJ51" s="323"/>
      <c r="AK51" s="323"/>
      <c r="AL51" s="323"/>
      <c r="AM51" s="323"/>
      <c r="AN51" s="323"/>
      <c r="AO51" s="324">
        <f>CEILING(7642*B4,1)</f>
        <v>10699</v>
      </c>
      <c r="AP51" s="324"/>
      <c r="AQ51" s="324"/>
      <c r="AR51" s="324"/>
      <c r="AS51" s="85"/>
      <c r="AT51" s="323" t="s">
        <v>704</v>
      </c>
      <c r="AU51" s="323"/>
      <c r="AV51" s="323"/>
      <c r="AW51" s="323"/>
      <c r="AX51" s="323"/>
      <c r="AY51" s="323"/>
      <c r="AZ51" s="323"/>
      <c r="BA51" s="324">
        <f>CEILING(9468*B4,1)</f>
        <v>13256</v>
      </c>
      <c r="BB51" s="324"/>
      <c r="BC51" s="324"/>
      <c r="BD51" s="324"/>
      <c r="BE51" s="85"/>
      <c r="BF51" s="323" t="s">
        <v>705</v>
      </c>
      <c r="BG51" s="323"/>
      <c r="BH51" s="323"/>
      <c r="BI51" s="323"/>
      <c r="BJ51" s="323"/>
      <c r="BK51" s="323"/>
      <c r="BL51" s="323"/>
      <c r="BM51" s="323"/>
      <c r="BN51" s="324">
        <f>CEILING(11192*B4,1)</f>
        <v>15669</v>
      </c>
      <c r="BO51" s="324"/>
      <c r="BP51" s="324"/>
      <c r="BQ51" s="324"/>
      <c r="BR51" s="64"/>
    </row>
    <row r="52" spans="1:70" ht="1.95" customHeight="1" x14ac:dyDescent="0.3">
      <c r="A52" s="141"/>
      <c r="B52" s="146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57"/>
      <c r="AZ52" s="157"/>
      <c r="BA52" s="157"/>
      <c r="BB52" s="157"/>
      <c r="BC52" s="157"/>
      <c r="BD52" s="15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8"/>
      <c r="BR52" s="23"/>
    </row>
    <row r="53" spans="1:70" ht="9" customHeight="1" x14ac:dyDescent="0.3">
      <c r="A53" s="141" t="s">
        <v>198</v>
      </c>
      <c r="B53" s="408" t="s">
        <v>199</v>
      </c>
      <c r="C53" s="409"/>
      <c r="D53" s="409"/>
      <c r="E53" s="409"/>
      <c r="F53" s="410"/>
      <c r="G53" s="149"/>
      <c r="H53" s="149"/>
      <c r="I53" s="149"/>
      <c r="J53" s="149"/>
      <c r="K53" s="150"/>
      <c r="L53" s="151"/>
      <c r="M53" s="408" t="s">
        <v>200</v>
      </c>
      <c r="N53" s="409"/>
      <c r="O53" s="409"/>
      <c r="P53" s="409"/>
      <c r="Q53" s="410"/>
      <c r="R53" s="149"/>
      <c r="S53" s="149"/>
      <c r="T53" s="149"/>
      <c r="U53" s="149"/>
      <c r="V53" s="150"/>
      <c r="W53" s="151"/>
      <c r="X53" s="408" t="s">
        <v>201</v>
      </c>
      <c r="Y53" s="409"/>
      <c r="Z53" s="409"/>
      <c r="AA53" s="409"/>
      <c r="AB53" s="410"/>
      <c r="AC53" s="149"/>
      <c r="AD53" s="149"/>
      <c r="AE53" s="149"/>
      <c r="AF53" s="149"/>
      <c r="AG53" s="150"/>
      <c r="AH53" s="147"/>
      <c r="AI53" s="408" t="s">
        <v>202</v>
      </c>
      <c r="AJ53" s="409"/>
      <c r="AK53" s="409"/>
      <c r="AL53" s="409"/>
      <c r="AM53" s="410"/>
      <c r="AN53" s="149"/>
      <c r="AO53" s="149"/>
      <c r="AP53" s="149"/>
      <c r="AQ53" s="149"/>
      <c r="AR53" s="150"/>
      <c r="AS53" s="147"/>
      <c r="AT53" s="408" t="s">
        <v>203</v>
      </c>
      <c r="AU53" s="409"/>
      <c r="AV53" s="409"/>
      <c r="AW53" s="409"/>
      <c r="AX53" s="410"/>
      <c r="AY53" s="158"/>
      <c r="AZ53" s="158"/>
      <c r="BA53" s="158"/>
      <c r="BB53" s="158"/>
      <c r="BC53" s="158"/>
      <c r="BD53" s="159"/>
      <c r="BE53" s="147"/>
      <c r="BF53" s="408" t="s">
        <v>204</v>
      </c>
      <c r="BG53" s="409"/>
      <c r="BH53" s="409"/>
      <c r="BI53" s="409"/>
      <c r="BJ53" s="410"/>
      <c r="BK53" s="149"/>
      <c r="BL53" s="149"/>
      <c r="BM53" s="149"/>
      <c r="BN53" s="149"/>
      <c r="BO53" s="149"/>
      <c r="BP53" s="149"/>
      <c r="BQ53" s="150"/>
      <c r="BR53" s="23"/>
    </row>
    <row r="54" spans="1:70" ht="9" customHeight="1" x14ac:dyDescent="0.3">
      <c r="A54" s="141"/>
      <c r="B54" s="146"/>
      <c r="C54" s="147"/>
      <c r="D54" s="147"/>
      <c r="E54" s="147"/>
      <c r="F54" s="147"/>
      <c r="G54" s="147"/>
      <c r="H54" s="147"/>
      <c r="I54" s="147"/>
      <c r="J54" s="147"/>
      <c r="K54" s="148"/>
      <c r="L54" s="147"/>
      <c r="M54" s="146"/>
      <c r="N54" s="147"/>
      <c r="O54" s="147"/>
      <c r="P54" s="147"/>
      <c r="Q54" s="147"/>
      <c r="R54" s="147"/>
      <c r="S54" s="147"/>
      <c r="T54" s="147"/>
      <c r="U54" s="147"/>
      <c r="V54" s="148"/>
      <c r="W54" s="147"/>
      <c r="X54" s="146"/>
      <c r="Y54" s="147"/>
      <c r="Z54" s="147"/>
      <c r="AA54" s="147"/>
      <c r="AB54" s="147"/>
      <c r="AC54" s="147"/>
      <c r="AD54" s="147"/>
      <c r="AE54" s="147"/>
      <c r="AF54" s="147"/>
      <c r="AG54" s="148"/>
      <c r="AH54" s="147"/>
      <c r="AI54" s="146"/>
      <c r="AJ54" s="147"/>
      <c r="AK54" s="147"/>
      <c r="AL54" s="147"/>
      <c r="AM54" s="147"/>
      <c r="AN54" s="147"/>
      <c r="AO54" s="147"/>
      <c r="AP54" s="147"/>
      <c r="AQ54" s="147"/>
      <c r="AR54" s="148"/>
      <c r="AS54" s="147"/>
      <c r="AT54" s="146"/>
      <c r="AU54" s="147"/>
      <c r="AV54" s="147"/>
      <c r="AW54" s="147"/>
      <c r="AX54" s="147"/>
      <c r="AY54" s="147"/>
      <c r="AZ54" s="147"/>
      <c r="BA54" s="147"/>
      <c r="BB54" s="147"/>
      <c r="BC54" s="147"/>
      <c r="BD54" s="148"/>
      <c r="BE54" s="147"/>
      <c r="BF54" s="146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8"/>
      <c r="BR54" s="23"/>
    </row>
    <row r="55" spans="1:70" ht="9" customHeight="1" x14ac:dyDescent="0.3">
      <c r="A55" s="141"/>
      <c r="B55" s="146"/>
      <c r="C55" s="147"/>
      <c r="D55" s="147"/>
      <c r="E55" s="147"/>
      <c r="F55" s="147"/>
      <c r="G55" s="147"/>
      <c r="H55" s="147"/>
      <c r="I55" s="147"/>
      <c r="J55" s="147"/>
      <c r="K55" s="148"/>
      <c r="L55" s="147"/>
      <c r="M55" s="146"/>
      <c r="N55" s="147"/>
      <c r="O55" s="147"/>
      <c r="P55" s="147"/>
      <c r="Q55" s="147"/>
      <c r="R55" s="147"/>
      <c r="S55" s="147"/>
      <c r="T55" s="147"/>
      <c r="U55" s="147"/>
      <c r="V55" s="148"/>
      <c r="W55" s="147"/>
      <c r="X55" s="146"/>
      <c r="Y55" s="147"/>
      <c r="Z55" s="147"/>
      <c r="AA55" s="147"/>
      <c r="AB55" s="147"/>
      <c r="AC55" s="147"/>
      <c r="AD55" s="147"/>
      <c r="AE55" s="147"/>
      <c r="AF55" s="147"/>
      <c r="AG55" s="148"/>
      <c r="AH55" s="147"/>
      <c r="AI55" s="146"/>
      <c r="AJ55" s="147"/>
      <c r="AK55" s="147"/>
      <c r="AL55" s="147"/>
      <c r="AM55" s="147"/>
      <c r="AN55" s="147"/>
      <c r="AO55" s="147"/>
      <c r="AP55" s="147"/>
      <c r="AQ55" s="147"/>
      <c r="AR55" s="148"/>
      <c r="AS55" s="147"/>
      <c r="AT55" s="146"/>
      <c r="AU55" s="147"/>
      <c r="AV55" s="147"/>
      <c r="AW55" s="147"/>
      <c r="AX55" s="147"/>
      <c r="AY55" s="147"/>
      <c r="AZ55" s="147"/>
      <c r="BA55" s="147"/>
      <c r="BB55" s="147"/>
      <c r="BC55" s="147"/>
      <c r="BD55" s="148"/>
      <c r="BE55" s="147"/>
      <c r="BF55" s="146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8"/>
      <c r="BR55" s="23"/>
    </row>
    <row r="56" spans="1:70" ht="9" customHeight="1" x14ac:dyDescent="0.3">
      <c r="A56" s="141"/>
      <c r="B56" s="146"/>
      <c r="C56" s="147"/>
      <c r="D56" s="147"/>
      <c r="E56" s="147"/>
      <c r="F56" s="147"/>
      <c r="G56" s="147"/>
      <c r="H56" s="147"/>
      <c r="I56" s="147"/>
      <c r="J56" s="147"/>
      <c r="K56" s="148"/>
      <c r="L56" s="147"/>
      <c r="M56" s="146"/>
      <c r="N56" s="147"/>
      <c r="O56" s="147"/>
      <c r="P56" s="147"/>
      <c r="Q56" s="147"/>
      <c r="R56" s="147"/>
      <c r="S56" s="147"/>
      <c r="T56" s="147"/>
      <c r="U56" s="147"/>
      <c r="V56" s="148"/>
      <c r="W56" s="147"/>
      <c r="X56" s="146"/>
      <c r="Y56" s="147"/>
      <c r="Z56" s="147"/>
      <c r="AA56" s="147"/>
      <c r="AB56" s="147"/>
      <c r="AC56" s="147"/>
      <c r="AD56" s="147"/>
      <c r="AE56" s="147"/>
      <c r="AF56" s="147"/>
      <c r="AG56" s="148"/>
      <c r="AH56" s="147"/>
      <c r="AI56" s="146"/>
      <c r="AJ56" s="147"/>
      <c r="AK56" s="147"/>
      <c r="AL56" s="147"/>
      <c r="AM56" s="147"/>
      <c r="AN56" s="147"/>
      <c r="AO56" s="147"/>
      <c r="AP56" s="147"/>
      <c r="AQ56" s="147"/>
      <c r="AR56" s="148"/>
      <c r="AS56" s="147"/>
      <c r="AT56" s="146"/>
      <c r="AU56" s="147"/>
      <c r="AV56" s="147"/>
      <c r="AW56" s="147"/>
      <c r="AX56" s="147"/>
      <c r="AY56" s="147"/>
      <c r="AZ56" s="147"/>
      <c r="BA56" s="147"/>
      <c r="BB56" s="147"/>
      <c r="BC56" s="147"/>
      <c r="BD56" s="148"/>
      <c r="BE56" s="147"/>
      <c r="BF56" s="146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8"/>
      <c r="BR56" s="23"/>
    </row>
    <row r="57" spans="1:70" ht="9" customHeight="1" x14ac:dyDescent="0.3">
      <c r="A57" s="141"/>
      <c r="B57" s="146"/>
      <c r="C57" s="147"/>
      <c r="D57" s="147"/>
      <c r="E57" s="147"/>
      <c r="F57" s="147"/>
      <c r="G57" s="147"/>
      <c r="H57" s="147"/>
      <c r="I57" s="147"/>
      <c r="J57" s="147"/>
      <c r="K57" s="148"/>
      <c r="L57" s="147"/>
      <c r="M57" s="146"/>
      <c r="N57" s="147"/>
      <c r="O57" s="147"/>
      <c r="P57" s="147"/>
      <c r="Q57" s="147"/>
      <c r="R57" s="147"/>
      <c r="S57" s="147"/>
      <c r="T57" s="147"/>
      <c r="U57" s="147"/>
      <c r="V57" s="148"/>
      <c r="W57" s="147"/>
      <c r="X57" s="146"/>
      <c r="Y57" s="147"/>
      <c r="Z57" s="147"/>
      <c r="AA57" s="147"/>
      <c r="AB57" s="147"/>
      <c r="AC57" s="147"/>
      <c r="AD57" s="147"/>
      <c r="AE57" s="147"/>
      <c r="AF57" s="147"/>
      <c r="AG57" s="148"/>
      <c r="AH57" s="147"/>
      <c r="AI57" s="146"/>
      <c r="AJ57" s="147"/>
      <c r="AK57" s="147"/>
      <c r="AL57" s="147"/>
      <c r="AM57" s="147"/>
      <c r="AN57" s="147"/>
      <c r="AO57" s="147"/>
      <c r="AP57" s="147"/>
      <c r="AQ57" s="147"/>
      <c r="AR57" s="148"/>
      <c r="AS57" s="147"/>
      <c r="AT57" s="146"/>
      <c r="AU57" s="147"/>
      <c r="AV57" s="147"/>
      <c r="AW57" s="147"/>
      <c r="AX57" s="147"/>
      <c r="AY57" s="147"/>
      <c r="AZ57" s="147"/>
      <c r="BA57" s="147"/>
      <c r="BB57" s="147"/>
      <c r="BC57" s="147"/>
      <c r="BD57" s="148"/>
      <c r="BE57" s="147"/>
      <c r="BF57" s="146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8"/>
      <c r="BR57" s="23"/>
    </row>
    <row r="58" spans="1:70" ht="9" customHeight="1" x14ac:dyDescent="0.3">
      <c r="A58" s="141"/>
      <c r="B58" s="146"/>
      <c r="C58" s="147"/>
      <c r="D58" s="147"/>
      <c r="E58" s="147"/>
      <c r="F58" s="147"/>
      <c r="G58" s="147"/>
      <c r="H58" s="147"/>
      <c r="I58" s="147"/>
      <c r="J58" s="147"/>
      <c r="K58" s="148"/>
      <c r="L58" s="147"/>
      <c r="M58" s="146"/>
      <c r="N58" s="147"/>
      <c r="O58" s="147"/>
      <c r="P58" s="147"/>
      <c r="Q58" s="147"/>
      <c r="R58" s="147"/>
      <c r="S58" s="147"/>
      <c r="T58" s="147"/>
      <c r="U58" s="147"/>
      <c r="V58" s="148"/>
      <c r="W58" s="147"/>
      <c r="X58" s="146"/>
      <c r="Y58" s="147"/>
      <c r="Z58" s="147"/>
      <c r="AA58" s="147"/>
      <c r="AB58" s="147"/>
      <c r="AC58" s="147"/>
      <c r="AD58" s="147"/>
      <c r="AE58" s="147"/>
      <c r="AF58" s="147"/>
      <c r="AG58" s="148"/>
      <c r="AH58" s="147"/>
      <c r="AI58" s="146"/>
      <c r="AJ58" s="147"/>
      <c r="AK58" s="147"/>
      <c r="AL58" s="147"/>
      <c r="AM58" s="147"/>
      <c r="AN58" s="147"/>
      <c r="AO58" s="147"/>
      <c r="AP58" s="147"/>
      <c r="AQ58" s="147"/>
      <c r="AR58" s="148"/>
      <c r="AS58" s="147"/>
      <c r="AT58" s="146"/>
      <c r="AU58" s="147"/>
      <c r="AV58" s="147"/>
      <c r="AW58" s="147"/>
      <c r="AX58" s="147"/>
      <c r="AY58" s="147"/>
      <c r="AZ58" s="147"/>
      <c r="BA58" s="147"/>
      <c r="BB58" s="147"/>
      <c r="BC58" s="147"/>
      <c r="BD58" s="148"/>
      <c r="BE58" s="147"/>
      <c r="BF58" s="146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8"/>
      <c r="BR58" s="23"/>
    </row>
    <row r="59" spans="1:70" ht="9" customHeight="1" x14ac:dyDescent="0.3">
      <c r="A59" s="141"/>
      <c r="B59" s="146"/>
      <c r="C59" s="147"/>
      <c r="D59" s="147"/>
      <c r="E59" s="147"/>
      <c r="F59" s="147"/>
      <c r="G59" s="147"/>
      <c r="H59" s="147"/>
      <c r="I59" s="147"/>
      <c r="J59" s="147"/>
      <c r="K59" s="148"/>
      <c r="L59" s="147"/>
      <c r="M59" s="146"/>
      <c r="N59" s="147"/>
      <c r="O59" s="147"/>
      <c r="P59" s="147"/>
      <c r="Q59" s="147"/>
      <c r="R59" s="147"/>
      <c r="S59" s="147"/>
      <c r="T59" s="147"/>
      <c r="U59" s="147"/>
      <c r="V59" s="148"/>
      <c r="W59" s="147"/>
      <c r="X59" s="146"/>
      <c r="Y59" s="147"/>
      <c r="Z59" s="147"/>
      <c r="AA59" s="147"/>
      <c r="AB59" s="147"/>
      <c r="AC59" s="147"/>
      <c r="AD59" s="147"/>
      <c r="AE59" s="147"/>
      <c r="AF59" s="147"/>
      <c r="AG59" s="148"/>
      <c r="AH59" s="147"/>
      <c r="AI59" s="146"/>
      <c r="AJ59" s="147"/>
      <c r="AK59" s="147"/>
      <c r="AL59" s="147"/>
      <c r="AM59" s="147"/>
      <c r="AN59" s="147"/>
      <c r="AO59" s="147"/>
      <c r="AP59" s="147"/>
      <c r="AQ59" s="147"/>
      <c r="AR59" s="148"/>
      <c r="AS59" s="147"/>
      <c r="AT59" s="146"/>
      <c r="AU59" s="147"/>
      <c r="AV59" s="147"/>
      <c r="AW59" s="147"/>
      <c r="AX59" s="147"/>
      <c r="AY59" s="147"/>
      <c r="AZ59" s="147"/>
      <c r="BA59" s="147"/>
      <c r="BB59" s="147"/>
      <c r="BC59" s="147"/>
      <c r="BD59" s="148"/>
      <c r="BE59" s="147"/>
      <c r="BF59" s="146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8"/>
      <c r="BR59" s="23"/>
    </row>
    <row r="60" spans="1:70" ht="9" customHeight="1" x14ac:dyDescent="0.3">
      <c r="A60" s="141"/>
      <c r="B60" s="146"/>
      <c r="C60" s="147"/>
      <c r="D60" s="147"/>
      <c r="E60" s="147"/>
      <c r="F60" s="147"/>
      <c r="G60" s="147"/>
      <c r="H60" s="147"/>
      <c r="I60" s="147"/>
      <c r="J60" s="147"/>
      <c r="K60" s="148"/>
      <c r="L60" s="147"/>
      <c r="M60" s="146"/>
      <c r="N60" s="147"/>
      <c r="O60" s="147"/>
      <c r="P60" s="147"/>
      <c r="Q60" s="147"/>
      <c r="R60" s="147"/>
      <c r="S60" s="147"/>
      <c r="T60" s="147"/>
      <c r="U60" s="147"/>
      <c r="V60" s="148"/>
      <c r="W60" s="147"/>
      <c r="X60" s="146"/>
      <c r="Y60" s="147"/>
      <c r="Z60" s="147"/>
      <c r="AA60" s="147"/>
      <c r="AB60" s="147"/>
      <c r="AC60" s="147"/>
      <c r="AD60" s="147"/>
      <c r="AE60" s="147"/>
      <c r="AF60" s="147"/>
      <c r="AG60" s="148"/>
      <c r="AH60" s="147"/>
      <c r="AI60" s="146"/>
      <c r="AJ60" s="147"/>
      <c r="AK60" s="147"/>
      <c r="AL60" s="147"/>
      <c r="AM60" s="147"/>
      <c r="AN60" s="147"/>
      <c r="AO60" s="147"/>
      <c r="AP60" s="147"/>
      <c r="AQ60" s="147"/>
      <c r="AR60" s="148"/>
      <c r="AS60" s="147"/>
      <c r="AT60" s="146"/>
      <c r="AU60" s="147"/>
      <c r="AV60" s="147"/>
      <c r="AW60" s="147"/>
      <c r="AX60" s="147"/>
      <c r="AY60" s="147"/>
      <c r="AZ60" s="147"/>
      <c r="BA60" s="147"/>
      <c r="BB60" s="147"/>
      <c r="BC60" s="147"/>
      <c r="BD60" s="148"/>
      <c r="BE60" s="147"/>
      <c r="BF60" s="146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8"/>
      <c r="BR60" s="23"/>
    </row>
    <row r="61" spans="1:70" ht="9" customHeight="1" x14ac:dyDescent="0.3">
      <c r="A61" s="141"/>
      <c r="B61" s="146"/>
      <c r="C61" s="147"/>
      <c r="D61" s="147"/>
      <c r="E61" s="147"/>
      <c r="F61" s="147"/>
      <c r="G61" s="147"/>
      <c r="H61" s="147"/>
      <c r="I61" s="147"/>
      <c r="J61" s="147"/>
      <c r="K61" s="148"/>
      <c r="L61" s="147"/>
      <c r="M61" s="146"/>
      <c r="N61" s="147"/>
      <c r="O61" s="147"/>
      <c r="P61" s="147"/>
      <c r="Q61" s="147"/>
      <c r="R61" s="147"/>
      <c r="S61" s="147"/>
      <c r="T61" s="147"/>
      <c r="U61" s="147"/>
      <c r="V61" s="148"/>
      <c r="W61" s="147"/>
      <c r="X61" s="146"/>
      <c r="Y61" s="147"/>
      <c r="Z61" s="147"/>
      <c r="AA61" s="147"/>
      <c r="AB61" s="147"/>
      <c r="AC61" s="147"/>
      <c r="AD61" s="147"/>
      <c r="AE61" s="147"/>
      <c r="AF61" s="147"/>
      <c r="AG61" s="148"/>
      <c r="AH61" s="147"/>
      <c r="AI61" s="146"/>
      <c r="AJ61" s="147"/>
      <c r="AK61" s="147"/>
      <c r="AL61" s="147"/>
      <c r="AM61" s="147"/>
      <c r="AN61" s="147"/>
      <c r="AO61" s="147"/>
      <c r="AP61" s="147"/>
      <c r="AQ61" s="147"/>
      <c r="AR61" s="148"/>
      <c r="AS61" s="147"/>
      <c r="AT61" s="146"/>
      <c r="AU61" s="147"/>
      <c r="AV61" s="147"/>
      <c r="AW61" s="147"/>
      <c r="AX61" s="147"/>
      <c r="AY61" s="147"/>
      <c r="AZ61" s="147"/>
      <c r="BA61" s="147"/>
      <c r="BB61" s="147"/>
      <c r="BC61" s="147"/>
      <c r="BD61" s="148"/>
      <c r="BE61" s="147"/>
      <c r="BF61" s="146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8"/>
      <c r="BR61" s="23"/>
    </row>
    <row r="62" spans="1:70" ht="9" customHeight="1" x14ac:dyDescent="0.3">
      <c r="A62" s="141"/>
      <c r="B62" s="146"/>
      <c r="C62" s="147"/>
      <c r="D62" s="147"/>
      <c r="E62" s="147"/>
      <c r="F62" s="147"/>
      <c r="G62" s="147"/>
      <c r="H62" s="147"/>
      <c r="I62" s="147"/>
      <c r="J62" s="147"/>
      <c r="K62" s="148"/>
      <c r="L62" s="147"/>
      <c r="M62" s="146"/>
      <c r="N62" s="147"/>
      <c r="O62" s="147"/>
      <c r="P62" s="147"/>
      <c r="Q62" s="147"/>
      <c r="R62" s="147"/>
      <c r="S62" s="147"/>
      <c r="T62" s="147"/>
      <c r="U62" s="147"/>
      <c r="V62" s="148"/>
      <c r="W62" s="147"/>
      <c r="X62" s="146"/>
      <c r="Y62" s="147"/>
      <c r="Z62" s="147"/>
      <c r="AA62" s="147"/>
      <c r="AB62" s="147"/>
      <c r="AC62" s="147"/>
      <c r="AD62" s="147"/>
      <c r="AE62" s="147"/>
      <c r="AF62" s="147"/>
      <c r="AG62" s="148"/>
      <c r="AH62" s="147"/>
      <c r="AI62" s="146"/>
      <c r="AJ62" s="147"/>
      <c r="AK62" s="147"/>
      <c r="AL62" s="147"/>
      <c r="AM62" s="147"/>
      <c r="AN62" s="147"/>
      <c r="AO62" s="147"/>
      <c r="AP62" s="147"/>
      <c r="AQ62" s="147"/>
      <c r="AR62" s="148"/>
      <c r="AS62" s="147"/>
      <c r="AT62" s="146"/>
      <c r="AU62" s="147"/>
      <c r="AV62" s="147"/>
      <c r="AW62" s="147"/>
      <c r="AX62" s="147"/>
      <c r="AY62" s="147"/>
      <c r="AZ62" s="147"/>
      <c r="BA62" s="147"/>
      <c r="BB62" s="147"/>
      <c r="BC62" s="147"/>
      <c r="BD62" s="148"/>
      <c r="BE62" s="147"/>
      <c r="BF62" s="146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8"/>
      <c r="BR62" s="23"/>
    </row>
    <row r="63" spans="1:70" ht="9" customHeight="1" x14ac:dyDescent="0.3">
      <c r="A63" s="141"/>
      <c r="B63" s="403" t="s">
        <v>214</v>
      </c>
      <c r="C63" s="400"/>
      <c r="D63" s="400"/>
      <c r="E63" s="400"/>
      <c r="F63" s="400"/>
      <c r="G63" s="400"/>
      <c r="H63" s="400"/>
      <c r="I63" s="400"/>
      <c r="J63" s="400"/>
      <c r="K63" s="402"/>
      <c r="L63" s="152"/>
      <c r="M63" s="403" t="s">
        <v>215</v>
      </c>
      <c r="N63" s="400"/>
      <c r="O63" s="400"/>
      <c r="P63" s="400"/>
      <c r="Q63" s="400"/>
      <c r="R63" s="400"/>
      <c r="S63" s="400"/>
      <c r="T63" s="400"/>
      <c r="U63" s="400"/>
      <c r="V63" s="402"/>
      <c r="W63" s="152"/>
      <c r="X63" s="403" t="s">
        <v>216</v>
      </c>
      <c r="Y63" s="400"/>
      <c r="Z63" s="400"/>
      <c r="AA63" s="400"/>
      <c r="AB63" s="400"/>
      <c r="AC63" s="400"/>
      <c r="AD63" s="400"/>
      <c r="AE63" s="400"/>
      <c r="AF63" s="400"/>
      <c r="AG63" s="402"/>
      <c r="AH63" s="152"/>
      <c r="AI63" s="403" t="s">
        <v>217</v>
      </c>
      <c r="AJ63" s="400"/>
      <c r="AK63" s="400"/>
      <c r="AL63" s="400"/>
      <c r="AM63" s="400"/>
      <c r="AN63" s="400"/>
      <c r="AO63" s="400"/>
      <c r="AP63" s="400"/>
      <c r="AQ63" s="400"/>
      <c r="AR63" s="402"/>
      <c r="AS63" s="152"/>
      <c r="AT63" s="403" t="s">
        <v>218</v>
      </c>
      <c r="AU63" s="400"/>
      <c r="AV63" s="400"/>
      <c r="AW63" s="400"/>
      <c r="AX63" s="400"/>
      <c r="AY63" s="400"/>
      <c r="AZ63" s="400"/>
      <c r="BA63" s="400"/>
      <c r="BB63" s="400"/>
      <c r="BC63" s="400"/>
      <c r="BD63" s="402"/>
      <c r="BE63" s="152"/>
      <c r="BF63" s="403" t="s">
        <v>213</v>
      </c>
      <c r="BG63" s="400"/>
      <c r="BH63" s="400"/>
      <c r="BI63" s="400"/>
      <c r="BJ63" s="400"/>
      <c r="BK63" s="400"/>
      <c r="BL63" s="400"/>
      <c r="BM63" s="400"/>
      <c r="BN63" s="400"/>
      <c r="BO63" s="400"/>
      <c r="BP63" s="400"/>
      <c r="BQ63" s="402"/>
      <c r="BR63" s="23"/>
    </row>
    <row r="64" spans="1:70" ht="9" customHeight="1" x14ac:dyDescent="0.3">
      <c r="A64" s="141"/>
      <c r="B64" s="405" t="s">
        <v>606</v>
      </c>
      <c r="C64" s="406"/>
      <c r="D64" s="406"/>
      <c r="E64" s="406"/>
      <c r="F64" s="406"/>
      <c r="G64" s="406"/>
      <c r="H64" s="406"/>
      <c r="I64" s="406"/>
      <c r="J64" s="406"/>
      <c r="K64" s="407"/>
      <c r="L64" s="156"/>
      <c r="M64" s="405" t="s">
        <v>606</v>
      </c>
      <c r="N64" s="406"/>
      <c r="O64" s="406"/>
      <c r="P64" s="406"/>
      <c r="Q64" s="406"/>
      <c r="R64" s="406"/>
      <c r="S64" s="406"/>
      <c r="T64" s="406"/>
      <c r="U64" s="406"/>
      <c r="V64" s="407"/>
      <c r="W64" s="156"/>
      <c r="X64" s="405" t="s">
        <v>606</v>
      </c>
      <c r="Y64" s="406"/>
      <c r="Z64" s="406"/>
      <c r="AA64" s="406"/>
      <c r="AB64" s="406"/>
      <c r="AC64" s="406"/>
      <c r="AD64" s="406"/>
      <c r="AE64" s="406"/>
      <c r="AF64" s="406"/>
      <c r="AG64" s="407"/>
      <c r="AH64" s="156"/>
      <c r="AI64" s="405" t="s">
        <v>606</v>
      </c>
      <c r="AJ64" s="406"/>
      <c r="AK64" s="406"/>
      <c r="AL64" s="406"/>
      <c r="AM64" s="406"/>
      <c r="AN64" s="406"/>
      <c r="AO64" s="406"/>
      <c r="AP64" s="406"/>
      <c r="AQ64" s="406"/>
      <c r="AR64" s="407"/>
      <c r="AS64" s="156"/>
      <c r="AT64" s="405" t="s">
        <v>606</v>
      </c>
      <c r="AU64" s="406"/>
      <c r="AV64" s="406"/>
      <c r="AW64" s="406"/>
      <c r="AX64" s="406"/>
      <c r="AY64" s="406"/>
      <c r="AZ64" s="406"/>
      <c r="BA64" s="406"/>
      <c r="BB64" s="406"/>
      <c r="BC64" s="406"/>
      <c r="BD64" s="407"/>
      <c r="BE64" s="156"/>
      <c r="BF64" s="405" t="s">
        <v>606</v>
      </c>
      <c r="BG64" s="406"/>
      <c r="BH64" s="406"/>
      <c r="BI64" s="406"/>
      <c r="BJ64" s="406"/>
      <c r="BK64" s="406"/>
      <c r="BL64" s="406"/>
      <c r="BM64" s="406"/>
      <c r="BN64" s="406"/>
      <c r="BO64" s="406"/>
      <c r="BP64" s="406"/>
      <c r="BQ64" s="407"/>
      <c r="BR64" s="23"/>
    </row>
    <row r="65" spans="1:70" s="5" customFormat="1" ht="10.95" customHeight="1" x14ac:dyDescent="0.3">
      <c r="A65" s="153"/>
      <c r="B65" s="323" t="s">
        <v>700</v>
      </c>
      <c r="C65" s="323"/>
      <c r="D65" s="323"/>
      <c r="E65" s="323"/>
      <c r="F65" s="323"/>
      <c r="G65" s="323"/>
      <c r="H65" s="324">
        <f>CEILING(2686*B4,1)</f>
        <v>3761</v>
      </c>
      <c r="I65" s="324"/>
      <c r="J65" s="324"/>
      <c r="K65" s="324"/>
      <c r="L65" s="83"/>
      <c r="M65" s="323" t="s">
        <v>701</v>
      </c>
      <c r="N65" s="323"/>
      <c r="O65" s="323"/>
      <c r="P65" s="323"/>
      <c r="Q65" s="323"/>
      <c r="R65" s="323"/>
      <c r="S65" s="324">
        <f>CEILING(4130*B4,1)</f>
        <v>5782</v>
      </c>
      <c r="T65" s="324"/>
      <c r="U65" s="324"/>
      <c r="V65" s="324"/>
      <c r="W65" s="83"/>
      <c r="X65" s="323" t="s">
        <v>702</v>
      </c>
      <c r="Y65" s="323"/>
      <c r="Z65" s="323"/>
      <c r="AA65" s="323"/>
      <c r="AB65" s="323"/>
      <c r="AC65" s="323"/>
      <c r="AD65" s="324">
        <f>CEILING(6020*B4,1)</f>
        <v>8428</v>
      </c>
      <c r="AE65" s="324"/>
      <c r="AF65" s="324"/>
      <c r="AG65" s="324"/>
      <c r="AH65" s="85"/>
      <c r="AI65" s="323" t="s">
        <v>703</v>
      </c>
      <c r="AJ65" s="323"/>
      <c r="AK65" s="323"/>
      <c r="AL65" s="323"/>
      <c r="AM65" s="323"/>
      <c r="AN65" s="323"/>
      <c r="AO65" s="324">
        <f>CEILING(7962*B4,1)</f>
        <v>11147</v>
      </c>
      <c r="AP65" s="324"/>
      <c r="AQ65" s="324"/>
      <c r="AR65" s="324"/>
      <c r="AS65" s="85"/>
      <c r="AT65" s="323" t="s">
        <v>704</v>
      </c>
      <c r="AU65" s="323"/>
      <c r="AV65" s="323"/>
      <c r="AW65" s="323"/>
      <c r="AX65" s="323"/>
      <c r="AY65" s="323"/>
      <c r="AZ65" s="323"/>
      <c r="BA65" s="324">
        <f>CEILING(9788*B4,1)</f>
        <v>13704</v>
      </c>
      <c r="BB65" s="324"/>
      <c r="BC65" s="324"/>
      <c r="BD65" s="324"/>
      <c r="BE65" s="85"/>
      <c r="BF65" s="323" t="s">
        <v>705</v>
      </c>
      <c r="BG65" s="323"/>
      <c r="BH65" s="323"/>
      <c r="BI65" s="323"/>
      <c r="BJ65" s="323"/>
      <c r="BK65" s="323"/>
      <c r="BL65" s="323"/>
      <c r="BM65" s="323"/>
      <c r="BN65" s="324">
        <f>CEILING(11513*B4,1)</f>
        <v>16119</v>
      </c>
      <c r="BO65" s="324"/>
      <c r="BP65" s="324"/>
      <c r="BQ65" s="324"/>
      <c r="BR65" s="64"/>
    </row>
    <row r="66" spans="1:70" ht="1.95" customHeight="1" x14ac:dyDescent="0.3">
      <c r="A66" s="141"/>
      <c r="B66" s="146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8"/>
      <c r="BR66" s="23"/>
    </row>
    <row r="67" spans="1:70" ht="9" customHeight="1" x14ac:dyDescent="0.3">
      <c r="A67" s="141"/>
      <c r="B67" s="404" t="s">
        <v>205</v>
      </c>
      <c r="C67" s="404"/>
      <c r="D67" s="404"/>
      <c r="E67" s="160"/>
      <c r="F67" s="149"/>
      <c r="G67" s="149"/>
      <c r="H67" s="149"/>
      <c r="I67" s="149"/>
      <c r="J67" s="149"/>
      <c r="K67" s="150"/>
      <c r="L67" s="147"/>
      <c r="M67" s="394" t="s">
        <v>206</v>
      </c>
      <c r="N67" s="389"/>
      <c r="O67" s="390"/>
      <c r="P67" s="161"/>
      <c r="Q67" s="149"/>
      <c r="R67" s="149"/>
      <c r="S67" s="149"/>
      <c r="T67" s="149"/>
      <c r="U67" s="149"/>
      <c r="V67" s="150"/>
      <c r="W67" s="147"/>
      <c r="X67" s="394" t="s">
        <v>726</v>
      </c>
      <c r="Y67" s="389"/>
      <c r="Z67" s="390"/>
      <c r="AA67" s="161"/>
      <c r="AB67" s="149"/>
      <c r="AC67" s="149"/>
      <c r="AD67" s="149"/>
      <c r="AE67" s="149"/>
      <c r="AF67" s="149"/>
      <c r="AG67" s="150"/>
      <c r="AH67" s="147"/>
      <c r="AI67" s="394" t="s">
        <v>207</v>
      </c>
      <c r="AJ67" s="389"/>
      <c r="AK67" s="390"/>
      <c r="AL67" s="161"/>
      <c r="AM67" s="149"/>
      <c r="AN67" s="149"/>
      <c r="AO67" s="149"/>
      <c r="AP67" s="149"/>
      <c r="AQ67" s="149"/>
      <c r="AR67" s="150"/>
      <c r="AS67" s="147"/>
      <c r="AT67" s="394" t="s">
        <v>209</v>
      </c>
      <c r="AU67" s="389"/>
      <c r="AV67" s="390"/>
      <c r="AW67" s="161"/>
      <c r="AX67" s="149"/>
      <c r="AY67" s="149"/>
      <c r="AZ67" s="149"/>
      <c r="BA67" s="149"/>
      <c r="BB67" s="149"/>
      <c r="BC67" s="149"/>
      <c r="BD67" s="150"/>
      <c r="BE67" s="147"/>
      <c r="BF67" s="394" t="s">
        <v>210</v>
      </c>
      <c r="BG67" s="389"/>
      <c r="BH67" s="390"/>
      <c r="BI67" s="161"/>
      <c r="BJ67" s="149"/>
      <c r="BK67" s="149"/>
      <c r="BL67" s="149"/>
      <c r="BM67" s="149"/>
      <c r="BN67" s="149"/>
      <c r="BO67" s="149"/>
      <c r="BP67" s="149"/>
      <c r="BQ67" s="150"/>
      <c r="BR67" s="23"/>
    </row>
    <row r="68" spans="1:70" ht="9" customHeight="1" x14ac:dyDescent="0.3">
      <c r="A68" s="141"/>
      <c r="B68" s="146"/>
      <c r="C68" s="147"/>
      <c r="D68" s="147"/>
      <c r="E68" s="147"/>
      <c r="F68" s="147"/>
      <c r="G68" s="147"/>
      <c r="H68" s="147"/>
      <c r="I68" s="147"/>
      <c r="J68" s="147"/>
      <c r="K68" s="148"/>
      <c r="L68" s="147"/>
      <c r="M68" s="146"/>
      <c r="N68" s="147"/>
      <c r="O68" s="147"/>
      <c r="P68" s="147"/>
      <c r="Q68" s="147"/>
      <c r="R68" s="147"/>
      <c r="S68" s="147"/>
      <c r="T68" s="147"/>
      <c r="U68" s="147"/>
      <c r="V68" s="148"/>
      <c r="W68" s="147"/>
      <c r="X68" s="146"/>
      <c r="Y68" s="147"/>
      <c r="Z68" s="147"/>
      <c r="AA68" s="147"/>
      <c r="AB68" s="147"/>
      <c r="AC68" s="147"/>
      <c r="AD68" s="147"/>
      <c r="AE68" s="147"/>
      <c r="AF68" s="147"/>
      <c r="AG68" s="148"/>
      <c r="AH68" s="147"/>
      <c r="AI68" s="146"/>
      <c r="AJ68" s="147"/>
      <c r="AK68" s="147"/>
      <c r="AL68" s="147"/>
      <c r="AM68" s="147"/>
      <c r="AN68" s="147"/>
      <c r="AO68" s="147"/>
      <c r="AP68" s="147"/>
      <c r="AQ68" s="147"/>
      <c r="AR68" s="148"/>
      <c r="AS68" s="147"/>
      <c r="AT68" s="146"/>
      <c r="AU68" s="147"/>
      <c r="AV68" s="147"/>
      <c r="AW68" s="147"/>
      <c r="AX68" s="147"/>
      <c r="AY68" s="147"/>
      <c r="AZ68" s="147"/>
      <c r="BA68" s="147"/>
      <c r="BB68" s="147"/>
      <c r="BC68" s="147"/>
      <c r="BD68" s="148"/>
      <c r="BE68" s="147"/>
      <c r="BF68" s="146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8"/>
      <c r="BR68" s="23"/>
    </row>
    <row r="69" spans="1:70" ht="9" customHeight="1" x14ac:dyDescent="0.3">
      <c r="A69" s="141"/>
      <c r="B69" s="146"/>
      <c r="C69" s="147"/>
      <c r="D69" s="147"/>
      <c r="E69" s="147"/>
      <c r="F69" s="147"/>
      <c r="G69" s="147"/>
      <c r="H69" s="147"/>
      <c r="I69" s="147"/>
      <c r="J69" s="147"/>
      <c r="K69" s="148"/>
      <c r="L69" s="147"/>
      <c r="M69" s="146"/>
      <c r="N69" s="147"/>
      <c r="O69" s="147"/>
      <c r="P69" s="147"/>
      <c r="Q69" s="147"/>
      <c r="R69" s="147"/>
      <c r="S69" s="147"/>
      <c r="T69" s="147"/>
      <c r="U69" s="147"/>
      <c r="V69" s="148"/>
      <c r="W69" s="147"/>
      <c r="X69" s="146"/>
      <c r="Y69" s="147"/>
      <c r="Z69" s="147"/>
      <c r="AA69" s="147"/>
      <c r="AB69" s="147"/>
      <c r="AC69" s="147"/>
      <c r="AD69" s="147"/>
      <c r="AE69" s="147"/>
      <c r="AF69" s="147"/>
      <c r="AG69" s="148"/>
      <c r="AH69" s="147"/>
      <c r="AI69" s="146"/>
      <c r="AJ69" s="147"/>
      <c r="AK69" s="147"/>
      <c r="AL69" s="147"/>
      <c r="AM69" s="147"/>
      <c r="AN69" s="147"/>
      <c r="AO69" s="147"/>
      <c r="AP69" s="147"/>
      <c r="AQ69" s="147"/>
      <c r="AR69" s="148"/>
      <c r="AS69" s="147"/>
      <c r="AT69" s="146"/>
      <c r="AU69" s="147"/>
      <c r="AV69" s="147"/>
      <c r="AW69" s="147"/>
      <c r="AX69" s="147"/>
      <c r="AY69" s="147"/>
      <c r="AZ69" s="147"/>
      <c r="BA69" s="147"/>
      <c r="BB69" s="147"/>
      <c r="BC69" s="147"/>
      <c r="BD69" s="148"/>
      <c r="BE69" s="147"/>
      <c r="BF69" s="146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8"/>
      <c r="BR69" s="23"/>
    </row>
    <row r="70" spans="1:70" ht="9" customHeight="1" x14ac:dyDescent="0.3">
      <c r="A70" s="141"/>
      <c r="B70" s="146"/>
      <c r="C70" s="147"/>
      <c r="D70" s="147"/>
      <c r="E70" s="147"/>
      <c r="F70" s="147"/>
      <c r="G70" s="147"/>
      <c r="H70" s="147"/>
      <c r="I70" s="147"/>
      <c r="J70" s="147"/>
      <c r="K70" s="148"/>
      <c r="L70" s="147"/>
      <c r="M70" s="146"/>
      <c r="N70" s="147"/>
      <c r="O70" s="147"/>
      <c r="P70" s="147"/>
      <c r="Q70" s="147"/>
      <c r="R70" s="147"/>
      <c r="S70" s="147"/>
      <c r="T70" s="147"/>
      <c r="U70" s="147"/>
      <c r="V70" s="148"/>
      <c r="W70" s="147"/>
      <c r="X70" s="146"/>
      <c r="Y70" s="147"/>
      <c r="Z70" s="147"/>
      <c r="AA70" s="147"/>
      <c r="AB70" s="147"/>
      <c r="AC70" s="147"/>
      <c r="AD70" s="147"/>
      <c r="AE70" s="147"/>
      <c r="AF70" s="147"/>
      <c r="AG70" s="148"/>
      <c r="AH70" s="147"/>
      <c r="AI70" s="146"/>
      <c r="AJ70" s="147"/>
      <c r="AK70" s="147"/>
      <c r="AL70" s="147"/>
      <c r="AM70" s="147"/>
      <c r="AN70" s="147"/>
      <c r="AO70" s="147"/>
      <c r="AP70" s="147"/>
      <c r="AQ70" s="147"/>
      <c r="AR70" s="148"/>
      <c r="AS70" s="147"/>
      <c r="AT70" s="146"/>
      <c r="AU70" s="147"/>
      <c r="AV70" s="147"/>
      <c r="AW70" s="147"/>
      <c r="AX70" s="147"/>
      <c r="AY70" s="147"/>
      <c r="AZ70" s="147"/>
      <c r="BA70" s="147"/>
      <c r="BB70" s="147"/>
      <c r="BC70" s="147"/>
      <c r="BD70" s="148"/>
      <c r="BE70" s="147"/>
      <c r="BF70" s="146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8"/>
      <c r="BR70" s="23"/>
    </row>
    <row r="71" spans="1:70" ht="9" customHeight="1" x14ac:dyDescent="0.3">
      <c r="A71" s="141"/>
      <c r="B71" s="146"/>
      <c r="C71" s="147"/>
      <c r="D71" s="147"/>
      <c r="E71" s="147"/>
      <c r="F71" s="147"/>
      <c r="G71" s="147"/>
      <c r="H71" s="147"/>
      <c r="I71" s="147"/>
      <c r="J71" s="147"/>
      <c r="K71" s="148"/>
      <c r="L71" s="147"/>
      <c r="M71" s="146"/>
      <c r="N71" s="147"/>
      <c r="O71" s="147"/>
      <c r="P71" s="147"/>
      <c r="Q71" s="147"/>
      <c r="R71" s="147"/>
      <c r="S71" s="147"/>
      <c r="T71" s="147"/>
      <c r="U71" s="147"/>
      <c r="V71" s="148"/>
      <c r="W71" s="147"/>
      <c r="X71" s="146"/>
      <c r="Y71" s="147"/>
      <c r="Z71" s="147"/>
      <c r="AA71" s="147"/>
      <c r="AB71" s="147"/>
      <c r="AC71" s="147"/>
      <c r="AD71" s="147"/>
      <c r="AE71" s="147"/>
      <c r="AF71" s="147"/>
      <c r="AG71" s="148"/>
      <c r="AH71" s="147"/>
      <c r="AI71" s="146"/>
      <c r="AJ71" s="147"/>
      <c r="AK71" s="147"/>
      <c r="AL71" s="147"/>
      <c r="AM71" s="147"/>
      <c r="AN71" s="147"/>
      <c r="AO71" s="147"/>
      <c r="AP71" s="147"/>
      <c r="AQ71" s="147"/>
      <c r="AR71" s="148"/>
      <c r="AS71" s="147"/>
      <c r="AT71" s="146"/>
      <c r="AU71" s="147"/>
      <c r="AV71" s="147"/>
      <c r="AW71" s="147"/>
      <c r="AX71" s="147"/>
      <c r="AY71" s="147"/>
      <c r="AZ71" s="147"/>
      <c r="BA71" s="147"/>
      <c r="BB71" s="147"/>
      <c r="BC71" s="147"/>
      <c r="BD71" s="148"/>
      <c r="BE71" s="147"/>
      <c r="BF71" s="146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8"/>
      <c r="BR71" s="23"/>
    </row>
    <row r="72" spans="1:70" ht="9" customHeight="1" x14ac:dyDescent="0.3">
      <c r="A72" s="141"/>
      <c r="B72" s="162"/>
      <c r="C72" s="139"/>
      <c r="D72" s="139"/>
      <c r="E72" s="147"/>
      <c r="F72" s="147"/>
      <c r="G72" s="147"/>
      <c r="H72" s="147"/>
      <c r="I72" s="147"/>
      <c r="J72" s="147"/>
      <c r="K72" s="148"/>
      <c r="L72" s="147"/>
      <c r="M72" s="146"/>
      <c r="N72" s="147"/>
      <c r="O72" s="147"/>
      <c r="P72" s="147"/>
      <c r="Q72" s="147"/>
      <c r="R72" s="147"/>
      <c r="S72" s="147"/>
      <c r="T72" s="147"/>
      <c r="U72" s="147"/>
      <c r="V72" s="148"/>
      <c r="W72" s="147"/>
      <c r="X72" s="146"/>
      <c r="Y72" s="147"/>
      <c r="Z72" s="147"/>
      <c r="AA72" s="147"/>
      <c r="AB72" s="147"/>
      <c r="AC72" s="147"/>
      <c r="AD72" s="147"/>
      <c r="AE72" s="147"/>
      <c r="AF72" s="147"/>
      <c r="AG72" s="148"/>
      <c r="AH72" s="147"/>
      <c r="AI72" s="146"/>
      <c r="AJ72" s="147"/>
      <c r="AK72" s="147"/>
      <c r="AL72" s="147"/>
      <c r="AM72" s="147"/>
      <c r="AN72" s="147"/>
      <c r="AO72" s="147"/>
      <c r="AP72" s="147"/>
      <c r="AQ72" s="147"/>
      <c r="AR72" s="148"/>
      <c r="AS72" s="147"/>
      <c r="AT72" s="146"/>
      <c r="AU72" s="147"/>
      <c r="AV72" s="147"/>
      <c r="AW72" s="147"/>
      <c r="AX72" s="147"/>
      <c r="AY72" s="147"/>
      <c r="AZ72" s="147"/>
      <c r="BA72" s="147"/>
      <c r="BB72" s="147"/>
      <c r="BC72" s="147"/>
      <c r="BD72" s="148"/>
      <c r="BE72" s="147"/>
      <c r="BF72" s="146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8"/>
      <c r="BR72" s="23"/>
    </row>
    <row r="73" spans="1:70" ht="9" customHeight="1" x14ac:dyDescent="0.3">
      <c r="A73" s="141"/>
      <c r="B73" s="408" t="s">
        <v>685</v>
      </c>
      <c r="C73" s="409"/>
      <c r="D73" s="410"/>
      <c r="E73" s="146"/>
      <c r="F73" s="147"/>
      <c r="G73" s="147"/>
      <c r="H73" s="147"/>
      <c r="I73" s="147"/>
      <c r="J73" s="147"/>
      <c r="K73" s="148"/>
      <c r="L73" s="147"/>
      <c r="M73" s="146"/>
      <c r="N73" s="147"/>
      <c r="O73" s="147"/>
      <c r="P73" s="147"/>
      <c r="Q73" s="147"/>
      <c r="R73" s="147"/>
      <c r="S73" s="147"/>
      <c r="T73" s="147"/>
      <c r="U73" s="147"/>
      <c r="V73" s="148"/>
      <c r="W73" s="147"/>
      <c r="X73" s="146"/>
      <c r="Y73" s="147"/>
      <c r="Z73" s="147"/>
      <c r="AA73" s="147"/>
      <c r="AB73" s="147"/>
      <c r="AC73" s="147"/>
      <c r="AD73" s="147"/>
      <c r="AE73" s="147"/>
      <c r="AF73" s="147"/>
      <c r="AG73" s="148"/>
      <c r="AH73" s="147"/>
      <c r="AI73" s="146"/>
      <c r="AJ73" s="147"/>
      <c r="AK73" s="147"/>
      <c r="AL73" s="147"/>
      <c r="AM73" s="147"/>
      <c r="AN73" s="147"/>
      <c r="AO73" s="147"/>
      <c r="AP73" s="147"/>
      <c r="AQ73" s="147"/>
      <c r="AR73" s="148"/>
      <c r="AS73" s="147"/>
      <c r="AT73" s="146"/>
      <c r="AU73" s="147"/>
      <c r="AV73" s="147"/>
      <c r="AW73" s="147"/>
      <c r="AX73" s="147"/>
      <c r="AY73" s="147"/>
      <c r="AZ73" s="147"/>
      <c r="BA73" s="147"/>
      <c r="BB73" s="147"/>
      <c r="BC73" s="147"/>
      <c r="BD73" s="148"/>
      <c r="BE73" s="147"/>
      <c r="BF73" s="146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8"/>
      <c r="BR73" s="23"/>
    </row>
    <row r="74" spans="1:70" ht="9" customHeight="1" x14ac:dyDescent="0.3">
      <c r="A74" s="141"/>
      <c r="B74" s="146"/>
      <c r="C74" s="147"/>
      <c r="D74" s="147"/>
      <c r="E74" s="147"/>
      <c r="F74" s="147"/>
      <c r="G74" s="147"/>
      <c r="H74" s="147"/>
      <c r="I74" s="147"/>
      <c r="J74" s="147"/>
      <c r="K74" s="148"/>
      <c r="L74" s="147"/>
      <c r="M74" s="146"/>
      <c r="N74" s="147"/>
      <c r="O74" s="147"/>
      <c r="P74" s="147"/>
      <c r="Q74" s="147"/>
      <c r="R74" s="147"/>
      <c r="S74" s="147"/>
      <c r="T74" s="147"/>
      <c r="U74" s="147"/>
      <c r="V74" s="148"/>
      <c r="W74" s="147"/>
      <c r="X74" s="146"/>
      <c r="Y74" s="147"/>
      <c r="Z74" s="147"/>
      <c r="AA74" s="147"/>
      <c r="AB74" s="147"/>
      <c r="AC74" s="147"/>
      <c r="AD74" s="147"/>
      <c r="AE74" s="147"/>
      <c r="AF74" s="147"/>
      <c r="AG74" s="148"/>
      <c r="AH74" s="147"/>
      <c r="AI74" s="146"/>
      <c r="AJ74" s="147"/>
      <c r="AK74" s="147"/>
      <c r="AL74" s="147"/>
      <c r="AM74" s="147"/>
      <c r="AN74" s="147"/>
      <c r="AO74" s="147"/>
      <c r="AP74" s="147"/>
      <c r="AQ74" s="147"/>
      <c r="AR74" s="148"/>
      <c r="AS74" s="147"/>
      <c r="AT74" s="146"/>
      <c r="AU74" s="147"/>
      <c r="AV74" s="147"/>
      <c r="AW74" s="147"/>
      <c r="AX74" s="147"/>
      <c r="AY74" s="147"/>
      <c r="AZ74" s="147"/>
      <c r="BA74" s="147"/>
      <c r="BB74" s="147"/>
      <c r="BC74" s="147"/>
      <c r="BD74" s="148"/>
      <c r="BE74" s="147"/>
      <c r="BF74" s="146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8"/>
      <c r="BR74" s="23"/>
    </row>
    <row r="75" spans="1:70" ht="9" customHeight="1" x14ac:dyDescent="0.3">
      <c r="A75" s="141"/>
      <c r="B75" s="146"/>
      <c r="C75" s="147"/>
      <c r="D75" s="147"/>
      <c r="E75" s="147"/>
      <c r="F75" s="147"/>
      <c r="G75" s="147"/>
      <c r="H75" s="147"/>
      <c r="I75" s="147"/>
      <c r="J75" s="147"/>
      <c r="K75" s="148"/>
      <c r="L75" s="147"/>
      <c r="M75" s="146"/>
      <c r="N75" s="147"/>
      <c r="O75" s="147"/>
      <c r="P75" s="147"/>
      <c r="Q75" s="147"/>
      <c r="R75" s="147"/>
      <c r="S75" s="147"/>
      <c r="T75" s="147"/>
      <c r="U75" s="147"/>
      <c r="V75" s="148"/>
      <c r="W75" s="147"/>
      <c r="X75" s="146"/>
      <c r="Y75" s="147"/>
      <c r="Z75" s="147"/>
      <c r="AA75" s="147"/>
      <c r="AB75" s="147"/>
      <c r="AC75" s="147"/>
      <c r="AD75" s="147"/>
      <c r="AE75" s="147"/>
      <c r="AF75" s="147"/>
      <c r="AG75" s="148"/>
      <c r="AH75" s="147"/>
      <c r="AI75" s="146"/>
      <c r="AJ75" s="147"/>
      <c r="AK75" s="147"/>
      <c r="AL75" s="147"/>
      <c r="AM75" s="147"/>
      <c r="AN75" s="147"/>
      <c r="AO75" s="147"/>
      <c r="AP75" s="147"/>
      <c r="AQ75" s="147"/>
      <c r="AR75" s="148"/>
      <c r="AS75" s="147"/>
      <c r="AT75" s="146"/>
      <c r="AU75" s="147"/>
      <c r="AV75" s="147"/>
      <c r="AW75" s="147"/>
      <c r="AX75" s="147"/>
      <c r="AY75" s="147"/>
      <c r="AZ75" s="147"/>
      <c r="BA75" s="147"/>
      <c r="BB75" s="147"/>
      <c r="BC75" s="147"/>
      <c r="BD75" s="148"/>
      <c r="BE75" s="147"/>
      <c r="BF75" s="146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8"/>
      <c r="BR75" s="23"/>
    </row>
    <row r="76" spans="1:70" ht="9" customHeight="1" x14ac:dyDescent="0.3">
      <c r="A76" s="141"/>
      <c r="B76" s="146"/>
      <c r="C76" s="147"/>
      <c r="D76" s="147"/>
      <c r="E76" s="147"/>
      <c r="F76" s="147"/>
      <c r="G76" s="147"/>
      <c r="H76" s="147"/>
      <c r="I76" s="147"/>
      <c r="J76" s="147"/>
      <c r="K76" s="148"/>
      <c r="L76" s="147"/>
      <c r="M76" s="146"/>
      <c r="N76" s="147"/>
      <c r="O76" s="147"/>
      <c r="P76" s="147"/>
      <c r="Q76" s="147"/>
      <c r="R76" s="147"/>
      <c r="S76" s="147"/>
      <c r="T76" s="147"/>
      <c r="U76" s="147"/>
      <c r="V76" s="148"/>
      <c r="W76" s="147"/>
      <c r="X76" s="146"/>
      <c r="Y76" s="147"/>
      <c r="Z76" s="147"/>
      <c r="AA76" s="147"/>
      <c r="AB76" s="147"/>
      <c r="AC76" s="147"/>
      <c r="AD76" s="147"/>
      <c r="AE76" s="147"/>
      <c r="AF76" s="147"/>
      <c r="AG76" s="148"/>
      <c r="AH76" s="147"/>
      <c r="AI76" s="146"/>
      <c r="AJ76" s="147"/>
      <c r="AK76" s="147"/>
      <c r="AL76" s="147"/>
      <c r="AM76" s="147"/>
      <c r="AN76" s="147"/>
      <c r="AO76" s="147"/>
      <c r="AP76" s="147"/>
      <c r="AQ76" s="147"/>
      <c r="AR76" s="148"/>
      <c r="AS76" s="147"/>
      <c r="AT76" s="146"/>
      <c r="AU76" s="147"/>
      <c r="AV76" s="147"/>
      <c r="AW76" s="147"/>
      <c r="AX76" s="147"/>
      <c r="AY76" s="147"/>
      <c r="AZ76" s="147"/>
      <c r="BA76" s="147"/>
      <c r="BB76" s="147"/>
      <c r="BC76" s="147"/>
      <c r="BD76" s="148"/>
      <c r="BE76" s="147"/>
      <c r="BF76" s="146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8"/>
      <c r="BR76" s="23"/>
    </row>
    <row r="77" spans="1:70" ht="9" customHeight="1" x14ac:dyDescent="0.3">
      <c r="A77" s="141"/>
      <c r="B77" s="146"/>
      <c r="C77" s="147"/>
      <c r="D77" s="147"/>
      <c r="E77" s="147"/>
      <c r="F77" s="147"/>
      <c r="G77" s="147"/>
      <c r="H77" s="147"/>
      <c r="I77" s="147"/>
      <c r="J77" s="147"/>
      <c r="K77" s="148"/>
      <c r="L77" s="147"/>
      <c r="M77" s="146"/>
      <c r="N77" s="147"/>
      <c r="O77" s="147"/>
      <c r="P77" s="147"/>
      <c r="Q77" s="147"/>
      <c r="R77" s="147"/>
      <c r="S77" s="147"/>
      <c r="T77" s="147"/>
      <c r="U77" s="147"/>
      <c r="V77" s="148"/>
      <c r="W77" s="147"/>
      <c r="X77" s="403" t="s">
        <v>222</v>
      </c>
      <c r="Y77" s="400"/>
      <c r="Z77" s="400"/>
      <c r="AA77" s="400"/>
      <c r="AB77" s="400"/>
      <c r="AC77" s="400"/>
      <c r="AD77" s="400"/>
      <c r="AE77" s="400"/>
      <c r="AF77" s="400"/>
      <c r="AG77" s="402"/>
      <c r="AH77" s="147"/>
      <c r="AI77" s="146"/>
      <c r="AJ77" s="147"/>
      <c r="AK77" s="147"/>
      <c r="AL77" s="147"/>
      <c r="AM77" s="147"/>
      <c r="AN77" s="147"/>
      <c r="AO77" s="147"/>
      <c r="AP77" s="147"/>
      <c r="AQ77" s="147"/>
      <c r="AR77" s="148"/>
      <c r="AS77" s="147"/>
      <c r="AT77" s="146"/>
      <c r="AU77" s="147"/>
      <c r="AV77" s="147"/>
      <c r="AW77" s="147"/>
      <c r="AX77" s="147"/>
      <c r="AY77" s="147"/>
      <c r="AZ77" s="147"/>
      <c r="BA77" s="147"/>
      <c r="BB77" s="147"/>
      <c r="BC77" s="147"/>
      <c r="BD77" s="148"/>
      <c r="BE77" s="147"/>
      <c r="BF77" s="146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8"/>
      <c r="BR77" s="23"/>
    </row>
    <row r="78" spans="1:70" ht="12" customHeight="1" x14ac:dyDescent="0.3">
      <c r="A78" s="141"/>
      <c r="B78" s="403" t="s">
        <v>222</v>
      </c>
      <c r="C78" s="400"/>
      <c r="D78" s="400"/>
      <c r="E78" s="400"/>
      <c r="F78" s="400"/>
      <c r="G78" s="400"/>
      <c r="H78" s="400"/>
      <c r="I78" s="400"/>
      <c r="J78" s="400"/>
      <c r="K78" s="402"/>
      <c r="L78" s="147"/>
      <c r="M78" s="403" t="s">
        <v>222</v>
      </c>
      <c r="N78" s="400"/>
      <c r="O78" s="400"/>
      <c r="P78" s="400"/>
      <c r="Q78" s="400"/>
      <c r="R78" s="400"/>
      <c r="S78" s="400"/>
      <c r="T78" s="400"/>
      <c r="U78" s="400"/>
      <c r="V78" s="402"/>
      <c r="W78" s="147"/>
      <c r="X78" s="323" t="s">
        <v>768</v>
      </c>
      <c r="Y78" s="323"/>
      <c r="Z78" s="323"/>
      <c r="AA78" s="323"/>
      <c r="AB78" s="323"/>
      <c r="AC78" s="323"/>
      <c r="AD78" s="324">
        <f>CEILING(1355*B4,1)</f>
        <v>1897</v>
      </c>
      <c r="AE78" s="324"/>
      <c r="AF78" s="324"/>
      <c r="AG78" s="324"/>
      <c r="AH78" s="147"/>
      <c r="AI78" s="403" t="s">
        <v>683</v>
      </c>
      <c r="AJ78" s="400"/>
      <c r="AK78" s="400"/>
      <c r="AL78" s="400"/>
      <c r="AM78" s="400"/>
      <c r="AN78" s="400"/>
      <c r="AO78" s="400"/>
      <c r="AP78" s="400"/>
      <c r="AQ78" s="400"/>
      <c r="AR78" s="402"/>
      <c r="AS78" s="147"/>
      <c r="AT78" s="403" t="s">
        <v>683</v>
      </c>
      <c r="AU78" s="400"/>
      <c r="AV78" s="400"/>
      <c r="AW78" s="400"/>
      <c r="AX78" s="400"/>
      <c r="AY78" s="400"/>
      <c r="AZ78" s="400"/>
      <c r="BA78" s="400"/>
      <c r="BB78" s="400"/>
      <c r="BC78" s="400"/>
      <c r="BD78" s="402"/>
      <c r="BE78" s="147"/>
      <c r="BF78" s="403" t="s">
        <v>221</v>
      </c>
      <c r="BG78" s="400"/>
      <c r="BH78" s="400"/>
      <c r="BI78" s="400"/>
      <c r="BJ78" s="400"/>
      <c r="BK78" s="400"/>
      <c r="BL78" s="400"/>
      <c r="BM78" s="400"/>
      <c r="BN78" s="400"/>
      <c r="BO78" s="400"/>
      <c r="BP78" s="400"/>
      <c r="BQ78" s="402"/>
      <c r="BR78" s="23"/>
    </row>
    <row r="79" spans="1:70" s="5" customFormat="1" ht="12" customHeight="1" x14ac:dyDescent="0.3">
      <c r="A79" s="153"/>
      <c r="B79" s="323" t="s">
        <v>684</v>
      </c>
      <c r="C79" s="323"/>
      <c r="D79" s="323"/>
      <c r="E79" s="323"/>
      <c r="F79" s="323"/>
      <c r="G79" s="323"/>
      <c r="H79" s="324" t="s">
        <v>834</v>
      </c>
      <c r="I79" s="324"/>
      <c r="J79" s="324"/>
      <c r="K79" s="324"/>
      <c r="L79" s="85"/>
      <c r="M79" s="323" t="s">
        <v>769</v>
      </c>
      <c r="N79" s="323"/>
      <c r="O79" s="323"/>
      <c r="P79" s="323"/>
      <c r="Q79" s="323"/>
      <c r="R79" s="323"/>
      <c r="S79" s="324">
        <f>CEILING(2031*B4,1)</f>
        <v>2844</v>
      </c>
      <c r="T79" s="324"/>
      <c r="U79" s="324"/>
      <c r="V79" s="324"/>
      <c r="W79" s="85"/>
      <c r="X79" s="323" t="s">
        <v>767</v>
      </c>
      <c r="Y79" s="323"/>
      <c r="Z79" s="323"/>
      <c r="AA79" s="323"/>
      <c r="AB79" s="323"/>
      <c r="AC79" s="323"/>
      <c r="AD79" s="324">
        <f>CEILING(2423*B4,1)</f>
        <v>3393</v>
      </c>
      <c r="AE79" s="324"/>
      <c r="AF79" s="324"/>
      <c r="AG79" s="324"/>
      <c r="AH79" s="85"/>
      <c r="AI79" s="323" t="s">
        <v>686</v>
      </c>
      <c r="AJ79" s="323"/>
      <c r="AK79" s="323"/>
      <c r="AL79" s="323"/>
      <c r="AM79" s="323"/>
      <c r="AN79" s="323"/>
      <c r="AO79" s="324">
        <f>CEILING(4524*B4,1)</f>
        <v>6334</v>
      </c>
      <c r="AP79" s="324"/>
      <c r="AQ79" s="324"/>
      <c r="AR79" s="324"/>
      <c r="AS79" s="85"/>
      <c r="AT79" s="323" t="s">
        <v>686</v>
      </c>
      <c r="AU79" s="323"/>
      <c r="AV79" s="323"/>
      <c r="AW79" s="323"/>
      <c r="AX79" s="323"/>
      <c r="AY79" s="323"/>
      <c r="AZ79" s="323"/>
      <c r="BA79" s="323"/>
      <c r="BB79" s="324">
        <f>CEILING(5642*B4,1)</f>
        <v>7899</v>
      </c>
      <c r="BC79" s="324"/>
      <c r="BD79" s="324"/>
      <c r="BE79" s="85"/>
      <c r="BF79" s="323" t="s">
        <v>687</v>
      </c>
      <c r="BG79" s="323"/>
      <c r="BH79" s="323"/>
      <c r="BI79" s="323"/>
      <c r="BJ79" s="323"/>
      <c r="BK79" s="323"/>
      <c r="BL79" s="323"/>
      <c r="BM79" s="323"/>
      <c r="BN79" s="324">
        <f>CEILING(4916*B4,1)</f>
        <v>6883</v>
      </c>
      <c r="BO79" s="324"/>
      <c r="BP79" s="324"/>
      <c r="BQ79" s="324"/>
      <c r="BR79" s="64"/>
    </row>
    <row r="80" spans="1:70" ht="1.95" customHeight="1" x14ac:dyDescent="0.3">
      <c r="A80" s="141"/>
      <c r="B80" s="146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57"/>
      <c r="AN80" s="157"/>
      <c r="AO80" s="157"/>
      <c r="AP80" s="157"/>
      <c r="AQ80" s="157"/>
      <c r="AR80" s="15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57"/>
      <c r="BK80" s="157"/>
      <c r="BL80" s="157"/>
      <c r="BM80" s="157"/>
      <c r="BN80" s="157"/>
      <c r="BO80" s="157"/>
      <c r="BP80" s="157"/>
      <c r="BQ80" s="163"/>
      <c r="BR80" s="23"/>
    </row>
    <row r="81" spans="1:70" ht="9" customHeight="1" x14ac:dyDescent="0.3">
      <c r="A81" s="141"/>
      <c r="B81" s="388" t="s">
        <v>333</v>
      </c>
      <c r="C81" s="389"/>
      <c r="D81" s="390"/>
      <c r="E81" s="161"/>
      <c r="F81" s="149"/>
      <c r="G81" s="149"/>
      <c r="H81" s="149"/>
      <c r="I81" s="149"/>
      <c r="J81" s="149"/>
      <c r="K81" s="150"/>
      <c r="L81" s="147"/>
      <c r="M81" s="391" t="s">
        <v>334</v>
      </c>
      <c r="N81" s="392"/>
      <c r="O81" s="393"/>
      <c r="P81" s="161"/>
      <c r="Q81" s="149"/>
      <c r="R81" s="149"/>
      <c r="S81" s="149"/>
      <c r="T81" s="149"/>
      <c r="U81" s="149"/>
      <c r="V81" s="150"/>
      <c r="W81" s="147"/>
      <c r="X81" s="394" t="s">
        <v>636</v>
      </c>
      <c r="Y81" s="389"/>
      <c r="Z81" s="390"/>
      <c r="AA81" s="161"/>
      <c r="AB81" s="149"/>
      <c r="AC81" s="149"/>
      <c r="AD81" s="149"/>
      <c r="AE81" s="149"/>
      <c r="AF81" s="149"/>
      <c r="AG81" s="150"/>
      <c r="AH81" s="147"/>
      <c r="AI81" s="394" t="s">
        <v>615</v>
      </c>
      <c r="AJ81" s="389"/>
      <c r="AK81" s="389"/>
      <c r="AL81" s="389"/>
      <c r="AM81" s="389"/>
      <c r="AN81" s="390"/>
      <c r="AO81" s="164"/>
      <c r="AP81" s="158"/>
      <c r="AQ81" s="158"/>
      <c r="AR81" s="159"/>
      <c r="AS81" s="147"/>
      <c r="AT81" s="394" t="s">
        <v>616</v>
      </c>
      <c r="AU81" s="389"/>
      <c r="AV81" s="389"/>
      <c r="AW81" s="389"/>
      <c r="AX81" s="389"/>
      <c r="AY81" s="390"/>
      <c r="AZ81" s="164"/>
      <c r="BA81" s="158"/>
      <c r="BB81" s="158"/>
      <c r="BC81" s="158"/>
      <c r="BD81" s="159"/>
      <c r="BE81" s="147"/>
      <c r="BF81" s="394" t="s">
        <v>617</v>
      </c>
      <c r="BG81" s="389"/>
      <c r="BH81" s="389"/>
      <c r="BI81" s="389"/>
      <c r="BJ81" s="389"/>
      <c r="BK81" s="390"/>
      <c r="BL81" s="164"/>
      <c r="BM81" s="158"/>
      <c r="BN81" s="158"/>
      <c r="BO81" s="158"/>
      <c r="BP81" s="158"/>
      <c r="BQ81" s="159"/>
      <c r="BR81" s="23"/>
    </row>
    <row r="82" spans="1:70" ht="9" customHeight="1" x14ac:dyDescent="0.3">
      <c r="A82" s="141"/>
      <c r="B82" s="146"/>
      <c r="C82" s="147"/>
      <c r="D82" s="147"/>
      <c r="E82" s="147"/>
      <c r="F82" s="147"/>
      <c r="G82" s="147"/>
      <c r="H82" s="147"/>
      <c r="I82" s="147"/>
      <c r="J82" s="147"/>
      <c r="K82" s="148"/>
      <c r="L82" s="147"/>
      <c r="M82" s="146"/>
      <c r="N82" s="147"/>
      <c r="O82" s="147"/>
      <c r="P82" s="147"/>
      <c r="Q82" s="147"/>
      <c r="R82" s="147"/>
      <c r="S82" s="147"/>
      <c r="T82" s="147"/>
      <c r="U82" s="147"/>
      <c r="V82" s="148"/>
      <c r="W82" s="147"/>
      <c r="X82" s="146"/>
      <c r="Y82" s="147"/>
      <c r="Z82" s="147"/>
      <c r="AA82" s="147"/>
      <c r="AB82" s="147"/>
      <c r="AC82" s="147"/>
      <c r="AD82" s="147"/>
      <c r="AE82" s="147"/>
      <c r="AF82" s="147"/>
      <c r="AG82" s="148"/>
      <c r="AH82" s="147"/>
      <c r="AI82" s="146"/>
      <c r="AJ82" s="147"/>
      <c r="AK82" s="147"/>
      <c r="AL82" s="147"/>
      <c r="AM82" s="147"/>
      <c r="AN82" s="147"/>
      <c r="AO82" s="147"/>
      <c r="AP82" s="147"/>
      <c r="AQ82" s="147"/>
      <c r="AR82" s="148"/>
      <c r="AS82" s="147"/>
      <c r="AT82" s="146"/>
      <c r="AU82" s="147"/>
      <c r="AV82" s="147"/>
      <c r="AW82" s="147"/>
      <c r="AX82" s="147"/>
      <c r="AY82" s="147"/>
      <c r="AZ82" s="147"/>
      <c r="BA82" s="147"/>
      <c r="BB82" s="147"/>
      <c r="BC82" s="147"/>
      <c r="BD82" s="148"/>
      <c r="BE82" s="147"/>
      <c r="BF82" s="146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8"/>
      <c r="BR82" s="23"/>
    </row>
    <row r="83" spans="1:70" ht="9" customHeight="1" x14ac:dyDescent="0.3">
      <c r="A83" s="141"/>
      <c r="B83" s="146"/>
      <c r="C83" s="147"/>
      <c r="D83" s="147"/>
      <c r="E83" s="147"/>
      <c r="F83" s="147"/>
      <c r="G83" s="147"/>
      <c r="H83" s="147"/>
      <c r="I83" s="147"/>
      <c r="J83" s="147"/>
      <c r="K83" s="148"/>
      <c r="L83" s="147"/>
      <c r="M83" s="146"/>
      <c r="N83" s="147"/>
      <c r="O83" s="147"/>
      <c r="P83" s="147"/>
      <c r="Q83" s="147"/>
      <c r="R83" s="147"/>
      <c r="S83" s="147"/>
      <c r="T83" s="147"/>
      <c r="U83" s="147"/>
      <c r="V83" s="148"/>
      <c r="W83" s="147"/>
      <c r="X83" s="146"/>
      <c r="Y83" s="147"/>
      <c r="Z83" s="147"/>
      <c r="AA83" s="147"/>
      <c r="AB83" s="147"/>
      <c r="AC83" s="147"/>
      <c r="AD83" s="147"/>
      <c r="AE83" s="147"/>
      <c r="AF83" s="147"/>
      <c r="AG83" s="148"/>
      <c r="AH83" s="147"/>
      <c r="AI83" s="154"/>
      <c r="AJ83" s="151"/>
      <c r="AK83" s="151"/>
      <c r="AL83" s="151"/>
      <c r="AM83" s="151"/>
      <c r="AN83" s="151"/>
      <c r="AO83" s="151"/>
      <c r="AP83" s="151"/>
      <c r="AQ83" s="151"/>
      <c r="AR83" s="155"/>
      <c r="AS83" s="147"/>
      <c r="AT83" s="154"/>
      <c r="AU83" s="151"/>
      <c r="AV83" s="151"/>
      <c r="AW83" s="151"/>
      <c r="AX83" s="151"/>
      <c r="AY83" s="151"/>
      <c r="AZ83" s="151"/>
      <c r="BA83" s="151"/>
      <c r="BB83" s="151"/>
      <c r="BC83" s="151"/>
      <c r="BD83" s="155"/>
      <c r="BE83" s="147"/>
      <c r="BF83" s="154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5"/>
      <c r="BR83" s="23"/>
    </row>
    <row r="84" spans="1:70" ht="9" customHeight="1" x14ac:dyDescent="0.3">
      <c r="A84" s="141"/>
      <c r="B84" s="146"/>
      <c r="C84" s="147"/>
      <c r="D84" s="147"/>
      <c r="E84" s="147"/>
      <c r="F84" s="147"/>
      <c r="G84" s="147"/>
      <c r="H84" s="147"/>
      <c r="I84" s="147"/>
      <c r="J84" s="147"/>
      <c r="K84" s="148"/>
      <c r="L84" s="147"/>
      <c r="M84" s="146"/>
      <c r="N84" s="147"/>
      <c r="O84" s="147"/>
      <c r="P84" s="147"/>
      <c r="Q84" s="147"/>
      <c r="R84" s="147"/>
      <c r="S84" s="147"/>
      <c r="T84" s="147"/>
      <c r="U84" s="147"/>
      <c r="V84" s="148"/>
      <c r="W84" s="147"/>
      <c r="X84" s="146"/>
      <c r="Y84" s="147"/>
      <c r="Z84" s="147"/>
      <c r="AA84" s="147"/>
      <c r="AB84" s="147"/>
      <c r="AC84" s="147"/>
      <c r="AD84" s="147"/>
      <c r="AE84" s="147"/>
      <c r="AF84" s="147"/>
      <c r="AG84" s="148"/>
      <c r="AH84" s="147"/>
      <c r="AI84" s="154"/>
      <c r="AJ84" s="151"/>
      <c r="AK84" s="151"/>
      <c r="AL84" s="151"/>
      <c r="AM84" s="151"/>
      <c r="AN84" s="151"/>
      <c r="AO84" s="151"/>
      <c r="AP84" s="151"/>
      <c r="AQ84" s="151"/>
      <c r="AR84" s="155"/>
      <c r="AS84" s="147"/>
      <c r="AT84" s="154"/>
      <c r="AU84" s="151"/>
      <c r="AV84" s="151"/>
      <c r="AW84" s="151"/>
      <c r="AX84" s="151"/>
      <c r="AY84" s="151"/>
      <c r="AZ84" s="151"/>
      <c r="BA84" s="151"/>
      <c r="BB84" s="151"/>
      <c r="BC84" s="151"/>
      <c r="BD84" s="155"/>
      <c r="BE84" s="147"/>
      <c r="BF84" s="154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5"/>
      <c r="BR84" s="23"/>
    </row>
    <row r="85" spans="1:70" ht="9" customHeight="1" x14ac:dyDescent="0.3">
      <c r="A85" s="141"/>
      <c r="B85" s="146"/>
      <c r="C85" s="147"/>
      <c r="D85" s="147"/>
      <c r="E85" s="147"/>
      <c r="F85" s="147"/>
      <c r="G85" s="147"/>
      <c r="H85" s="147"/>
      <c r="I85" s="147"/>
      <c r="J85" s="147"/>
      <c r="K85" s="148"/>
      <c r="L85" s="147"/>
      <c r="M85" s="146"/>
      <c r="N85" s="147"/>
      <c r="O85" s="147"/>
      <c r="P85" s="147"/>
      <c r="Q85" s="147"/>
      <c r="R85" s="147"/>
      <c r="S85" s="147"/>
      <c r="T85" s="147"/>
      <c r="U85" s="147"/>
      <c r="V85" s="148"/>
      <c r="W85" s="147"/>
      <c r="X85" s="146"/>
      <c r="Y85" s="147"/>
      <c r="Z85" s="147"/>
      <c r="AA85" s="147"/>
      <c r="AB85" s="147"/>
      <c r="AC85" s="147"/>
      <c r="AD85" s="147"/>
      <c r="AE85" s="147"/>
      <c r="AF85" s="147"/>
      <c r="AG85" s="148"/>
      <c r="AH85" s="147"/>
      <c r="AI85" s="154"/>
      <c r="AJ85" s="151"/>
      <c r="AK85" s="151"/>
      <c r="AL85" s="151"/>
      <c r="AM85" s="151"/>
      <c r="AN85" s="151"/>
      <c r="AO85" s="151"/>
      <c r="AP85" s="151"/>
      <c r="AQ85" s="151"/>
      <c r="AR85" s="155"/>
      <c r="AS85" s="147"/>
      <c r="AT85" s="154"/>
      <c r="AU85" s="151"/>
      <c r="AV85" s="151"/>
      <c r="AW85" s="151"/>
      <c r="AX85" s="151"/>
      <c r="AY85" s="151"/>
      <c r="AZ85" s="151"/>
      <c r="BA85" s="151"/>
      <c r="BB85" s="151"/>
      <c r="BC85" s="151"/>
      <c r="BD85" s="155"/>
      <c r="BE85" s="147"/>
      <c r="BF85" s="154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5"/>
      <c r="BR85" s="23"/>
    </row>
    <row r="86" spans="1:70" ht="9" customHeight="1" x14ac:dyDescent="0.3">
      <c r="A86" s="141"/>
      <c r="B86" s="146"/>
      <c r="C86" s="147"/>
      <c r="D86" s="147"/>
      <c r="E86" s="147"/>
      <c r="F86" s="147"/>
      <c r="G86" s="147"/>
      <c r="H86" s="147"/>
      <c r="I86" s="147"/>
      <c r="J86" s="147"/>
      <c r="K86" s="148"/>
      <c r="L86" s="147"/>
      <c r="M86" s="146"/>
      <c r="N86" s="147"/>
      <c r="O86" s="147"/>
      <c r="P86" s="147"/>
      <c r="Q86" s="147"/>
      <c r="R86" s="147"/>
      <c r="S86" s="147"/>
      <c r="T86" s="147"/>
      <c r="U86" s="147"/>
      <c r="V86" s="148"/>
      <c r="W86" s="147"/>
      <c r="X86" s="146"/>
      <c r="Y86" s="147"/>
      <c r="Z86" s="147"/>
      <c r="AA86" s="147"/>
      <c r="AB86" s="147"/>
      <c r="AC86" s="147"/>
      <c r="AD86" s="147"/>
      <c r="AE86" s="147"/>
      <c r="AF86" s="147"/>
      <c r="AG86" s="148"/>
      <c r="AH86" s="147"/>
      <c r="AI86" s="154"/>
      <c r="AJ86" s="151"/>
      <c r="AK86" s="151"/>
      <c r="AL86" s="151"/>
      <c r="AM86" s="151"/>
      <c r="AN86" s="151"/>
      <c r="AO86" s="151"/>
      <c r="AP86" s="151"/>
      <c r="AQ86" s="151"/>
      <c r="AR86" s="155"/>
      <c r="AS86" s="147"/>
      <c r="AT86" s="154"/>
      <c r="AU86" s="151"/>
      <c r="AV86" s="151"/>
      <c r="AW86" s="151"/>
      <c r="AX86" s="151"/>
      <c r="AY86" s="151"/>
      <c r="AZ86" s="151"/>
      <c r="BA86" s="151"/>
      <c r="BB86" s="151"/>
      <c r="BC86" s="151"/>
      <c r="BD86" s="155"/>
      <c r="BE86" s="147"/>
      <c r="BF86" s="154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5"/>
      <c r="BR86" s="23"/>
    </row>
    <row r="87" spans="1:70" ht="9" customHeight="1" x14ac:dyDescent="0.3">
      <c r="A87" s="141"/>
      <c r="B87" s="146"/>
      <c r="C87" s="147"/>
      <c r="D87" s="147"/>
      <c r="E87" s="147"/>
      <c r="F87" s="147"/>
      <c r="G87" s="147"/>
      <c r="H87" s="147"/>
      <c r="I87" s="147"/>
      <c r="J87" s="147"/>
      <c r="K87" s="148"/>
      <c r="L87" s="147"/>
      <c r="M87" s="146"/>
      <c r="N87" s="147"/>
      <c r="O87" s="147"/>
      <c r="P87" s="147"/>
      <c r="Q87" s="147"/>
      <c r="R87" s="147"/>
      <c r="S87" s="147"/>
      <c r="T87" s="147"/>
      <c r="U87" s="147"/>
      <c r="V87" s="148"/>
      <c r="W87" s="147"/>
      <c r="X87" s="146"/>
      <c r="Y87" s="147"/>
      <c r="Z87" s="147"/>
      <c r="AA87" s="147"/>
      <c r="AB87" s="147"/>
      <c r="AC87" s="147"/>
      <c r="AD87" s="147"/>
      <c r="AE87" s="147"/>
      <c r="AF87" s="147"/>
      <c r="AG87" s="148"/>
      <c r="AH87" s="147"/>
      <c r="AI87" s="154"/>
      <c r="AJ87" s="151"/>
      <c r="AK87" s="151"/>
      <c r="AL87" s="151"/>
      <c r="AM87" s="151"/>
      <c r="AN87" s="151"/>
      <c r="AO87" s="151"/>
      <c r="AP87" s="151"/>
      <c r="AQ87" s="151"/>
      <c r="AR87" s="155"/>
      <c r="AS87" s="147"/>
      <c r="AT87" s="154"/>
      <c r="AU87" s="151"/>
      <c r="AV87" s="151"/>
      <c r="AW87" s="151"/>
      <c r="AX87" s="151"/>
      <c r="AY87" s="151"/>
      <c r="AZ87" s="151"/>
      <c r="BA87" s="151"/>
      <c r="BB87" s="151"/>
      <c r="BC87" s="151"/>
      <c r="BD87" s="155"/>
      <c r="BE87" s="147"/>
      <c r="BF87" s="154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5"/>
      <c r="BR87" s="23"/>
    </row>
    <row r="88" spans="1:70" ht="9" customHeight="1" x14ac:dyDescent="0.3">
      <c r="A88" s="141"/>
      <c r="B88" s="146"/>
      <c r="C88" s="147"/>
      <c r="D88" s="147"/>
      <c r="E88" s="147"/>
      <c r="F88" s="147"/>
      <c r="G88" s="147"/>
      <c r="H88" s="147"/>
      <c r="I88" s="147"/>
      <c r="J88" s="147"/>
      <c r="K88" s="148"/>
      <c r="L88" s="147"/>
      <c r="M88" s="146"/>
      <c r="N88" s="147"/>
      <c r="O88" s="147"/>
      <c r="P88" s="147"/>
      <c r="Q88" s="147"/>
      <c r="R88" s="147"/>
      <c r="S88" s="147"/>
      <c r="T88" s="147"/>
      <c r="U88" s="147"/>
      <c r="V88" s="148"/>
      <c r="W88" s="147"/>
      <c r="X88" s="146"/>
      <c r="Y88" s="147"/>
      <c r="Z88" s="147"/>
      <c r="AA88" s="147"/>
      <c r="AB88" s="147"/>
      <c r="AC88" s="147"/>
      <c r="AD88" s="147"/>
      <c r="AE88" s="147"/>
      <c r="AF88" s="147"/>
      <c r="AG88" s="148"/>
      <c r="AH88" s="147"/>
      <c r="AI88" s="154"/>
      <c r="AJ88" s="151"/>
      <c r="AK88" s="151"/>
      <c r="AL88" s="151"/>
      <c r="AM88" s="151"/>
      <c r="AN88" s="151"/>
      <c r="AO88" s="151"/>
      <c r="AP88" s="151"/>
      <c r="AQ88" s="151"/>
      <c r="AR88" s="155"/>
      <c r="AS88" s="147"/>
      <c r="AT88" s="154"/>
      <c r="AU88" s="151"/>
      <c r="AV88" s="151"/>
      <c r="AW88" s="151"/>
      <c r="AX88" s="151"/>
      <c r="AY88" s="151"/>
      <c r="AZ88" s="151"/>
      <c r="BA88" s="151"/>
      <c r="BB88" s="151"/>
      <c r="BC88" s="151"/>
      <c r="BD88" s="155"/>
      <c r="BE88" s="147"/>
      <c r="BF88" s="154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5"/>
      <c r="BR88" s="23"/>
    </row>
    <row r="89" spans="1:70" ht="9" customHeight="1" x14ac:dyDescent="0.3">
      <c r="A89" s="141"/>
      <c r="B89" s="146"/>
      <c r="C89" s="147"/>
      <c r="D89" s="147"/>
      <c r="E89" s="147"/>
      <c r="F89" s="147"/>
      <c r="G89" s="147"/>
      <c r="H89" s="147"/>
      <c r="I89" s="147"/>
      <c r="J89" s="147"/>
      <c r="K89" s="148"/>
      <c r="L89" s="147"/>
      <c r="M89" s="146"/>
      <c r="N89" s="147"/>
      <c r="O89" s="147"/>
      <c r="P89" s="147"/>
      <c r="Q89" s="147"/>
      <c r="R89" s="147"/>
      <c r="S89" s="147"/>
      <c r="T89" s="147"/>
      <c r="U89" s="147"/>
      <c r="V89" s="148"/>
      <c r="W89" s="147"/>
      <c r="X89" s="146"/>
      <c r="Y89" s="147"/>
      <c r="Z89" s="147"/>
      <c r="AA89" s="147"/>
      <c r="AB89" s="147"/>
      <c r="AC89" s="147"/>
      <c r="AD89" s="147"/>
      <c r="AE89" s="147"/>
      <c r="AF89" s="147"/>
      <c r="AG89" s="148"/>
      <c r="AH89" s="147"/>
      <c r="AI89" s="154"/>
      <c r="AJ89" s="151"/>
      <c r="AK89" s="151"/>
      <c r="AL89" s="151"/>
      <c r="AM89" s="151"/>
      <c r="AN89" s="151"/>
      <c r="AO89" s="151"/>
      <c r="AP89" s="151"/>
      <c r="AQ89" s="151"/>
      <c r="AR89" s="155"/>
      <c r="AS89" s="147"/>
      <c r="AT89" s="154"/>
      <c r="AU89" s="151"/>
      <c r="AV89" s="151"/>
      <c r="AW89" s="151"/>
      <c r="AX89" s="151"/>
      <c r="AY89" s="151"/>
      <c r="AZ89" s="151"/>
      <c r="BA89" s="151"/>
      <c r="BB89" s="151"/>
      <c r="BC89" s="151"/>
      <c r="BD89" s="155"/>
      <c r="BE89" s="147"/>
      <c r="BF89" s="154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5"/>
      <c r="BR89" s="23"/>
    </row>
    <row r="90" spans="1:70" ht="9" customHeight="1" x14ac:dyDescent="0.3">
      <c r="A90" s="141"/>
      <c r="B90" s="403" t="s">
        <v>688</v>
      </c>
      <c r="C90" s="400"/>
      <c r="D90" s="400"/>
      <c r="E90" s="400"/>
      <c r="F90" s="400"/>
      <c r="G90" s="400"/>
      <c r="H90" s="400"/>
      <c r="I90" s="400"/>
      <c r="J90" s="400"/>
      <c r="K90" s="402"/>
      <c r="L90" s="147"/>
      <c r="M90" s="146"/>
      <c r="N90" s="147"/>
      <c r="O90" s="147"/>
      <c r="P90" s="147"/>
      <c r="Q90" s="147"/>
      <c r="R90" s="147"/>
      <c r="S90" s="147"/>
      <c r="T90" s="147"/>
      <c r="U90" s="147"/>
      <c r="V90" s="148"/>
      <c r="W90" s="147"/>
      <c r="X90" s="146"/>
      <c r="Y90" s="147"/>
      <c r="Z90" s="147"/>
      <c r="AA90" s="147"/>
      <c r="AB90" s="147"/>
      <c r="AC90" s="147"/>
      <c r="AD90" s="147"/>
      <c r="AE90" s="147"/>
      <c r="AF90" s="147"/>
      <c r="AG90" s="148"/>
      <c r="AH90" s="165"/>
      <c r="AI90" s="147"/>
      <c r="AJ90" s="147"/>
      <c r="AK90" s="147"/>
      <c r="AL90" s="147"/>
      <c r="AM90" s="147"/>
      <c r="AN90" s="147"/>
      <c r="AO90" s="147"/>
      <c r="AP90" s="147"/>
      <c r="AQ90" s="147"/>
      <c r="AR90" s="166"/>
      <c r="AS90" s="147"/>
      <c r="AT90" s="146"/>
      <c r="AU90" s="147"/>
      <c r="AV90" s="147"/>
      <c r="AW90" s="147"/>
      <c r="AX90" s="147"/>
      <c r="AY90" s="147"/>
      <c r="AZ90" s="147"/>
      <c r="BA90" s="147"/>
      <c r="BB90" s="147"/>
      <c r="BC90" s="147"/>
      <c r="BD90" s="148"/>
      <c r="BE90" s="147"/>
      <c r="BF90" s="146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8"/>
      <c r="BR90" s="23"/>
    </row>
    <row r="91" spans="1:70" ht="13.05" customHeight="1" x14ac:dyDescent="0.3">
      <c r="A91" s="141"/>
      <c r="B91" s="323" t="s">
        <v>689</v>
      </c>
      <c r="C91" s="323"/>
      <c r="D91" s="323"/>
      <c r="E91" s="323"/>
      <c r="F91" s="323"/>
      <c r="G91" s="323"/>
      <c r="H91" s="324">
        <f>CEILING(169*B4,1)</f>
        <v>237</v>
      </c>
      <c r="I91" s="395"/>
      <c r="J91" s="395"/>
      <c r="K91" s="395"/>
      <c r="L91" s="147"/>
      <c r="M91" s="403" t="s">
        <v>692</v>
      </c>
      <c r="N91" s="400"/>
      <c r="O91" s="400"/>
      <c r="P91" s="400"/>
      <c r="Q91" s="400"/>
      <c r="R91" s="400"/>
      <c r="S91" s="400"/>
      <c r="T91" s="400"/>
      <c r="U91" s="400"/>
      <c r="V91" s="402"/>
      <c r="W91" s="147"/>
      <c r="X91" s="146"/>
      <c r="Y91" s="147"/>
      <c r="Z91" s="147"/>
      <c r="AA91" s="147"/>
      <c r="AB91" s="147"/>
      <c r="AC91" s="147"/>
      <c r="AD91" s="147"/>
      <c r="AE91" s="147"/>
      <c r="AF91" s="147"/>
      <c r="AG91" s="148"/>
      <c r="AH91" s="165"/>
      <c r="AI91" s="151"/>
      <c r="AJ91" s="151"/>
      <c r="AK91" s="151"/>
      <c r="AL91" s="151"/>
      <c r="AM91" s="151"/>
      <c r="AN91" s="151"/>
      <c r="AO91" s="147"/>
      <c r="AP91" s="147"/>
      <c r="AQ91" s="147"/>
      <c r="AR91" s="166"/>
      <c r="AS91" s="167"/>
      <c r="AT91" s="151"/>
      <c r="AU91" s="151"/>
      <c r="AV91" s="151"/>
      <c r="AW91" s="151"/>
      <c r="AX91" s="151"/>
      <c r="AY91" s="151"/>
      <c r="AZ91" s="151"/>
      <c r="BA91" s="147"/>
      <c r="BB91" s="147"/>
      <c r="BC91" s="147"/>
      <c r="BD91" s="166"/>
      <c r="BE91" s="16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8"/>
      <c r="BR91" s="23"/>
    </row>
    <row r="92" spans="1:70" ht="12" customHeight="1" x14ac:dyDescent="0.3">
      <c r="A92" s="141"/>
      <c r="B92" s="323" t="s">
        <v>690</v>
      </c>
      <c r="C92" s="323"/>
      <c r="D92" s="323"/>
      <c r="E92" s="323"/>
      <c r="F92" s="323"/>
      <c r="G92" s="323"/>
      <c r="H92" s="324">
        <f>CEILING(361*B4,1)</f>
        <v>506</v>
      </c>
      <c r="I92" s="395"/>
      <c r="J92" s="395"/>
      <c r="K92" s="395"/>
      <c r="L92" s="147"/>
      <c r="M92" s="403" t="s">
        <v>693</v>
      </c>
      <c r="N92" s="400"/>
      <c r="O92" s="400"/>
      <c r="P92" s="400"/>
      <c r="Q92" s="400"/>
      <c r="R92" s="400"/>
      <c r="S92" s="400"/>
      <c r="T92" s="400"/>
      <c r="U92" s="400"/>
      <c r="V92" s="402"/>
      <c r="W92" s="147"/>
      <c r="X92" s="412" t="s">
        <v>696</v>
      </c>
      <c r="Y92" s="397"/>
      <c r="Z92" s="397"/>
      <c r="AA92" s="397"/>
      <c r="AB92" s="397"/>
      <c r="AC92" s="397"/>
      <c r="AD92" s="397"/>
      <c r="AE92" s="397"/>
      <c r="AF92" s="397"/>
      <c r="AG92" s="413"/>
      <c r="AH92" s="165"/>
      <c r="AI92" s="396" t="s">
        <v>697</v>
      </c>
      <c r="AJ92" s="397"/>
      <c r="AK92" s="397"/>
      <c r="AL92" s="397"/>
      <c r="AM92" s="397"/>
      <c r="AN92" s="397"/>
      <c r="AO92" s="397"/>
      <c r="AP92" s="397"/>
      <c r="AQ92" s="397"/>
      <c r="AR92" s="398"/>
      <c r="AS92" s="167"/>
      <c r="AT92" s="399" t="s">
        <v>697</v>
      </c>
      <c r="AU92" s="400"/>
      <c r="AV92" s="400"/>
      <c r="AW92" s="400"/>
      <c r="AX92" s="400"/>
      <c r="AY92" s="400"/>
      <c r="AZ92" s="400"/>
      <c r="BA92" s="400"/>
      <c r="BB92" s="400"/>
      <c r="BC92" s="400"/>
      <c r="BD92" s="401"/>
      <c r="BE92" s="167"/>
      <c r="BF92" s="399" t="s">
        <v>697</v>
      </c>
      <c r="BG92" s="400"/>
      <c r="BH92" s="400"/>
      <c r="BI92" s="400"/>
      <c r="BJ92" s="400"/>
      <c r="BK92" s="400"/>
      <c r="BL92" s="400"/>
      <c r="BM92" s="400"/>
      <c r="BN92" s="400"/>
      <c r="BO92" s="400"/>
      <c r="BP92" s="400"/>
      <c r="BQ92" s="402"/>
      <c r="BR92" s="23"/>
    </row>
    <row r="93" spans="1:70" s="5" customFormat="1" ht="12" customHeight="1" x14ac:dyDescent="0.3">
      <c r="A93" s="153"/>
      <c r="B93" s="323" t="s">
        <v>691</v>
      </c>
      <c r="C93" s="323"/>
      <c r="D93" s="323"/>
      <c r="E93" s="323"/>
      <c r="F93" s="323"/>
      <c r="G93" s="323"/>
      <c r="H93" s="324">
        <f>CEILING(530*B4,1)</f>
        <v>742</v>
      </c>
      <c r="I93" s="324"/>
      <c r="J93" s="324"/>
      <c r="K93" s="324"/>
      <c r="L93" s="85"/>
      <c r="M93" s="323" t="s">
        <v>694</v>
      </c>
      <c r="N93" s="323"/>
      <c r="O93" s="323"/>
      <c r="P93" s="323"/>
      <c r="Q93" s="323"/>
      <c r="R93" s="323"/>
      <c r="S93" s="324">
        <f>CEILING(3221*B4,1)</f>
        <v>4510</v>
      </c>
      <c r="T93" s="324"/>
      <c r="U93" s="324"/>
      <c r="V93" s="324"/>
      <c r="W93" s="85"/>
      <c r="X93" s="323" t="s">
        <v>695</v>
      </c>
      <c r="Y93" s="323"/>
      <c r="Z93" s="323"/>
      <c r="AA93" s="323"/>
      <c r="AB93" s="323"/>
      <c r="AC93" s="323"/>
      <c r="AD93" s="324">
        <f>CEILING(2766*B4,1)</f>
        <v>3873</v>
      </c>
      <c r="AE93" s="324"/>
      <c r="AF93" s="324"/>
      <c r="AG93" s="324"/>
      <c r="AH93" s="85"/>
      <c r="AI93" s="323" t="s">
        <v>698</v>
      </c>
      <c r="AJ93" s="323"/>
      <c r="AK93" s="323"/>
      <c r="AL93" s="323"/>
      <c r="AM93" s="323"/>
      <c r="AN93" s="323"/>
      <c r="AO93" s="324">
        <f>CEILING(2593*B4,1)</f>
        <v>3631</v>
      </c>
      <c r="AP93" s="324"/>
      <c r="AQ93" s="324"/>
      <c r="AR93" s="324"/>
      <c r="AS93" s="85"/>
      <c r="AT93" s="323" t="s">
        <v>699</v>
      </c>
      <c r="AU93" s="323"/>
      <c r="AV93" s="323"/>
      <c r="AW93" s="323"/>
      <c r="AX93" s="323"/>
      <c r="AY93" s="323"/>
      <c r="AZ93" s="323"/>
      <c r="BA93" s="324">
        <f>CEILING(2521*B4,1)</f>
        <v>3530</v>
      </c>
      <c r="BB93" s="324"/>
      <c r="BC93" s="324"/>
      <c r="BD93" s="324"/>
      <c r="BE93" s="85"/>
      <c r="BF93" s="323" t="s">
        <v>220</v>
      </c>
      <c r="BG93" s="323"/>
      <c r="BH93" s="323"/>
      <c r="BI93" s="323"/>
      <c r="BJ93" s="323"/>
      <c r="BK93" s="323"/>
      <c r="BL93" s="323"/>
      <c r="BM93" s="323"/>
      <c r="BN93" s="324">
        <f>CEILING(4141*B4,1)</f>
        <v>5798</v>
      </c>
      <c r="BO93" s="324"/>
      <c r="BP93" s="324"/>
      <c r="BQ93" s="324"/>
      <c r="BR93" s="64"/>
    </row>
    <row r="94" spans="1:70" ht="1.95" customHeight="1" x14ac:dyDescent="0.3">
      <c r="A94" s="168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24"/>
    </row>
    <row r="95" spans="1:70" ht="9" customHeight="1" x14ac:dyDescent="0.3"/>
    <row r="96" spans="1:70" ht="9" customHeight="1" x14ac:dyDescent="0.3"/>
    <row r="97" ht="9" customHeight="1" x14ac:dyDescent="0.3"/>
    <row r="98" ht="9" customHeight="1" x14ac:dyDescent="0.3"/>
    <row r="99" ht="9" customHeight="1" x14ac:dyDescent="0.3"/>
    <row r="100" ht="9" customHeight="1" x14ac:dyDescent="0.3"/>
    <row r="101" ht="9" customHeight="1" x14ac:dyDescent="0.3"/>
    <row r="102" ht="9" customHeight="1" x14ac:dyDescent="0.3"/>
    <row r="103" ht="9" customHeight="1" x14ac:dyDescent="0.3"/>
    <row r="104" ht="9" customHeight="1" x14ac:dyDescent="0.3"/>
    <row r="105" ht="9" customHeight="1" x14ac:dyDescent="0.3"/>
    <row r="106" ht="9" customHeight="1" x14ac:dyDescent="0.3"/>
    <row r="107" ht="9" customHeight="1" x14ac:dyDescent="0.3"/>
    <row r="108" ht="9" customHeight="1" x14ac:dyDescent="0.3"/>
    <row r="109" ht="9" customHeight="1" x14ac:dyDescent="0.3"/>
    <row r="110" ht="9" customHeight="1" x14ac:dyDescent="0.3"/>
    <row r="111" ht="9" customHeight="1" x14ac:dyDescent="0.3"/>
    <row r="112" ht="9" customHeight="1" x14ac:dyDescent="0.3"/>
    <row r="113" ht="9" customHeight="1" x14ac:dyDescent="0.3"/>
    <row r="114" ht="9" customHeight="1" x14ac:dyDescent="0.3"/>
    <row r="115" ht="9" customHeight="1" x14ac:dyDescent="0.3"/>
    <row r="116" ht="9" customHeight="1" x14ac:dyDescent="0.3"/>
    <row r="117" ht="9" customHeight="1" x14ac:dyDescent="0.3"/>
    <row r="118" ht="9" customHeight="1" x14ac:dyDescent="0.3"/>
    <row r="119" ht="9" customHeight="1" x14ac:dyDescent="0.3"/>
    <row r="120" ht="9" customHeight="1" x14ac:dyDescent="0.3"/>
    <row r="121" ht="9" customHeight="1" x14ac:dyDescent="0.3"/>
    <row r="122" ht="9" customHeight="1" x14ac:dyDescent="0.3"/>
    <row r="123" ht="9" customHeight="1" x14ac:dyDescent="0.3"/>
    <row r="124" ht="9" customHeight="1" x14ac:dyDescent="0.3"/>
    <row r="125" ht="9" customHeight="1" x14ac:dyDescent="0.3"/>
    <row r="126" ht="9" customHeight="1" x14ac:dyDescent="0.3"/>
    <row r="127" ht="9" customHeight="1" x14ac:dyDescent="0.3"/>
    <row r="128" ht="9" customHeight="1" x14ac:dyDescent="0.3"/>
    <row r="129" ht="9" customHeight="1" x14ac:dyDescent="0.3"/>
    <row r="130" ht="9" customHeight="1" x14ac:dyDescent="0.3"/>
    <row r="131" ht="9" customHeight="1" x14ac:dyDescent="0.3"/>
    <row r="132" ht="9" customHeight="1" x14ac:dyDescent="0.3"/>
    <row r="133" ht="9" customHeight="1" x14ac:dyDescent="0.3"/>
    <row r="134" ht="9" customHeight="1" x14ac:dyDescent="0.3"/>
    <row r="135" ht="9" customHeight="1" x14ac:dyDescent="0.3"/>
    <row r="136" ht="9" customHeight="1" x14ac:dyDescent="0.3"/>
    <row r="137" ht="9" customHeight="1" x14ac:dyDescent="0.3"/>
    <row r="138" ht="9" customHeight="1" x14ac:dyDescent="0.3"/>
    <row r="139" ht="9" customHeight="1" x14ac:dyDescent="0.3"/>
    <row r="140" ht="9" customHeight="1" x14ac:dyDescent="0.3"/>
    <row r="141" ht="9" customHeight="1" x14ac:dyDescent="0.3"/>
    <row r="142" ht="9" customHeight="1" x14ac:dyDescent="0.3"/>
    <row r="143" ht="9" customHeight="1" x14ac:dyDescent="0.3"/>
    <row r="144" ht="9" customHeight="1" x14ac:dyDescent="0.3"/>
    <row r="145" ht="9" customHeight="1" x14ac:dyDescent="0.3"/>
    <row r="146" ht="9" customHeight="1" x14ac:dyDescent="0.3"/>
    <row r="147" ht="9" customHeight="1" x14ac:dyDescent="0.3"/>
    <row r="148" ht="9" customHeight="1" x14ac:dyDescent="0.3"/>
    <row r="149" ht="9" customHeight="1" x14ac:dyDescent="0.3"/>
    <row r="150" ht="9" customHeight="1" x14ac:dyDescent="0.3"/>
    <row r="151" ht="9" customHeight="1" x14ac:dyDescent="0.3"/>
    <row r="152" ht="9" customHeight="1" x14ac:dyDescent="0.3"/>
    <row r="153" ht="9" customHeight="1" x14ac:dyDescent="0.3"/>
    <row r="154" ht="9" customHeight="1" x14ac:dyDescent="0.3"/>
    <row r="155" ht="9" customHeight="1" x14ac:dyDescent="0.3"/>
    <row r="156" ht="9" customHeight="1" x14ac:dyDescent="0.3"/>
    <row r="157" ht="9" customHeight="1" x14ac:dyDescent="0.3"/>
    <row r="158" ht="9" customHeight="1" x14ac:dyDescent="0.3"/>
    <row r="159" ht="9" customHeight="1" x14ac:dyDescent="0.3"/>
    <row r="160" ht="9" customHeight="1" x14ac:dyDescent="0.3"/>
    <row r="161" ht="9" customHeight="1" x14ac:dyDescent="0.3"/>
    <row r="162" ht="9" customHeight="1" x14ac:dyDescent="0.3"/>
    <row r="163" ht="9" customHeight="1" x14ac:dyDescent="0.3"/>
    <row r="164" ht="9" customHeight="1" x14ac:dyDescent="0.3"/>
    <row r="165" ht="9" customHeight="1" x14ac:dyDescent="0.3"/>
    <row r="166" ht="9" customHeight="1" x14ac:dyDescent="0.3"/>
    <row r="167" ht="9" customHeight="1" x14ac:dyDescent="0.3"/>
    <row r="168" ht="9" customHeight="1" x14ac:dyDescent="0.3"/>
    <row r="169" ht="9" customHeight="1" x14ac:dyDescent="0.3"/>
    <row r="170" ht="9" customHeight="1" x14ac:dyDescent="0.3"/>
    <row r="171" ht="9" customHeight="1" x14ac:dyDescent="0.3"/>
    <row r="172" ht="9" customHeight="1" x14ac:dyDescent="0.3"/>
    <row r="173" ht="9" customHeight="1" x14ac:dyDescent="0.3"/>
    <row r="174" ht="9" customHeight="1" x14ac:dyDescent="0.3"/>
    <row r="175" ht="9" customHeight="1" x14ac:dyDescent="0.3"/>
    <row r="176" ht="9" customHeight="1" x14ac:dyDescent="0.3"/>
    <row r="177" ht="9" customHeight="1" x14ac:dyDescent="0.3"/>
    <row r="178" ht="9" customHeight="1" x14ac:dyDescent="0.3"/>
    <row r="179" ht="9" customHeight="1" x14ac:dyDescent="0.3"/>
    <row r="180" ht="9" customHeight="1" x14ac:dyDescent="0.3"/>
    <row r="181" ht="9" customHeight="1" x14ac:dyDescent="0.3"/>
    <row r="182" ht="9" customHeight="1" x14ac:dyDescent="0.3"/>
    <row r="183" ht="9" customHeight="1" x14ac:dyDescent="0.3"/>
    <row r="184" ht="9" customHeight="1" x14ac:dyDescent="0.3"/>
    <row r="185" ht="9" customHeight="1" x14ac:dyDescent="0.3"/>
    <row r="186" ht="9" customHeight="1" x14ac:dyDescent="0.3"/>
    <row r="187" ht="9" customHeight="1" x14ac:dyDescent="0.3"/>
    <row r="188" ht="9" customHeight="1" x14ac:dyDescent="0.3"/>
    <row r="189" ht="9" customHeight="1" x14ac:dyDescent="0.3"/>
    <row r="190" ht="9" customHeight="1" x14ac:dyDescent="0.3"/>
    <row r="191" ht="9" customHeight="1" x14ac:dyDescent="0.3"/>
    <row r="192" ht="9" customHeight="1" x14ac:dyDescent="0.3"/>
    <row r="193" ht="9" customHeight="1" x14ac:dyDescent="0.3"/>
    <row r="194" ht="9" customHeight="1" x14ac:dyDescent="0.3"/>
    <row r="195" ht="9" customHeight="1" x14ac:dyDescent="0.3"/>
    <row r="196" ht="9" customHeight="1" x14ac:dyDescent="0.3"/>
    <row r="197" ht="9" customHeight="1" x14ac:dyDescent="0.3"/>
    <row r="198" ht="9" customHeight="1" x14ac:dyDescent="0.3"/>
    <row r="199" ht="9" customHeight="1" x14ac:dyDescent="0.3"/>
    <row r="200" ht="9" customHeight="1" x14ac:dyDescent="0.3"/>
    <row r="201" ht="9" customHeight="1" x14ac:dyDescent="0.3"/>
    <row r="202" ht="9" customHeight="1" x14ac:dyDescent="0.3"/>
    <row r="203" ht="9" customHeight="1" x14ac:dyDescent="0.3"/>
    <row r="204" ht="9" customHeight="1" x14ac:dyDescent="0.3"/>
    <row r="205" ht="9" customHeight="1" x14ac:dyDescent="0.3"/>
    <row r="206" ht="9" customHeight="1" x14ac:dyDescent="0.3"/>
    <row r="207" ht="9" customHeight="1" x14ac:dyDescent="0.3"/>
    <row r="208" ht="9" customHeight="1" x14ac:dyDescent="0.3"/>
    <row r="209" ht="9" customHeight="1" x14ac:dyDescent="0.3"/>
    <row r="210" ht="9" customHeight="1" x14ac:dyDescent="0.3"/>
    <row r="211" ht="9" customHeight="1" x14ac:dyDescent="0.3"/>
    <row r="212" ht="9" customHeight="1" x14ac:dyDescent="0.3"/>
    <row r="213" ht="9" customHeight="1" x14ac:dyDescent="0.3"/>
    <row r="214" ht="9" customHeight="1" x14ac:dyDescent="0.3"/>
    <row r="215" ht="9" customHeight="1" x14ac:dyDescent="0.3"/>
    <row r="216" ht="9" customHeight="1" x14ac:dyDescent="0.3"/>
    <row r="217" ht="9" customHeight="1" x14ac:dyDescent="0.3"/>
    <row r="218" ht="9" customHeight="1" x14ac:dyDescent="0.3"/>
    <row r="219" ht="9" customHeight="1" x14ac:dyDescent="0.3"/>
    <row r="220" ht="9" customHeight="1" x14ac:dyDescent="0.3"/>
    <row r="221" ht="9" customHeight="1" x14ac:dyDescent="0.3"/>
    <row r="222" ht="9" customHeight="1" x14ac:dyDescent="0.3"/>
    <row r="223" ht="9" customHeight="1" x14ac:dyDescent="0.3"/>
    <row r="224" ht="9" customHeight="1" x14ac:dyDescent="0.3"/>
    <row r="225" ht="9" customHeight="1" x14ac:dyDescent="0.3"/>
    <row r="226" ht="9" customHeight="1" x14ac:dyDescent="0.3"/>
    <row r="227" ht="9" customHeight="1" x14ac:dyDescent="0.3"/>
    <row r="228" ht="9" customHeight="1" x14ac:dyDescent="0.3"/>
    <row r="229" ht="9" customHeight="1" x14ac:dyDescent="0.3"/>
    <row r="230" ht="9" customHeight="1" x14ac:dyDescent="0.3"/>
    <row r="231" ht="9" customHeight="1" x14ac:dyDescent="0.3"/>
    <row r="232" ht="9" customHeight="1" x14ac:dyDescent="0.3"/>
    <row r="233" ht="9" customHeight="1" x14ac:dyDescent="0.3"/>
    <row r="234" ht="9" customHeight="1" x14ac:dyDescent="0.3"/>
    <row r="235" ht="9" customHeight="1" x14ac:dyDescent="0.3"/>
    <row r="236" ht="9" customHeight="1" x14ac:dyDescent="0.3"/>
    <row r="237" ht="9" customHeight="1" x14ac:dyDescent="0.3"/>
    <row r="238" ht="9" customHeight="1" x14ac:dyDescent="0.3"/>
    <row r="239" ht="9" customHeight="1" x14ac:dyDescent="0.3"/>
    <row r="240" ht="9" customHeight="1" x14ac:dyDescent="0.3"/>
    <row r="241" ht="9" customHeight="1" x14ac:dyDescent="0.3"/>
    <row r="242" ht="9" customHeight="1" x14ac:dyDescent="0.3"/>
    <row r="243" ht="9" customHeight="1" x14ac:dyDescent="0.3"/>
    <row r="244" ht="9" customHeight="1" x14ac:dyDescent="0.3"/>
    <row r="245" ht="9" customHeight="1" x14ac:dyDescent="0.3"/>
    <row r="246" ht="9" customHeight="1" x14ac:dyDescent="0.3"/>
    <row r="247" ht="9" customHeight="1" x14ac:dyDescent="0.3"/>
    <row r="248" ht="9" customHeight="1" x14ac:dyDescent="0.3"/>
    <row r="249" ht="9" customHeight="1" x14ac:dyDescent="0.3"/>
    <row r="250" ht="9" customHeight="1" x14ac:dyDescent="0.3"/>
    <row r="251" ht="9" customHeight="1" x14ac:dyDescent="0.3"/>
    <row r="252" ht="9" customHeight="1" x14ac:dyDescent="0.3"/>
    <row r="253" ht="9" customHeight="1" x14ac:dyDescent="0.3"/>
    <row r="254" ht="9" customHeight="1" x14ac:dyDescent="0.3"/>
    <row r="255" ht="9" customHeight="1" x14ac:dyDescent="0.3"/>
    <row r="256" ht="9" customHeight="1" x14ac:dyDescent="0.3"/>
    <row r="257" ht="9" customHeight="1" x14ac:dyDescent="0.3"/>
    <row r="258" ht="9" customHeight="1" x14ac:dyDescent="0.3"/>
    <row r="259" ht="9" customHeight="1" x14ac:dyDescent="0.3"/>
    <row r="260" ht="9" customHeight="1" x14ac:dyDescent="0.3"/>
    <row r="261" ht="9" customHeight="1" x14ac:dyDescent="0.3"/>
    <row r="262" ht="9" customHeight="1" x14ac:dyDescent="0.3"/>
    <row r="263" ht="9" customHeight="1" x14ac:dyDescent="0.3"/>
    <row r="264" ht="9" customHeight="1" x14ac:dyDescent="0.3"/>
    <row r="265" ht="9" customHeight="1" x14ac:dyDescent="0.3"/>
    <row r="266" ht="9" customHeight="1" x14ac:dyDescent="0.3"/>
    <row r="267" ht="9" customHeight="1" x14ac:dyDescent="0.3"/>
    <row r="268" ht="9" customHeight="1" x14ac:dyDescent="0.3"/>
    <row r="269" ht="9" customHeight="1" x14ac:dyDescent="0.3"/>
    <row r="270" ht="9" customHeight="1" x14ac:dyDescent="0.3"/>
    <row r="271" ht="9" customHeight="1" x14ac:dyDescent="0.3"/>
    <row r="272" ht="9" customHeight="1" x14ac:dyDescent="0.3"/>
    <row r="273" ht="9" customHeight="1" x14ac:dyDescent="0.3"/>
    <row r="274" ht="9" customHeight="1" x14ac:dyDescent="0.3"/>
    <row r="275" ht="9" customHeight="1" x14ac:dyDescent="0.3"/>
    <row r="276" ht="9" customHeight="1" x14ac:dyDescent="0.3"/>
    <row r="277" ht="9" customHeight="1" x14ac:dyDescent="0.3"/>
    <row r="278" ht="9" customHeight="1" x14ac:dyDescent="0.3"/>
    <row r="279" ht="9" customHeight="1" x14ac:dyDescent="0.3"/>
    <row r="280" ht="9" customHeight="1" x14ac:dyDescent="0.3"/>
    <row r="281" ht="9" customHeight="1" x14ac:dyDescent="0.3"/>
    <row r="282" ht="9" customHeight="1" x14ac:dyDescent="0.3"/>
    <row r="283" ht="9" customHeight="1" x14ac:dyDescent="0.3"/>
    <row r="284" ht="9" customHeight="1" x14ac:dyDescent="0.3"/>
    <row r="285" ht="9" customHeight="1" x14ac:dyDescent="0.3"/>
    <row r="286" ht="9" customHeight="1" x14ac:dyDescent="0.3"/>
    <row r="287" ht="9" customHeight="1" x14ac:dyDescent="0.3"/>
    <row r="288" ht="9" customHeight="1" x14ac:dyDescent="0.3"/>
    <row r="289" ht="9" customHeight="1" x14ac:dyDescent="0.3"/>
    <row r="290" ht="9" customHeight="1" x14ac:dyDescent="0.3"/>
    <row r="291" ht="9" customHeight="1" x14ac:dyDescent="0.3"/>
    <row r="292" ht="9" customHeight="1" x14ac:dyDescent="0.3"/>
    <row r="293" ht="9" customHeight="1" x14ac:dyDescent="0.3"/>
    <row r="294" ht="9" customHeight="1" x14ac:dyDescent="0.3"/>
    <row r="295" ht="9" customHeight="1" x14ac:dyDescent="0.3"/>
    <row r="296" ht="9" customHeight="1" x14ac:dyDescent="0.3"/>
    <row r="297" ht="9" customHeight="1" x14ac:dyDescent="0.3"/>
    <row r="298" ht="9" customHeight="1" x14ac:dyDescent="0.3"/>
    <row r="299" ht="9" customHeight="1" x14ac:dyDescent="0.3"/>
    <row r="300" ht="9" customHeight="1" x14ac:dyDescent="0.3"/>
    <row r="301" ht="9" customHeight="1" x14ac:dyDescent="0.3"/>
    <row r="302" ht="9" customHeight="1" x14ac:dyDescent="0.3"/>
    <row r="303" ht="9" customHeight="1" x14ac:dyDescent="0.3"/>
    <row r="304" ht="9" customHeight="1" x14ac:dyDescent="0.3"/>
    <row r="305" ht="9" customHeight="1" x14ac:dyDescent="0.3"/>
    <row r="306" ht="9" customHeight="1" x14ac:dyDescent="0.3"/>
    <row r="307" ht="9" customHeight="1" x14ac:dyDescent="0.3"/>
    <row r="308" ht="9" customHeight="1" x14ac:dyDescent="0.3"/>
    <row r="309" ht="9" customHeight="1" x14ac:dyDescent="0.3"/>
  </sheetData>
  <mergeCells count="170">
    <mergeCell ref="X35:AC35"/>
    <mergeCell ref="AD35:AG35"/>
    <mergeCell ref="AI35:AN35"/>
    <mergeCell ref="B20:K20"/>
    <mergeCell ref="M20:V20"/>
    <mergeCell ref="X20:AG20"/>
    <mergeCell ref="AI20:AR20"/>
    <mergeCell ref="AT20:BD20"/>
    <mergeCell ref="B2:BQ2"/>
    <mergeCell ref="A6:BQ6"/>
    <mergeCell ref="M4:BQ4"/>
    <mergeCell ref="B4:K4"/>
    <mergeCell ref="AT9:AW9"/>
    <mergeCell ref="BF9:BI9"/>
    <mergeCell ref="AI34:AR34"/>
    <mergeCell ref="AT34:BD34"/>
    <mergeCell ref="BF34:BQ34"/>
    <mergeCell ref="BF20:BQ20"/>
    <mergeCell ref="B9:E9"/>
    <mergeCell ref="M9:P9"/>
    <mergeCell ref="X9:AA9"/>
    <mergeCell ref="AI9:AL9"/>
    <mergeCell ref="B7:BQ7"/>
    <mergeCell ref="M53:Q53"/>
    <mergeCell ref="X53:AB53"/>
    <mergeCell ref="AI53:AM53"/>
    <mergeCell ref="AT53:AX53"/>
    <mergeCell ref="BF53:BJ53"/>
    <mergeCell ref="B49:K49"/>
    <mergeCell ref="M49:V49"/>
    <mergeCell ref="X49:AG49"/>
    <mergeCell ref="AI49:AR49"/>
    <mergeCell ref="AT49:BD49"/>
    <mergeCell ref="BF49:BQ49"/>
    <mergeCell ref="BN51:BQ51"/>
    <mergeCell ref="AI50:AR50"/>
    <mergeCell ref="AT50:BD50"/>
    <mergeCell ref="BF50:BQ50"/>
    <mergeCell ref="AI51:AN51"/>
    <mergeCell ref="AO51:AR51"/>
    <mergeCell ref="AT51:AZ51"/>
    <mergeCell ref="BA51:BD51"/>
    <mergeCell ref="BF51:BM51"/>
    <mergeCell ref="B51:G51"/>
    <mergeCell ref="H51:K51"/>
    <mergeCell ref="M51:R51"/>
    <mergeCell ref="S51:V51"/>
    <mergeCell ref="BF63:BQ63"/>
    <mergeCell ref="M78:V78"/>
    <mergeCell ref="X78:AC78"/>
    <mergeCell ref="AD78:AG78"/>
    <mergeCell ref="X77:AG77"/>
    <mergeCell ref="B90:K90"/>
    <mergeCell ref="M92:V92"/>
    <mergeCell ref="M91:V91"/>
    <mergeCell ref="X92:AG92"/>
    <mergeCell ref="B73:D73"/>
    <mergeCell ref="B78:K78"/>
    <mergeCell ref="BF64:BQ64"/>
    <mergeCell ref="AI81:AN81"/>
    <mergeCell ref="AT81:AY81"/>
    <mergeCell ref="BF81:BK81"/>
    <mergeCell ref="BF65:BM65"/>
    <mergeCell ref="BN65:BQ65"/>
    <mergeCell ref="AI67:AK67"/>
    <mergeCell ref="AT67:AV67"/>
    <mergeCell ref="BF67:BH67"/>
    <mergeCell ref="BN79:BQ79"/>
    <mergeCell ref="AI65:AN65"/>
    <mergeCell ref="AO65:AR65"/>
    <mergeCell ref="AT65:AZ65"/>
    <mergeCell ref="AI21:AN21"/>
    <mergeCell ref="AO21:AR21"/>
    <mergeCell ref="AT21:AZ21"/>
    <mergeCell ref="BA21:BD21"/>
    <mergeCell ref="BF21:BM21"/>
    <mergeCell ref="BN21:BQ21"/>
    <mergeCell ref="B21:G21"/>
    <mergeCell ref="H21:K21"/>
    <mergeCell ref="M21:R21"/>
    <mergeCell ref="S21:V21"/>
    <mergeCell ref="X21:AC21"/>
    <mergeCell ref="AD21:AG21"/>
    <mergeCell ref="M50:V50"/>
    <mergeCell ref="X50:AG50"/>
    <mergeCell ref="B39:F39"/>
    <mergeCell ref="M39:Q39"/>
    <mergeCell ref="X39:AB39"/>
    <mergeCell ref="H35:K35"/>
    <mergeCell ref="B37:BQ37"/>
    <mergeCell ref="BF39:BJ39"/>
    <mergeCell ref="M23:P23"/>
    <mergeCell ref="X23:AA23"/>
    <mergeCell ref="AI23:AL23"/>
    <mergeCell ref="AT23:AW23"/>
    <mergeCell ref="BF23:BI23"/>
    <mergeCell ref="BF35:BM35"/>
    <mergeCell ref="BN35:BQ35"/>
    <mergeCell ref="B35:G35"/>
    <mergeCell ref="B34:K34"/>
    <mergeCell ref="M34:V34"/>
    <mergeCell ref="X34:AG34"/>
    <mergeCell ref="B23:E23"/>
    <mergeCell ref="AI39:AM39"/>
    <mergeCell ref="AT39:AX39"/>
    <mergeCell ref="M35:R35"/>
    <mergeCell ref="S35:V35"/>
    <mergeCell ref="BA65:BD65"/>
    <mergeCell ref="AO35:AR35"/>
    <mergeCell ref="AT35:AZ35"/>
    <mergeCell ref="BA35:BD35"/>
    <mergeCell ref="B64:K64"/>
    <mergeCell ref="M64:V64"/>
    <mergeCell ref="X64:AG64"/>
    <mergeCell ref="AI64:AR64"/>
    <mergeCell ref="AT64:BD64"/>
    <mergeCell ref="B65:G65"/>
    <mergeCell ref="H65:K65"/>
    <mergeCell ref="M65:R65"/>
    <mergeCell ref="S65:V65"/>
    <mergeCell ref="X65:AC65"/>
    <mergeCell ref="AD65:AG65"/>
    <mergeCell ref="B63:K63"/>
    <mergeCell ref="M63:V63"/>
    <mergeCell ref="X63:AG63"/>
    <mergeCell ref="AI63:AR63"/>
    <mergeCell ref="AT63:BD63"/>
    <mergeCell ref="B53:F53"/>
    <mergeCell ref="X51:AC51"/>
    <mergeCell ref="AD51:AG51"/>
    <mergeCell ref="B50:K50"/>
    <mergeCell ref="M67:O67"/>
    <mergeCell ref="X67:Z67"/>
    <mergeCell ref="AI79:AN79"/>
    <mergeCell ref="AO79:AR79"/>
    <mergeCell ref="BF79:BM79"/>
    <mergeCell ref="B79:G79"/>
    <mergeCell ref="H79:K79"/>
    <mergeCell ref="M79:R79"/>
    <mergeCell ref="S79:V79"/>
    <mergeCell ref="X79:AC79"/>
    <mergeCell ref="AD79:AG79"/>
    <mergeCell ref="BB79:BD79"/>
    <mergeCell ref="AT78:BD78"/>
    <mergeCell ref="AT79:BA79"/>
    <mergeCell ref="AI78:AR78"/>
    <mergeCell ref="BF78:BQ78"/>
    <mergeCell ref="B67:D67"/>
    <mergeCell ref="B81:D81"/>
    <mergeCell ref="M81:O81"/>
    <mergeCell ref="X81:Z81"/>
    <mergeCell ref="AT93:AZ93"/>
    <mergeCell ref="BF93:BM93"/>
    <mergeCell ref="BN93:BQ93"/>
    <mergeCell ref="B93:G93"/>
    <mergeCell ref="H93:K93"/>
    <mergeCell ref="M93:R93"/>
    <mergeCell ref="S93:V93"/>
    <mergeCell ref="X93:AC93"/>
    <mergeCell ref="AD93:AG93"/>
    <mergeCell ref="AI93:AN93"/>
    <mergeCell ref="AO93:AR93"/>
    <mergeCell ref="BA93:BD93"/>
    <mergeCell ref="B92:G92"/>
    <mergeCell ref="B91:G91"/>
    <mergeCell ref="H91:K91"/>
    <mergeCell ref="H92:K92"/>
    <mergeCell ref="AI92:AR92"/>
    <mergeCell ref="AT92:BD92"/>
    <mergeCell ref="BF92:BQ92"/>
  </mergeCells>
  <phoneticPr fontId="11" type="noConversion"/>
  <printOptions horizontalCentered="1"/>
  <pageMargins left="0.23622047244094491" right="0.23622047244094491" top="0.23622047244094491" bottom="0.23622047244094491" header="0.23622047244094491" footer="0.23622047244094491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CB94"/>
  <sheetViews>
    <sheetView showGridLines="0" view="pageBreakPreview" topLeftCell="A28" zoomScale="88" zoomScaleSheetLayoutView="88" workbookViewId="0">
      <selection activeCell="B1" sqref="B1:BR1"/>
    </sheetView>
  </sheetViews>
  <sheetFormatPr defaultColWidth="8.77734375" defaultRowHeight="13.8" x14ac:dyDescent="0.3"/>
  <cols>
    <col min="1" max="1" width="0.33203125" style="171" customWidth="1"/>
    <col min="2" max="5" width="1.6640625" style="171" customWidth="1"/>
    <col min="6" max="6" width="5.6640625" style="171" customWidth="1"/>
    <col min="7" max="10" width="1.6640625" style="171" customWidth="1"/>
    <col min="11" max="11" width="0.33203125" style="171" customWidth="1"/>
    <col min="12" max="15" width="1.6640625" style="171" customWidth="1"/>
    <col min="16" max="16" width="5.44140625" style="171" customWidth="1"/>
    <col min="17" max="17" width="1.6640625" style="171" customWidth="1"/>
    <col min="18" max="18" width="2.44140625" style="171" customWidth="1"/>
    <col min="19" max="20" width="1.6640625" style="171" customWidth="1"/>
    <col min="21" max="21" width="0.33203125" style="171" customWidth="1"/>
    <col min="22" max="25" width="1.6640625" style="171" customWidth="1"/>
    <col min="26" max="26" width="5.44140625" style="171" customWidth="1"/>
    <col min="27" max="27" width="2.44140625" style="171" customWidth="1"/>
    <col min="28" max="28" width="1.6640625" style="171" customWidth="1"/>
    <col min="29" max="29" width="2.6640625" style="171" customWidth="1"/>
    <col min="30" max="30" width="2" style="171" customWidth="1"/>
    <col min="31" max="31" width="0.33203125" style="171" customWidth="1"/>
    <col min="32" max="35" width="1.6640625" style="171" customWidth="1"/>
    <col min="36" max="36" width="6.44140625" style="171" customWidth="1"/>
    <col min="37" max="40" width="1.6640625" style="171" customWidth="1"/>
    <col min="41" max="41" width="0.33203125" style="171" customWidth="1"/>
    <col min="42" max="45" width="1.6640625" style="171" customWidth="1"/>
    <col min="46" max="46" width="6.44140625" style="171" customWidth="1"/>
    <col min="47" max="50" width="1.6640625" style="171" customWidth="1"/>
    <col min="51" max="51" width="0.33203125" style="171" customWidth="1"/>
    <col min="52" max="55" width="1.6640625" style="171" customWidth="1"/>
    <col min="56" max="56" width="8" style="171" customWidth="1"/>
    <col min="57" max="60" width="1.6640625" style="171" customWidth="1"/>
    <col min="61" max="61" width="0.33203125" style="171" customWidth="1"/>
    <col min="62" max="65" width="1.6640625" style="171" customWidth="1"/>
    <col min="66" max="66" width="8.44140625" style="171" customWidth="1"/>
    <col min="67" max="69" width="1.6640625" style="171" customWidth="1"/>
    <col min="70" max="70" width="1.44140625" style="171" customWidth="1"/>
    <col min="71" max="71" width="0.33203125" style="27" customWidth="1"/>
    <col min="72" max="80" width="1.6640625" style="27" customWidth="1"/>
    <col min="81" max="256" width="9.109375" style="27"/>
    <col min="257" max="257" width="0.33203125" style="27" customWidth="1"/>
    <col min="258" max="266" width="1.6640625" style="27" customWidth="1"/>
    <col min="267" max="267" width="0.33203125" style="27" customWidth="1"/>
    <col min="268" max="276" width="1.6640625" style="27" customWidth="1"/>
    <col min="277" max="277" width="0.33203125" style="27" customWidth="1"/>
    <col min="278" max="286" width="1.6640625" style="27" customWidth="1"/>
    <col min="287" max="287" width="0.33203125" style="27" customWidth="1"/>
    <col min="288" max="296" width="1.6640625" style="27" customWidth="1"/>
    <col min="297" max="297" width="0.33203125" style="27" customWidth="1"/>
    <col min="298" max="306" width="1.6640625" style="27" customWidth="1"/>
    <col min="307" max="307" width="0.33203125" style="27" customWidth="1"/>
    <col min="308" max="316" width="1.6640625" style="27" customWidth="1"/>
    <col min="317" max="317" width="0.33203125" style="27" customWidth="1"/>
    <col min="318" max="326" width="1.6640625" style="27" customWidth="1"/>
    <col min="327" max="327" width="0.33203125" style="27" customWidth="1"/>
    <col min="328" max="336" width="1.6640625" style="27" customWidth="1"/>
    <col min="337" max="512" width="9.109375" style="27"/>
    <col min="513" max="513" width="0.33203125" style="27" customWidth="1"/>
    <col min="514" max="522" width="1.6640625" style="27" customWidth="1"/>
    <col min="523" max="523" width="0.33203125" style="27" customWidth="1"/>
    <col min="524" max="532" width="1.6640625" style="27" customWidth="1"/>
    <col min="533" max="533" width="0.33203125" style="27" customWidth="1"/>
    <col min="534" max="542" width="1.6640625" style="27" customWidth="1"/>
    <col min="543" max="543" width="0.33203125" style="27" customWidth="1"/>
    <col min="544" max="552" width="1.6640625" style="27" customWidth="1"/>
    <col min="553" max="553" width="0.33203125" style="27" customWidth="1"/>
    <col min="554" max="562" width="1.6640625" style="27" customWidth="1"/>
    <col min="563" max="563" width="0.33203125" style="27" customWidth="1"/>
    <col min="564" max="572" width="1.6640625" style="27" customWidth="1"/>
    <col min="573" max="573" width="0.33203125" style="27" customWidth="1"/>
    <col min="574" max="582" width="1.6640625" style="27" customWidth="1"/>
    <col min="583" max="583" width="0.33203125" style="27" customWidth="1"/>
    <col min="584" max="592" width="1.6640625" style="27" customWidth="1"/>
    <col min="593" max="768" width="9.109375" style="27"/>
    <col min="769" max="769" width="0.33203125" style="27" customWidth="1"/>
    <col min="770" max="778" width="1.6640625" style="27" customWidth="1"/>
    <col min="779" max="779" width="0.33203125" style="27" customWidth="1"/>
    <col min="780" max="788" width="1.6640625" style="27" customWidth="1"/>
    <col min="789" max="789" width="0.33203125" style="27" customWidth="1"/>
    <col min="790" max="798" width="1.6640625" style="27" customWidth="1"/>
    <col min="799" max="799" width="0.33203125" style="27" customWidth="1"/>
    <col min="800" max="808" width="1.6640625" style="27" customWidth="1"/>
    <col min="809" max="809" width="0.33203125" style="27" customWidth="1"/>
    <col min="810" max="818" width="1.6640625" style="27" customWidth="1"/>
    <col min="819" max="819" width="0.33203125" style="27" customWidth="1"/>
    <col min="820" max="828" width="1.6640625" style="27" customWidth="1"/>
    <col min="829" max="829" width="0.33203125" style="27" customWidth="1"/>
    <col min="830" max="838" width="1.6640625" style="27" customWidth="1"/>
    <col min="839" max="839" width="0.33203125" style="27" customWidth="1"/>
    <col min="840" max="848" width="1.6640625" style="27" customWidth="1"/>
    <col min="849" max="1024" width="9.109375" style="27"/>
    <col min="1025" max="1025" width="0.33203125" style="27" customWidth="1"/>
    <col min="1026" max="1034" width="1.6640625" style="27" customWidth="1"/>
    <col min="1035" max="1035" width="0.33203125" style="27" customWidth="1"/>
    <col min="1036" max="1044" width="1.6640625" style="27" customWidth="1"/>
    <col min="1045" max="1045" width="0.33203125" style="27" customWidth="1"/>
    <col min="1046" max="1054" width="1.6640625" style="27" customWidth="1"/>
    <col min="1055" max="1055" width="0.33203125" style="27" customWidth="1"/>
    <col min="1056" max="1064" width="1.6640625" style="27" customWidth="1"/>
    <col min="1065" max="1065" width="0.33203125" style="27" customWidth="1"/>
    <col min="1066" max="1074" width="1.6640625" style="27" customWidth="1"/>
    <col min="1075" max="1075" width="0.33203125" style="27" customWidth="1"/>
    <col min="1076" max="1084" width="1.6640625" style="27" customWidth="1"/>
    <col min="1085" max="1085" width="0.33203125" style="27" customWidth="1"/>
    <col min="1086" max="1094" width="1.6640625" style="27" customWidth="1"/>
    <col min="1095" max="1095" width="0.33203125" style="27" customWidth="1"/>
    <col min="1096" max="1104" width="1.6640625" style="27" customWidth="1"/>
    <col min="1105" max="1280" width="9.109375" style="27"/>
    <col min="1281" max="1281" width="0.33203125" style="27" customWidth="1"/>
    <col min="1282" max="1290" width="1.6640625" style="27" customWidth="1"/>
    <col min="1291" max="1291" width="0.33203125" style="27" customWidth="1"/>
    <col min="1292" max="1300" width="1.6640625" style="27" customWidth="1"/>
    <col min="1301" max="1301" width="0.33203125" style="27" customWidth="1"/>
    <col min="1302" max="1310" width="1.6640625" style="27" customWidth="1"/>
    <col min="1311" max="1311" width="0.33203125" style="27" customWidth="1"/>
    <col min="1312" max="1320" width="1.6640625" style="27" customWidth="1"/>
    <col min="1321" max="1321" width="0.33203125" style="27" customWidth="1"/>
    <col min="1322" max="1330" width="1.6640625" style="27" customWidth="1"/>
    <col min="1331" max="1331" width="0.33203125" style="27" customWidth="1"/>
    <col min="1332" max="1340" width="1.6640625" style="27" customWidth="1"/>
    <col min="1341" max="1341" width="0.33203125" style="27" customWidth="1"/>
    <col min="1342" max="1350" width="1.6640625" style="27" customWidth="1"/>
    <col min="1351" max="1351" width="0.33203125" style="27" customWidth="1"/>
    <col min="1352" max="1360" width="1.6640625" style="27" customWidth="1"/>
    <col min="1361" max="1536" width="9.109375" style="27"/>
    <col min="1537" max="1537" width="0.33203125" style="27" customWidth="1"/>
    <col min="1538" max="1546" width="1.6640625" style="27" customWidth="1"/>
    <col min="1547" max="1547" width="0.33203125" style="27" customWidth="1"/>
    <col min="1548" max="1556" width="1.6640625" style="27" customWidth="1"/>
    <col min="1557" max="1557" width="0.33203125" style="27" customWidth="1"/>
    <col min="1558" max="1566" width="1.6640625" style="27" customWidth="1"/>
    <col min="1567" max="1567" width="0.33203125" style="27" customWidth="1"/>
    <col min="1568" max="1576" width="1.6640625" style="27" customWidth="1"/>
    <col min="1577" max="1577" width="0.33203125" style="27" customWidth="1"/>
    <col min="1578" max="1586" width="1.6640625" style="27" customWidth="1"/>
    <col min="1587" max="1587" width="0.33203125" style="27" customWidth="1"/>
    <col min="1588" max="1596" width="1.6640625" style="27" customWidth="1"/>
    <col min="1597" max="1597" width="0.33203125" style="27" customWidth="1"/>
    <col min="1598" max="1606" width="1.6640625" style="27" customWidth="1"/>
    <col min="1607" max="1607" width="0.33203125" style="27" customWidth="1"/>
    <col min="1608" max="1616" width="1.6640625" style="27" customWidth="1"/>
    <col min="1617" max="1792" width="9.109375" style="27"/>
    <col min="1793" max="1793" width="0.33203125" style="27" customWidth="1"/>
    <col min="1794" max="1802" width="1.6640625" style="27" customWidth="1"/>
    <col min="1803" max="1803" width="0.33203125" style="27" customWidth="1"/>
    <col min="1804" max="1812" width="1.6640625" style="27" customWidth="1"/>
    <col min="1813" max="1813" width="0.33203125" style="27" customWidth="1"/>
    <col min="1814" max="1822" width="1.6640625" style="27" customWidth="1"/>
    <col min="1823" max="1823" width="0.33203125" style="27" customWidth="1"/>
    <col min="1824" max="1832" width="1.6640625" style="27" customWidth="1"/>
    <col min="1833" max="1833" width="0.33203125" style="27" customWidth="1"/>
    <col min="1834" max="1842" width="1.6640625" style="27" customWidth="1"/>
    <col min="1843" max="1843" width="0.33203125" style="27" customWidth="1"/>
    <col min="1844" max="1852" width="1.6640625" style="27" customWidth="1"/>
    <col min="1853" max="1853" width="0.33203125" style="27" customWidth="1"/>
    <col min="1854" max="1862" width="1.6640625" style="27" customWidth="1"/>
    <col min="1863" max="1863" width="0.33203125" style="27" customWidth="1"/>
    <col min="1864" max="1872" width="1.6640625" style="27" customWidth="1"/>
    <col min="1873" max="2048" width="9.109375" style="27"/>
    <col min="2049" max="2049" width="0.33203125" style="27" customWidth="1"/>
    <col min="2050" max="2058" width="1.6640625" style="27" customWidth="1"/>
    <col min="2059" max="2059" width="0.33203125" style="27" customWidth="1"/>
    <col min="2060" max="2068" width="1.6640625" style="27" customWidth="1"/>
    <col min="2069" max="2069" width="0.33203125" style="27" customWidth="1"/>
    <col min="2070" max="2078" width="1.6640625" style="27" customWidth="1"/>
    <col min="2079" max="2079" width="0.33203125" style="27" customWidth="1"/>
    <col min="2080" max="2088" width="1.6640625" style="27" customWidth="1"/>
    <col min="2089" max="2089" width="0.33203125" style="27" customWidth="1"/>
    <col min="2090" max="2098" width="1.6640625" style="27" customWidth="1"/>
    <col min="2099" max="2099" width="0.33203125" style="27" customWidth="1"/>
    <col min="2100" max="2108" width="1.6640625" style="27" customWidth="1"/>
    <col min="2109" max="2109" width="0.33203125" style="27" customWidth="1"/>
    <col min="2110" max="2118" width="1.6640625" style="27" customWidth="1"/>
    <col min="2119" max="2119" width="0.33203125" style="27" customWidth="1"/>
    <col min="2120" max="2128" width="1.6640625" style="27" customWidth="1"/>
    <col min="2129" max="2304" width="9.109375" style="27"/>
    <col min="2305" max="2305" width="0.33203125" style="27" customWidth="1"/>
    <col min="2306" max="2314" width="1.6640625" style="27" customWidth="1"/>
    <col min="2315" max="2315" width="0.33203125" style="27" customWidth="1"/>
    <col min="2316" max="2324" width="1.6640625" style="27" customWidth="1"/>
    <col min="2325" max="2325" width="0.33203125" style="27" customWidth="1"/>
    <col min="2326" max="2334" width="1.6640625" style="27" customWidth="1"/>
    <col min="2335" max="2335" width="0.33203125" style="27" customWidth="1"/>
    <col min="2336" max="2344" width="1.6640625" style="27" customWidth="1"/>
    <col min="2345" max="2345" width="0.33203125" style="27" customWidth="1"/>
    <col min="2346" max="2354" width="1.6640625" style="27" customWidth="1"/>
    <col min="2355" max="2355" width="0.33203125" style="27" customWidth="1"/>
    <col min="2356" max="2364" width="1.6640625" style="27" customWidth="1"/>
    <col min="2365" max="2365" width="0.33203125" style="27" customWidth="1"/>
    <col min="2366" max="2374" width="1.6640625" style="27" customWidth="1"/>
    <col min="2375" max="2375" width="0.33203125" style="27" customWidth="1"/>
    <col min="2376" max="2384" width="1.6640625" style="27" customWidth="1"/>
    <col min="2385" max="2560" width="9.109375" style="27"/>
    <col min="2561" max="2561" width="0.33203125" style="27" customWidth="1"/>
    <col min="2562" max="2570" width="1.6640625" style="27" customWidth="1"/>
    <col min="2571" max="2571" width="0.33203125" style="27" customWidth="1"/>
    <col min="2572" max="2580" width="1.6640625" style="27" customWidth="1"/>
    <col min="2581" max="2581" width="0.33203125" style="27" customWidth="1"/>
    <col min="2582" max="2590" width="1.6640625" style="27" customWidth="1"/>
    <col min="2591" max="2591" width="0.33203125" style="27" customWidth="1"/>
    <col min="2592" max="2600" width="1.6640625" style="27" customWidth="1"/>
    <col min="2601" max="2601" width="0.33203125" style="27" customWidth="1"/>
    <col min="2602" max="2610" width="1.6640625" style="27" customWidth="1"/>
    <col min="2611" max="2611" width="0.33203125" style="27" customWidth="1"/>
    <col min="2612" max="2620" width="1.6640625" style="27" customWidth="1"/>
    <col min="2621" max="2621" width="0.33203125" style="27" customWidth="1"/>
    <col min="2622" max="2630" width="1.6640625" style="27" customWidth="1"/>
    <col min="2631" max="2631" width="0.33203125" style="27" customWidth="1"/>
    <col min="2632" max="2640" width="1.6640625" style="27" customWidth="1"/>
    <col min="2641" max="2816" width="9.109375" style="27"/>
    <col min="2817" max="2817" width="0.33203125" style="27" customWidth="1"/>
    <col min="2818" max="2826" width="1.6640625" style="27" customWidth="1"/>
    <col min="2827" max="2827" width="0.33203125" style="27" customWidth="1"/>
    <col min="2828" max="2836" width="1.6640625" style="27" customWidth="1"/>
    <col min="2837" max="2837" width="0.33203125" style="27" customWidth="1"/>
    <col min="2838" max="2846" width="1.6640625" style="27" customWidth="1"/>
    <col min="2847" max="2847" width="0.33203125" style="27" customWidth="1"/>
    <col min="2848" max="2856" width="1.6640625" style="27" customWidth="1"/>
    <col min="2857" max="2857" width="0.33203125" style="27" customWidth="1"/>
    <col min="2858" max="2866" width="1.6640625" style="27" customWidth="1"/>
    <col min="2867" max="2867" width="0.33203125" style="27" customWidth="1"/>
    <col min="2868" max="2876" width="1.6640625" style="27" customWidth="1"/>
    <col min="2877" max="2877" width="0.33203125" style="27" customWidth="1"/>
    <col min="2878" max="2886" width="1.6640625" style="27" customWidth="1"/>
    <col min="2887" max="2887" width="0.33203125" style="27" customWidth="1"/>
    <col min="2888" max="2896" width="1.6640625" style="27" customWidth="1"/>
    <col min="2897" max="3072" width="9.109375" style="27"/>
    <col min="3073" max="3073" width="0.33203125" style="27" customWidth="1"/>
    <col min="3074" max="3082" width="1.6640625" style="27" customWidth="1"/>
    <col min="3083" max="3083" width="0.33203125" style="27" customWidth="1"/>
    <col min="3084" max="3092" width="1.6640625" style="27" customWidth="1"/>
    <col min="3093" max="3093" width="0.33203125" style="27" customWidth="1"/>
    <col min="3094" max="3102" width="1.6640625" style="27" customWidth="1"/>
    <col min="3103" max="3103" width="0.33203125" style="27" customWidth="1"/>
    <col min="3104" max="3112" width="1.6640625" style="27" customWidth="1"/>
    <col min="3113" max="3113" width="0.33203125" style="27" customWidth="1"/>
    <col min="3114" max="3122" width="1.6640625" style="27" customWidth="1"/>
    <col min="3123" max="3123" width="0.33203125" style="27" customWidth="1"/>
    <col min="3124" max="3132" width="1.6640625" style="27" customWidth="1"/>
    <col min="3133" max="3133" width="0.33203125" style="27" customWidth="1"/>
    <col min="3134" max="3142" width="1.6640625" style="27" customWidth="1"/>
    <col min="3143" max="3143" width="0.33203125" style="27" customWidth="1"/>
    <col min="3144" max="3152" width="1.6640625" style="27" customWidth="1"/>
    <col min="3153" max="3328" width="9.109375" style="27"/>
    <col min="3329" max="3329" width="0.33203125" style="27" customWidth="1"/>
    <col min="3330" max="3338" width="1.6640625" style="27" customWidth="1"/>
    <col min="3339" max="3339" width="0.33203125" style="27" customWidth="1"/>
    <col min="3340" max="3348" width="1.6640625" style="27" customWidth="1"/>
    <col min="3349" max="3349" width="0.33203125" style="27" customWidth="1"/>
    <col min="3350" max="3358" width="1.6640625" style="27" customWidth="1"/>
    <col min="3359" max="3359" width="0.33203125" style="27" customWidth="1"/>
    <col min="3360" max="3368" width="1.6640625" style="27" customWidth="1"/>
    <col min="3369" max="3369" width="0.33203125" style="27" customWidth="1"/>
    <col min="3370" max="3378" width="1.6640625" style="27" customWidth="1"/>
    <col min="3379" max="3379" width="0.33203125" style="27" customWidth="1"/>
    <col min="3380" max="3388" width="1.6640625" style="27" customWidth="1"/>
    <col min="3389" max="3389" width="0.33203125" style="27" customWidth="1"/>
    <col min="3390" max="3398" width="1.6640625" style="27" customWidth="1"/>
    <col min="3399" max="3399" width="0.33203125" style="27" customWidth="1"/>
    <col min="3400" max="3408" width="1.6640625" style="27" customWidth="1"/>
    <col min="3409" max="3584" width="9.109375" style="27"/>
    <col min="3585" max="3585" width="0.33203125" style="27" customWidth="1"/>
    <col min="3586" max="3594" width="1.6640625" style="27" customWidth="1"/>
    <col min="3595" max="3595" width="0.33203125" style="27" customWidth="1"/>
    <col min="3596" max="3604" width="1.6640625" style="27" customWidth="1"/>
    <col min="3605" max="3605" width="0.33203125" style="27" customWidth="1"/>
    <col min="3606" max="3614" width="1.6640625" style="27" customWidth="1"/>
    <col min="3615" max="3615" width="0.33203125" style="27" customWidth="1"/>
    <col min="3616" max="3624" width="1.6640625" style="27" customWidth="1"/>
    <col min="3625" max="3625" width="0.33203125" style="27" customWidth="1"/>
    <col min="3626" max="3634" width="1.6640625" style="27" customWidth="1"/>
    <col min="3635" max="3635" width="0.33203125" style="27" customWidth="1"/>
    <col min="3636" max="3644" width="1.6640625" style="27" customWidth="1"/>
    <col min="3645" max="3645" width="0.33203125" style="27" customWidth="1"/>
    <col min="3646" max="3654" width="1.6640625" style="27" customWidth="1"/>
    <col min="3655" max="3655" width="0.33203125" style="27" customWidth="1"/>
    <col min="3656" max="3664" width="1.6640625" style="27" customWidth="1"/>
    <col min="3665" max="3840" width="9.109375" style="27"/>
    <col min="3841" max="3841" width="0.33203125" style="27" customWidth="1"/>
    <col min="3842" max="3850" width="1.6640625" style="27" customWidth="1"/>
    <col min="3851" max="3851" width="0.33203125" style="27" customWidth="1"/>
    <col min="3852" max="3860" width="1.6640625" style="27" customWidth="1"/>
    <col min="3861" max="3861" width="0.33203125" style="27" customWidth="1"/>
    <col min="3862" max="3870" width="1.6640625" style="27" customWidth="1"/>
    <col min="3871" max="3871" width="0.33203125" style="27" customWidth="1"/>
    <col min="3872" max="3880" width="1.6640625" style="27" customWidth="1"/>
    <col min="3881" max="3881" width="0.33203125" style="27" customWidth="1"/>
    <col min="3882" max="3890" width="1.6640625" style="27" customWidth="1"/>
    <col min="3891" max="3891" width="0.33203125" style="27" customWidth="1"/>
    <col min="3892" max="3900" width="1.6640625" style="27" customWidth="1"/>
    <col min="3901" max="3901" width="0.33203125" style="27" customWidth="1"/>
    <col min="3902" max="3910" width="1.6640625" style="27" customWidth="1"/>
    <col min="3911" max="3911" width="0.33203125" style="27" customWidth="1"/>
    <col min="3912" max="3920" width="1.6640625" style="27" customWidth="1"/>
    <col min="3921" max="4096" width="9.109375" style="27"/>
    <col min="4097" max="4097" width="0.33203125" style="27" customWidth="1"/>
    <col min="4098" max="4106" width="1.6640625" style="27" customWidth="1"/>
    <col min="4107" max="4107" width="0.33203125" style="27" customWidth="1"/>
    <col min="4108" max="4116" width="1.6640625" style="27" customWidth="1"/>
    <col min="4117" max="4117" width="0.33203125" style="27" customWidth="1"/>
    <col min="4118" max="4126" width="1.6640625" style="27" customWidth="1"/>
    <col min="4127" max="4127" width="0.33203125" style="27" customWidth="1"/>
    <col min="4128" max="4136" width="1.6640625" style="27" customWidth="1"/>
    <col min="4137" max="4137" width="0.33203125" style="27" customWidth="1"/>
    <col min="4138" max="4146" width="1.6640625" style="27" customWidth="1"/>
    <col min="4147" max="4147" width="0.33203125" style="27" customWidth="1"/>
    <col min="4148" max="4156" width="1.6640625" style="27" customWidth="1"/>
    <col min="4157" max="4157" width="0.33203125" style="27" customWidth="1"/>
    <col min="4158" max="4166" width="1.6640625" style="27" customWidth="1"/>
    <col min="4167" max="4167" width="0.33203125" style="27" customWidth="1"/>
    <col min="4168" max="4176" width="1.6640625" style="27" customWidth="1"/>
    <col min="4177" max="4352" width="9.109375" style="27"/>
    <col min="4353" max="4353" width="0.33203125" style="27" customWidth="1"/>
    <col min="4354" max="4362" width="1.6640625" style="27" customWidth="1"/>
    <col min="4363" max="4363" width="0.33203125" style="27" customWidth="1"/>
    <col min="4364" max="4372" width="1.6640625" style="27" customWidth="1"/>
    <col min="4373" max="4373" width="0.33203125" style="27" customWidth="1"/>
    <col min="4374" max="4382" width="1.6640625" style="27" customWidth="1"/>
    <col min="4383" max="4383" width="0.33203125" style="27" customWidth="1"/>
    <col min="4384" max="4392" width="1.6640625" style="27" customWidth="1"/>
    <col min="4393" max="4393" width="0.33203125" style="27" customWidth="1"/>
    <col min="4394" max="4402" width="1.6640625" style="27" customWidth="1"/>
    <col min="4403" max="4403" width="0.33203125" style="27" customWidth="1"/>
    <col min="4404" max="4412" width="1.6640625" style="27" customWidth="1"/>
    <col min="4413" max="4413" width="0.33203125" style="27" customWidth="1"/>
    <col min="4414" max="4422" width="1.6640625" style="27" customWidth="1"/>
    <col min="4423" max="4423" width="0.33203125" style="27" customWidth="1"/>
    <col min="4424" max="4432" width="1.6640625" style="27" customWidth="1"/>
    <col min="4433" max="4608" width="9.109375" style="27"/>
    <col min="4609" max="4609" width="0.33203125" style="27" customWidth="1"/>
    <col min="4610" max="4618" width="1.6640625" style="27" customWidth="1"/>
    <col min="4619" max="4619" width="0.33203125" style="27" customWidth="1"/>
    <col min="4620" max="4628" width="1.6640625" style="27" customWidth="1"/>
    <col min="4629" max="4629" width="0.33203125" style="27" customWidth="1"/>
    <col min="4630" max="4638" width="1.6640625" style="27" customWidth="1"/>
    <col min="4639" max="4639" width="0.33203125" style="27" customWidth="1"/>
    <col min="4640" max="4648" width="1.6640625" style="27" customWidth="1"/>
    <col min="4649" max="4649" width="0.33203125" style="27" customWidth="1"/>
    <col min="4650" max="4658" width="1.6640625" style="27" customWidth="1"/>
    <col min="4659" max="4659" width="0.33203125" style="27" customWidth="1"/>
    <col min="4660" max="4668" width="1.6640625" style="27" customWidth="1"/>
    <col min="4669" max="4669" width="0.33203125" style="27" customWidth="1"/>
    <col min="4670" max="4678" width="1.6640625" style="27" customWidth="1"/>
    <col min="4679" max="4679" width="0.33203125" style="27" customWidth="1"/>
    <col min="4680" max="4688" width="1.6640625" style="27" customWidth="1"/>
    <col min="4689" max="4864" width="9.109375" style="27"/>
    <col min="4865" max="4865" width="0.33203125" style="27" customWidth="1"/>
    <col min="4866" max="4874" width="1.6640625" style="27" customWidth="1"/>
    <col min="4875" max="4875" width="0.33203125" style="27" customWidth="1"/>
    <col min="4876" max="4884" width="1.6640625" style="27" customWidth="1"/>
    <col min="4885" max="4885" width="0.33203125" style="27" customWidth="1"/>
    <col min="4886" max="4894" width="1.6640625" style="27" customWidth="1"/>
    <col min="4895" max="4895" width="0.33203125" style="27" customWidth="1"/>
    <col min="4896" max="4904" width="1.6640625" style="27" customWidth="1"/>
    <col min="4905" max="4905" width="0.33203125" style="27" customWidth="1"/>
    <col min="4906" max="4914" width="1.6640625" style="27" customWidth="1"/>
    <col min="4915" max="4915" width="0.33203125" style="27" customWidth="1"/>
    <col min="4916" max="4924" width="1.6640625" style="27" customWidth="1"/>
    <col min="4925" max="4925" width="0.33203125" style="27" customWidth="1"/>
    <col min="4926" max="4934" width="1.6640625" style="27" customWidth="1"/>
    <col min="4935" max="4935" width="0.33203125" style="27" customWidth="1"/>
    <col min="4936" max="4944" width="1.6640625" style="27" customWidth="1"/>
    <col min="4945" max="5120" width="9.109375" style="27"/>
    <col min="5121" max="5121" width="0.33203125" style="27" customWidth="1"/>
    <col min="5122" max="5130" width="1.6640625" style="27" customWidth="1"/>
    <col min="5131" max="5131" width="0.33203125" style="27" customWidth="1"/>
    <col min="5132" max="5140" width="1.6640625" style="27" customWidth="1"/>
    <col min="5141" max="5141" width="0.33203125" style="27" customWidth="1"/>
    <col min="5142" max="5150" width="1.6640625" style="27" customWidth="1"/>
    <col min="5151" max="5151" width="0.33203125" style="27" customWidth="1"/>
    <col min="5152" max="5160" width="1.6640625" style="27" customWidth="1"/>
    <col min="5161" max="5161" width="0.33203125" style="27" customWidth="1"/>
    <col min="5162" max="5170" width="1.6640625" style="27" customWidth="1"/>
    <col min="5171" max="5171" width="0.33203125" style="27" customWidth="1"/>
    <col min="5172" max="5180" width="1.6640625" style="27" customWidth="1"/>
    <col min="5181" max="5181" width="0.33203125" style="27" customWidth="1"/>
    <col min="5182" max="5190" width="1.6640625" style="27" customWidth="1"/>
    <col min="5191" max="5191" width="0.33203125" style="27" customWidth="1"/>
    <col min="5192" max="5200" width="1.6640625" style="27" customWidth="1"/>
    <col min="5201" max="5376" width="9.109375" style="27"/>
    <col min="5377" max="5377" width="0.33203125" style="27" customWidth="1"/>
    <col min="5378" max="5386" width="1.6640625" style="27" customWidth="1"/>
    <col min="5387" max="5387" width="0.33203125" style="27" customWidth="1"/>
    <col min="5388" max="5396" width="1.6640625" style="27" customWidth="1"/>
    <col min="5397" max="5397" width="0.33203125" style="27" customWidth="1"/>
    <col min="5398" max="5406" width="1.6640625" style="27" customWidth="1"/>
    <col min="5407" max="5407" width="0.33203125" style="27" customWidth="1"/>
    <col min="5408" max="5416" width="1.6640625" style="27" customWidth="1"/>
    <col min="5417" max="5417" width="0.33203125" style="27" customWidth="1"/>
    <col min="5418" max="5426" width="1.6640625" style="27" customWidth="1"/>
    <col min="5427" max="5427" width="0.33203125" style="27" customWidth="1"/>
    <col min="5428" max="5436" width="1.6640625" style="27" customWidth="1"/>
    <col min="5437" max="5437" width="0.33203125" style="27" customWidth="1"/>
    <col min="5438" max="5446" width="1.6640625" style="27" customWidth="1"/>
    <col min="5447" max="5447" width="0.33203125" style="27" customWidth="1"/>
    <col min="5448" max="5456" width="1.6640625" style="27" customWidth="1"/>
    <col min="5457" max="5632" width="9.109375" style="27"/>
    <col min="5633" max="5633" width="0.33203125" style="27" customWidth="1"/>
    <col min="5634" max="5642" width="1.6640625" style="27" customWidth="1"/>
    <col min="5643" max="5643" width="0.33203125" style="27" customWidth="1"/>
    <col min="5644" max="5652" width="1.6640625" style="27" customWidth="1"/>
    <col min="5653" max="5653" width="0.33203125" style="27" customWidth="1"/>
    <col min="5654" max="5662" width="1.6640625" style="27" customWidth="1"/>
    <col min="5663" max="5663" width="0.33203125" style="27" customWidth="1"/>
    <col min="5664" max="5672" width="1.6640625" style="27" customWidth="1"/>
    <col min="5673" max="5673" width="0.33203125" style="27" customWidth="1"/>
    <col min="5674" max="5682" width="1.6640625" style="27" customWidth="1"/>
    <col min="5683" max="5683" width="0.33203125" style="27" customWidth="1"/>
    <col min="5684" max="5692" width="1.6640625" style="27" customWidth="1"/>
    <col min="5693" max="5693" width="0.33203125" style="27" customWidth="1"/>
    <col min="5694" max="5702" width="1.6640625" style="27" customWidth="1"/>
    <col min="5703" max="5703" width="0.33203125" style="27" customWidth="1"/>
    <col min="5704" max="5712" width="1.6640625" style="27" customWidth="1"/>
    <col min="5713" max="5888" width="9.109375" style="27"/>
    <col min="5889" max="5889" width="0.33203125" style="27" customWidth="1"/>
    <col min="5890" max="5898" width="1.6640625" style="27" customWidth="1"/>
    <col min="5899" max="5899" width="0.33203125" style="27" customWidth="1"/>
    <col min="5900" max="5908" width="1.6640625" style="27" customWidth="1"/>
    <col min="5909" max="5909" width="0.33203125" style="27" customWidth="1"/>
    <col min="5910" max="5918" width="1.6640625" style="27" customWidth="1"/>
    <col min="5919" max="5919" width="0.33203125" style="27" customWidth="1"/>
    <col min="5920" max="5928" width="1.6640625" style="27" customWidth="1"/>
    <col min="5929" max="5929" width="0.33203125" style="27" customWidth="1"/>
    <col min="5930" max="5938" width="1.6640625" style="27" customWidth="1"/>
    <col min="5939" max="5939" width="0.33203125" style="27" customWidth="1"/>
    <col min="5940" max="5948" width="1.6640625" style="27" customWidth="1"/>
    <col min="5949" max="5949" width="0.33203125" style="27" customWidth="1"/>
    <col min="5950" max="5958" width="1.6640625" style="27" customWidth="1"/>
    <col min="5959" max="5959" width="0.33203125" style="27" customWidth="1"/>
    <col min="5960" max="5968" width="1.6640625" style="27" customWidth="1"/>
    <col min="5969" max="6144" width="9.109375" style="27"/>
    <col min="6145" max="6145" width="0.33203125" style="27" customWidth="1"/>
    <col min="6146" max="6154" width="1.6640625" style="27" customWidth="1"/>
    <col min="6155" max="6155" width="0.33203125" style="27" customWidth="1"/>
    <col min="6156" max="6164" width="1.6640625" style="27" customWidth="1"/>
    <col min="6165" max="6165" width="0.33203125" style="27" customWidth="1"/>
    <col min="6166" max="6174" width="1.6640625" style="27" customWidth="1"/>
    <col min="6175" max="6175" width="0.33203125" style="27" customWidth="1"/>
    <col min="6176" max="6184" width="1.6640625" style="27" customWidth="1"/>
    <col min="6185" max="6185" width="0.33203125" style="27" customWidth="1"/>
    <col min="6186" max="6194" width="1.6640625" style="27" customWidth="1"/>
    <col min="6195" max="6195" width="0.33203125" style="27" customWidth="1"/>
    <col min="6196" max="6204" width="1.6640625" style="27" customWidth="1"/>
    <col min="6205" max="6205" width="0.33203125" style="27" customWidth="1"/>
    <col min="6206" max="6214" width="1.6640625" style="27" customWidth="1"/>
    <col min="6215" max="6215" width="0.33203125" style="27" customWidth="1"/>
    <col min="6216" max="6224" width="1.6640625" style="27" customWidth="1"/>
    <col min="6225" max="6400" width="9.109375" style="27"/>
    <col min="6401" max="6401" width="0.33203125" style="27" customWidth="1"/>
    <col min="6402" max="6410" width="1.6640625" style="27" customWidth="1"/>
    <col min="6411" max="6411" width="0.33203125" style="27" customWidth="1"/>
    <col min="6412" max="6420" width="1.6640625" style="27" customWidth="1"/>
    <col min="6421" max="6421" width="0.33203125" style="27" customWidth="1"/>
    <col min="6422" max="6430" width="1.6640625" style="27" customWidth="1"/>
    <col min="6431" max="6431" width="0.33203125" style="27" customWidth="1"/>
    <col min="6432" max="6440" width="1.6640625" style="27" customWidth="1"/>
    <col min="6441" max="6441" width="0.33203125" style="27" customWidth="1"/>
    <col min="6442" max="6450" width="1.6640625" style="27" customWidth="1"/>
    <col min="6451" max="6451" width="0.33203125" style="27" customWidth="1"/>
    <col min="6452" max="6460" width="1.6640625" style="27" customWidth="1"/>
    <col min="6461" max="6461" width="0.33203125" style="27" customWidth="1"/>
    <col min="6462" max="6470" width="1.6640625" style="27" customWidth="1"/>
    <col min="6471" max="6471" width="0.33203125" style="27" customWidth="1"/>
    <col min="6472" max="6480" width="1.6640625" style="27" customWidth="1"/>
    <col min="6481" max="6656" width="9.109375" style="27"/>
    <col min="6657" max="6657" width="0.33203125" style="27" customWidth="1"/>
    <col min="6658" max="6666" width="1.6640625" style="27" customWidth="1"/>
    <col min="6667" max="6667" width="0.33203125" style="27" customWidth="1"/>
    <col min="6668" max="6676" width="1.6640625" style="27" customWidth="1"/>
    <col min="6677" max="6677" width="0.33203125" style="27" customWidth="1"/>
    <col min="6678" max="6686" width="1.6640625" style="27" customWidth="1"/>
    <col min="6687" max="6687" width="0.33203125" style="27" customWidth="1"/>
    <col min="6688" max="6696" width="1.6640625" style="27" customWidth="1"/>
    <col min="6697" max="6697" width="0.33203125" style="27" customWidth="1"/>
    <col min="6698" max="6706" width="1.6640625" style="27" customWidth="1"/>
    <col min="6707" max="6707" width="0.33203125" style="27" customWidth="1"/>
    <col min="6708" max="6716" width="1.6640625" style="27" customWidth="1"/>
    <col min="6717" max="6717" width="0.33203125" style="27" customWidth="1"/>
    <col min="6718" max="6726" width="1.6640625" style="27" customWidth="1"/>
    <col min="6727" max="6727" width="0.33203125" style="27" customWidth="1"/>
    <col min="6728" max="6736" width="1.6640625" style="27" customWidth="1"/>
    <col min="6737" max="6912" width="9.109375" style="27"/>
    <col min="6913" max="6913" width="0.33203125" style="27" customWidth="1"/>
    <col min="6914" max="6922" width="1.6640625" style="27" customWidth="1"/>
    <col min="6923" max="6923" width="0.33203125" style="27" customWidth="1"/>
    <col min="6924" max="6932" width="1.6640625" style="27" customWidth="1"/>
    <col min="6933" max="6933" width="0.33203125" style="27" customWidth="1"/>
    <col min="6934" max="6942" width="1.6640625" style="27" customWidth="1"/>
    <col min="6943" max="6943" width="0.33203125" style="27" customWidth="1"/>
    <col min="6944" max="6952" width="1.6640625" style="27" customWidth="1"/>
    <col min="6953" max="6953" width="0.33203125" style="27" customWidth="1"/>
    <col min="6954" max="6962" width="1.6640625" style="27" customWidth="1"/>
    <col min="6963" max="6963" width="0.33203125" style="27" customWidth="1"/>
    <col min="6964" max="6972" width="1.6640625" style="27" customWidth="1"/>
    <col min="6973" max="6973" width="0.33203125" style="27" customWidth="1"/>
    <col min="6974" max="6982" width="1.6640625" style="27" customWidth="1"/>
    <col min="6983" max="6983" width="0.33203125" style="27" customWidth="1"/>
    <col min="6984" max="6992" width="1.6640625" style="27" customWidth="1"/>
    <col min="6993" max="7168" width="9.109375" style="27"/>
    <col min="7169" max="7169" width="0.33203125" style="27" customWidth="1"/>
    <col min="7170" max="7178" width="1.6640625" style="27" customWidth="1"/>
    <col min="7179" max="7179" width="0.33203125" style="27" customWidth="1"/>
    <col min="7180" max="7188" width="1.6640625" style="27" customWidth="1"/>
    <col min="7189" max="7189" width="0.33203125" style="27" customWidth="1"/>
    <col min="7190" max="7198" width="1.6640625" style="27" customWidth="1"/>
    <col min="7199" max="7199" width="0.33203125" style="27" customWidth="1"/>
    <col min="7200" max="7208" width="1.6640625" style="27" customWidth="1"/>
    <col min="7209" max="7209" width="0.33203125" style="27" customWidth="1"/>
    <col min="7210" max="7218" width="1.6640625" style="27" customWidth="1"/>
    <col min="7219" max="7219" width="0.33203125" style="27" customWidth="1"/>
    <col min="7220" max="7228" width="1.6640625" style="27" customWidth="1"/>
    <col min="7229" max="7229" width="0.33203125" style="27" customWidth="1"/>
    <col min="7230" max="7238" width="1.6640625" style="27" customWidth="1"/>
    <col min="7239" max="7239" width="0.33203125" style="27" customWidth="1"/>
    <col min="7240" max="7248" width="1.6640625" style="27" customWidth="1"/>
    <col min="7249" max="7424" width="9.109375" style="27"/>
    <col min="7425" max="7425" width="0.33203125" style="27" customWidth="1"/>
    <col min="7426" max="7434" width="1.6640625" style="27" customWidth="1"/>
    <col min="7435" max="7435" width="0.33203125" style="27" customWidth="1"/>
    <col min="7436" max="7444" width="1.6640625" style="27" customWidth="1"/>
    <col min="7445" max="7445" width="0.33203125" style="27" customWidth="1"/>
    <col min="7446" max="7454" width="1.6640625" style="27" customWidth="1"/>
    <col min="7455" max="7455" width="0.33203125" style="27" customWidth="1"/>
    <col min="7456" max="7464" width="1.6640625" style="27" customWidth="1"/>
    <col min="7465" max="7465" width="0.33203125" style="27" customWidth="1"/>
    <col min="7466" max="7474" width="1.6640625" style="27" customWidth="1"/>
    <col min="7475" max="7475" width="0.33203125" style="27" customWidth="1"/>
    <col min="7476" max="7484" width="1.6640625" style="27" customWidth="1"/>
    <col min="7485" max="7485" width="0.33203125" style="27" customWidth="1"/>
    <col min="7486" max="7494" width="1.6640625" style="27" customWidth="1"/>
    <col min="7495" max="7495" width="0.33203125" style="27" customWidth="1"/>
    <col min="7496" max="7504" width="1.6640625" style="27" customWidth="1"/>
    <col min="7505" max="7680" width="9.109375" style="27"/>
    <col min="7681" max="7681" width="0.33203125" style="27" customWidth="1"/>
    <col min="7682" max="7690" width="1.6640625" style="27" customWidth="1"/>
    <col min="7691" max="7691" width="0.33203125" style="27" customWidth="1"/>
    <col min="7692" max="7700" width="1.6640625" style="27" customWidth="1"/>
    <col min="7701" max="7701" width="0.33203125" style="27" customWidth="1"/>
    <col min="7702" max="7710" width="1.6640625" style="27" customWidth="1"/>
    <col min="7711" max="7711" width="0.33203125" style="27" customWidth="1"/>
    <col min="7712" max="7720" width="1.6640625" style="27" customWidth="1"/>
    <col min="7721" max="7721" width="0.33203125" style="27" customWidth="1"/>
    <col min="7722" max="7730" width="1.6640625" style="27" customWidth="1"/>
    <col min="7731" max="7731" width="0.33203125" style="27" customWidth="1"/>
    <col min="7732" max="7740" width="1.6640625" style="27" customWidth="1"/>
    <col min="7741" max="7741" width="0.33203125" style="27" customWidth="1"/>
    <col min="7742" max="7750" width="1.6640625" style="27" customWidth="1"/>
    <col min="7751" max="7751" width="0.33203125" style="27" customWidth="1"/>
    <col min="7752" max="7760" width="1.6640625" style="27" customWidth="1"/>
    <col min="7761" max="7936" width="9.109375" style="27"/>
    <col min="7937" max="7937" width="0.33203125" style="27" customWidth="1"/>
    <col min="7938" max="7946" width="1.6640625" style="27" customWidth="1"/>
    <col min="7947" max="7947" width="0.33203125" style="27" customWidth="1"/>
    <col min="7948" max="7956" width="1.6640625" style="27" customWidth="1"/>
    <col min="7957" max="7957" width="0.33203125" style="27" customWidth="1"/>
    <col min="7958" max="7966" width="1.6640625" style="27" customWidth="1"/>
    <col min="7967" max="7967" width="0.33203125" style="27" customWidth="1"/>
    <col min="7968" max="7976" width="1.6640625" style="27" customWidth="1"/>
    <col min="7977" max="7977" width="0.33203125" style="27" customWidth="1"/>
    <col min="7978" max="7986" width="1.6640625" style="27" customWidth="1"/>
    <col min="7987" max="7987" width="0.33203125" style="27" customWidth="1"/>
    <col min="7988" max="7996" width="1.6640625" style="27" customWidth="1"/>
    <col min="7997" max="7997" width="0.33203125" style="27" customWidth="1"/>
    <col min="7998" max="8006" width="1.6640625" style="27" customWidth="1"/>
    <col min="8007" max="8007" width="0.33203125" style="27" customWidth="1"/>
    <col min="8008" max="8016" width="1.6640625" style="27" customWidth="1"/>
    <col min="8017" max="8192" width="9.109375" style="27"/>
    <col min="8193" max="8193" width="0.33203125" style="27" customWidth="1"/>
    <col min="8194" max="8202" width="1.6640625" style="27" customWidth="1"/>
    <col min="8203" max="8203" width="0.33203125" style="27" customWidth="1"/>
    <col min="8204" max="8212" width="1.6640625" style="27" customWidth="1"/>
    <col min="8213" max="8213" width="0.33203125" style="27" customWidth="1"/>
    <col min="8214" max="8222" width="1.6640625" style="27" customWidth="1"/>
    <col min="8223" max="8223" width="0.33203125" style="27" customWidth="1"/>
    <col min="8224" max="8232" width="1.6640625" style="27" customWidth="1"/>
    <col min="8233" max="8233" width="0.33203125" style="27" customWidth="1"/>
    <col min="8234" max="8242" width="1.6640625" style="27" customWidth="1"/>
    <col min="8243" max="8243" width="0.33203125" style="27" customWidth="1"/>
    <col min="8244" max="8252" width="1.6640625" style="27" customWidth="1"/>
    <col min="8253" max="8253" width="0.33203125" style="27" customWidth="1"/>
    <col min="8254" max="8262" width="1.6640625" style="27" customWidth="1"/>
    <col min="8263" max="8263" width="0.33203125" style="27" customWidth="1"/>
    <col min="8264" max="8272" width="1.6640625" style="27" customWidth="1"/>
    <col min="8273" max="8448" width="9.109375" style="27"/>
    <col min="8449" max="8449" width="0.33203125" style="27" customWidth="1"/>
    <col min="8450" max="8458" width="1.6640625" style="27" customWidth="1"/>
    <col min="8459" max="8459" width="0.33203125" style="27" customWidth="1"/>
    <col min="8460" max="8468" width="1.6640625" style="27" customWidth="1"/>
    <col min="8469" max="8469" width="0.33203125" style="27" customWidth="1"/>
    <col min="8470" max="8478" width="1.6640625" style="27" customWidth="1"/>
    <col min="8479" max="8479" width="0.33203125" style="27" customWidth="1"/>
    <col min="8480" max="8488" width="1.6640625" style="27" customWidth="1"/>
    <col min="8489" max="8489" width="0.33203125" style="27" customWidth="1"/>
    <col min="8490" max="8498" width="1.6640625" style="27" customWidth="1"/>
    <col min="8499" max="8499" width="0.33203125" style="27" customWidth="1"/>
    <col min="8500" max="8508" width="1.6640625" style="27" customWidth="1"/>
    <col min="8509" max="8509" width="0.33203125" style="27" customWidth="1"/>
    <col min="8510" max="8518" width="1.6640625" style="27" customWidth="1"/>
    <col min="8519" max="8519" width="0.33203125" style="27" customWidth="1"/>
    <col min="8520" max="8528" width="1.6640625" style="27" customWidth="1"/>
    <col min="8529" max="8704" width="9.109375" style="27"/>
    <col min="8705" max="8705" width="0.33203125" style="27" customWidth="1"/>
    <col min="8706" max="8714" width="1.6640625" style="27" customWidth="1"/>
    <col min="8715" max="8715" width="0.33203125" style="27" customWidth="1"/>
    <col min="8716" max="8724" width="1.6640625" style="27" customWidth="1"/>
    <col min="8725" max="8725" width="0.33203125" style="27" customWidth="1"/>
    <col min="8726" max="8734" width="1.6640625" style="27" customWidth="1"/>
    <col min="8735" max="8735" width="0.33203125" style="27" customWidth="1"/>
    <col min="8736" max="8744" width="1.6640625" style="27" customWidth="1"/>
    <col min="8745" max="8745" width="0.33203125" style="27" customWidth="1"/>
    <col min="8746" max="8754" width="1.6640625" style="27" customWidth="1"/>
    <col min="8755" max="8755" width="0.33203125" style="27" customWidth="1"/>
    <col min="8756" max="8764" width="1.6640625" style="27" customWidth="1"/>
    <col min="8765" max="8765" width="0.33203125" style="27" customWidth="1"/>
    <col min="8766" max="8774" width="1.6640625" style="27" customWidth="1"/>
    <col min="8775" max="8775" width="0.33203125" style="27" customWidth="1"/>
    <col min="8776" max="8784" width="1.6640625" style="27" customWidth="1"/>
    <col min="8785" max="8960" width="9.109375" style="27"/>
    <col min="8961" max="8961" width="0.33203125" style="27" customWidth="1"/>
    <col min="8962" max="8970" width="1.6640625" style="27" customWidth="1"/>
    <col min="8971" max="8971" width="0.33203125" style="27" customWidth="1"/>
    <col min="8972" max="8980" width="1.6640625" style="27" customWidth="1"/>
    <col min="8981" max="8981" width="0.33203125" style="27" customWidth="1"/>
    <col min="8982" max="8990" width="1.6640625" style="27" customWidth="1"/>
    <col min="8991" max="8991" width="0.33203125" style="27" customWidth="1"/>
    <col min="8992" max="9000" width="1.6640625" style="27" customWidth="1"/>
    <col min="9001" max="9001" width="0.33203125" style="27" customWidth="1"/>
    <col min="9002" max="9010" width="1.6640625" style="27" customWidth="1"/>
    <col min="9011" max="9011" width="0.33203125" style="27" customWidth="1"/>
    <col min="9012" max="9020" width="1.6640625" style="27" customWidth="1"/>
    <col min="9021" max="9021" width="0.33203125" style="27" customWidth="1"/>
    <col min="9022" max="9030" width="1.6640625" style="27" customWidth="1"/>
    <col min="9031" max="9031" width="0.33203125" style="27" customWidth="1"/>
    <col min="9032" max="9040" width="1.6640625" style="27" customWidth="1"/>
    <col min="9041" max="9216" width="9.109375" style="27"/>
    <col min="9217" max="9217" width="0.33203125" style="27" customWidth="1"/>
    <col min="9218" max="9226" width="1.6640625" style="27" customWidth="1"/>
    <col min="9227" max="9227" width="0.33203125" style="27" customWidth="1"/>
    <col min="9228" max="9236" width="1.6640625" style="27" customWidth="1"/>
    <col min="9237" max="9237" width="0.33203125" style="27" customWidth="1"/>
    <col min="9238" max="9246" width="1.6640625" style="27" customWidth="1"/>
    <col min="9247" max="9247" width="0.33203125" style="27" customWidth="1"/>
    <col min="9248" max="9256" width="1.6640625" style="27" customWidth="1"/>
    <col min="9257" max="9257" width="0.33203125" style="27" customWidth="1"/>
    <col min="9258" max="9266" width="1.6640625" style="27" customWidth="1"/>
    <col min="9267" max="9267" width="0.33203125" style="27" customWidth="1"/>
    <col min="9268" max="9276" width="1.6640625" style="27" customWidth="1"/>
    <col min="9277" max="9277" width="0.33203125" style="27" customWidth="1"/>
    <col min="9278" max="9286" width="1.6640625" style="27" customWidth="1"/>
    <col min="9287" max="9287" width="0.33203125" style="27" customWidth="1"/>
    <col min="9288" max="9296" width="1.6640625" style="27" customWidth="1"/>
    <col min="9297" max="9472" width="9.109375" style="27"/>
    <col min="9473" max="9473" width="0.33203125" style="27" customWidth="1"/>
    <col min="9474" max="9482" width="1.6640625" style="27" customWidth="1"/>
    <col min="9483" max="9483" width="0.33203125" style="27" customWidth="1"/>
    <col min="9484" max="9492" width="1.6640625" style="27" customWidth="1"/>
    <col min="9493" max="9493" width="0.33203125" style="27" customWidth="1"/>
    <col min="9494" max="9502" width="1.6640625" style="27" customWidth="1"/>
    <col min="9503" max="9503" width="0.33203125" style="27" customWidth="1"/>
    <col min="9504" max="9512" width="1.6640625" style="27" customWidth="1"/>
    <col min="9513" max="9513" width="0.33203125" style="27" customWidth="1"/>
    <col min="9514" max="9522" width="1.6640625" style="27" customWidth="1"/>
    <col min="9523" max="9523" width="0.33203125" style="27" customWidth="1"/>
    <col min="9524" max="9532" width="1.6640625" style="27" customWidth="1"/>
    <col min="9533" max="9533" width="0.33203125" style="27" customWidth="1"/>
    <col min="9534" max="9542" width="1.6640625" style="27" customWidth="1"/>
    <col min="9543" max="9543" width="0.33203125" style="27" customWidth="1"/>
    <col min="9544" max="9552" width="1.6640625" style="27" customWidth="1"/>
    <col min="9553" max="9728" width="9.109375" style="27"/>
    <col min="9729" max="9729" width="0.33203125" style="27" customWidth="1"/>
    <col min="9730" max="9738" width="1.6640625" style="27" customWidth="1"/>
    <col min="9739" max="9739" width="0.33203125" style="27" customWidth="1"/>
    <col min="9740" max="9748" width="1.6640625" style="27" customWidth="1"/>
    <col min="9749" max="9749" width="0.33203125" style="27" customWidth="1"/>
    <col min="9750" max="9758" width="1.6640625" style="27" customWidth="1"/>
    <col min="9759" max="9759" width="0.33203125" style="27" customWidth="1"/>
    <col min="9760" max="9768" width="1.6640625" style="27" customWidth="1"/>
    <col min="9769" max="9769" width="0.33203125" style="27" customWidth="1"/>
    <col min="9770" max="9778" width="1.6640625" style="27" customWidth="1"/>
    <col min="9779" max="9779" width="0.33203125" style="27" customWidth="1"/>
    <col min="9780" max="9788" width="1.6640625" style="27" customWidth="1"/>
    <col min="9789" max="9789" width="0.33203125" style="27" customWidth="1"/>
    <col min="9790" max="9798" width="1.6640625" style="27" customWidth="1"/>
    <col min="9799" max="9799" width="0.33203125" style="27" customWidth="1"/>
    <col min="9800" max="9808" width="1.6640625" style="27" customWidth="1"/>
    <col min="9809" max="9984" width="9.109375" style="27"/>
    <col min="9985" max="9985" width="0.33203125" style="27" customWidth="1"/>
    <col min="9986" max="9994" width="1.6640625" style="27" customWidth="1"/>
    <col min="9995" max="9995" width="0.33203125" style="27" customWidth="1"/>
    <col min="9996" max="10004" width="1.6640625" style="27" customWidth="1"/>
    <col min="10005" max="10005" width="0.33203125" style="27" customWidth="1"/>
    <col min="10006" max="10014" width="1.6640625" style="27" customWidth="1"/>
    <col min="10015" max="10015" width="0.33203125" style="27" customWidth="1"/>
    <col min="10016" max="10024" width="1.6640625" style="27" customWidth="1"/>
    <col min="10025" max="10025" width="0.33203125" style="27" customWidth="1"/>
    <col min="10026" max="10034" width="1.6640625" style="27" customWidth="1"/>
    <col min="10035" max="10035" width="0.33203125" style="27" customWidth="1"/>
    <col min="10036" max="10044" width="1.6640625" style="27" customWidth="1"/>
    <col min="10045" max="10045" width="0.33203125" style="27" customWidth="1"/>
    <col min="10046" max="10054" width="1.6640625" style="27" customWidth="1"/>
    <col min="10055" max="10055" width="0.33203125" style="27" customWidth="1"/>
    <col min="10056" max="10064" width="1.6640625" style="27" customWidth="1"/>
    <col min="10065" max="10240" width="9.109375" style="27"/>
    <col min="10241" max="10241" width="0.33203125" style="27" customWidth="1"/>
    <col min="10242" max="10250" width="1.6640625" style="27" customWidth="1"/>
    <col min="10251" max="10251" width="0.33203125" style="27" customWidth="1"/>
    <col min="10252" max="10260" width="1.6640625" style="27" customWidth="1"/>
    <col min="10261" max="10261" width="0.33203125" style="27" customWidth="1"/>
    <col min="10262" max="10270" width="1.6640625" style="27" customWidth="1"/>
    <col min="10271" max="10271" width="0.33203125" style="27" customWidth="1"/>
    <col min="10272" max="10280" width="1.6640625" style="27" customWidth="1"/>
    <col min="10281" max="10281" width="0.33203125" style="27" customWidth="1"/>
    <col min="10282" max="10290" width="1.6640625" style="27" customWidth="1"/>
    <col min="10291" max="10291" width="0.33203125" style="27" customWidth="1"/>
    <col min="10292" max="10300" width="1.6640625" style="27" customWidth="1"/>
    <col min="10301" max="10301" width="0.33203125" style="27" customWidth="1"/>
    <col min="10302" max="10310" width="1.6640625" style="27" customWidth="1"/>
    <col min="10311" max="10311" width="0.33203125" style="27" customWidth="1"/>
    <col min="10312" max="10320" width="1.6640625" style="27" customWidth="1"/>
    <col min="10321" max="10496" width="9.109375" style="27"/>
    <col min="10497" max="10497" width="0.33203125" style="27" customWidth="1"/>
    <col min="10498" max="10506" width="1.6640625" style="27" customWidth="1"/>
    <col min="10507" max="10507" width="0.33203125" style="27" customWidth="1"/>
    <col min="10508" max="10516" width="1.6640625" style="27" customWidth="1"/>
    <col min="10517" max="10517" width="0.33203125" style="27" customWidth="1"/>
    <col min="10518" max="10526" width="1.6640625" style="27" customWidth="1"/>
    <col min="10527" max="10527" width="0.33203125" style="27" customWidth="1"/>
    <col min="10528" max="10536" width="1.6640625" style="27" customWidth="1"/>
    <col min="10537" max="10537" width="0.33203125" style="27" customWidth="1"/>
    <col min="10538" max="10546" width="1.6640625" style="27" customWidth="1"/>
    <col min="10547" max="10547" width="0.33203125" style="27" customWidth="1"/>
    <col min="10548" max="10556" width="1.6640625" style="27" customWidth="1"/>
    <col min="10557" max="10557" width="0.33203125" style="27" customWidth="1"/>
    <col min="10558" max="10566" width="1.6640625" style="27" customWidth="1"/>
    <col min="10567" max="10567" width="0.33203125" style="27" customWidth="1"/>
    <col min="10568" max="10576" width="1.6640625" style="27" customWidth="1"/>
    <col min="10577" max="10752" width="9.109375" style="27"/>
    <col min="10753" max="10753" width="0.33203125" style="27" customWidth="1"/>
    <col min="10754" max="10762" width="1.6640625" style="27" customWidth="1"/>
    <col min="10763" max="10763" width="0.33203125" style="27" customWidth="1"/>
    <col min="10764" max="10772" width="1.6640625" style="27" customWidth="1"/>
    <col min="10773" max="10773" width="0.33203125" style="27" customWidth="1"/>
    <col min="10774" max="10782" width="1.6640625" style="27" customWidth="1"/>
    <col min="10783" max="10783" width="0.33203125" style="27" customWidth="1"/>
    <col min="10784" max="10792" width="1.6640625" style="27" customWidth="1"/>
    <col min="10793" max="10793" width="0.33203125" style="27" customWidth="1"/>
    <col min="10794" max="10802" width="1.6640625" style="27" customWidth="1"/>
    <col min="10803" max="10803" width="0.33203125" style="27" customWidth="1"/>
    <col min="10804" max="10812" width="1.6640625" style="27" customWidth="1"/>
    <col min="10813" max="10813" width="0.33203125" style="27" customWidth="1"/>
    <col min="10814" max="10822" width="1.6640625" style="27" customWidth="1"/>
    <col min="10823" max="10823" width="0.33203125" style="27" customWidth="1"/>
    <col min="10824" max="10832" width="1.6640625" style="27" customWidth="1"/>
    <col min="10833" max="11008" width="9.109375" style="27"/>
    <col min="11009" max="11009" width="0.33203125" style="27" customWidth="1"/>
    <col min="11010" max="11018" width="1.6640625" style="27" customWidth="1"/>
    <col min="11019" max="11019" width="0.33203125" style="27" customWidth="1"/>
    <col min="11020" max="11028" width="1.6640625" style="27" customWidth="1"/>
    <col min="11029" max="11029" width="0.33203125" style="27" customWidth="1"/>
    <col min="11030" max="11038" width="1.6640625" style="27" customWidth="1"/>
    <col min="11039" max="11039" width="0.33203125" style="27" customWidth="1"/>
    <col min="11040" max="11048" width="1.6640625" style="27" customWidth="1"/>
    <col min="11049" max="11049" width="0.33203125" style="27" customWidth="1"/>
    <col min="11050" max="11058" width="1.6640625" style="27" customWidth="1"/>
    <col min="11059" max="11059" width="0.33203125" style="27" customWidth="1"/>
    <col min="11060" max="11068" width="1.6640625" style="27" customWidth="1"/>
    <col min="11069" max="11069" width="0.33203125" style="27" customWidth="1"/>
    <col min="11070" max="11078" width="1.6640625" style="27" customWidth="1"/>
    <col min="11079" max="11079" width="0.33203125" style="27" customWidth="1"/>
    <col min="11080" max="11088" width="1.6640625" style="27" customWidth="1"/>
    <col min="11089" max="11264" width="9.109375" style="27"/>
    <col min="11265" max="11265" width="0.33203125" style="27" customWidth="1"/>
    <col min="11266" max="11274" width="1.6640625" style="27" customWidth="1"/>
    <col min="11275" max="11275" width="0.33203125" style="27" customWidth="1"/>
    <col min="11276" max="11284" width="1.6640625" style="27" customWidth="1"/>
    <col min="11285" max="11285" width="0.33203125" style="27" customWidth="1"/>
    <col min="11286" max="11294" width="1.6640625" style="27" customWidth="1"/>
    <col min="11295" max="11295" width="0.33203125" style="27" customWidth="1"/>
    <col min="11296" max="11304" width="1.6640625" style="27" customWidth="1"/>
    <col min="11305" max="11305" width="0.33203125" style="27" customWidth="1"/>
    <col min="11306" max="11314" width="1.6640625" style="27" customWidth="1"/>
    <col min="11315" max="11315" width="0.33203125" style="27" customWidth="1"/>
    <col min="11316" max="11324" width="1.6640625" style="27" customWidth="1"/>
    <col min="11325" max="11325" width="0.33203125" style="27" customWidth="1"/>
    <col min="11326" max="11334" width="1.6640625" style="27" customWidth="1"/>
    <col min="11335" max="11335" width="0.33203125" style="27" customWidth="1"/>
    <col min="11336" max="11344" width="1.6640625" style="27" customWidth="1"/>
    <col min="11345" max="11520" width="9.109375" style="27"/>
    <col min="11521" max="11521" width="0.33203125" style="27" customWidth="1"/>
    <col min="11522" max="11530" width="1.6640625" style="27" customWidth="1"/>
    <col min="11531" max="11531" width="0.33203125" style="27" customWidth="1"/>
    <col min="11532" max="11540" width="1.6640625" style="27" customWidth="1"/>
    <col min="11541" max="11541" width="0.33203125" style="27" customWidth="1"/>
    <col min="11542" max="11550" width="1.6640625" style="27" customWidth="1"/>
    <col min="11551" max="11551" width="0.33203125" style="27" customWidth="1"/>
    <col min="11552" max="11560" width="1.6640625" style="27" customWidth="1"/>
    <col min="11561" max="11561" width="0.33203125" style="27" customWidth="1"/>
    <col min="11562" max="11570" width="1.6640625" style="27" customWidth="1"/>
    <col min="11571" max="11571" width="0.33203125" style="27" customWidth="1"/>
    <col min="11572" max="11580" width="1.6640625" style="27" customWidth="1"/>
    <col min="11581" max="11581" width="0.33203125" style="27" customWidth="1"/>
    <col min="11582" max="11590" width="1.6640625" style="27" customWidth="1"/>
    <col min="11591" max="11591" width="0.33203125" style="27" customWidth="1"/>
    <col min="11592" max="11600" width="1.6640625" style="27" customWidth="1"/>
    <col min="11601" max="11776" width="9.109375" style="27"/>
    <col min="11777" max="11777" width="0.33203125" style="27" customWidth="1"/>
    <col min="11778" max="11786" width="1.6640625" style="27" customWidth="1"/>
    <col min="11787" max="11787" width="0.33203125" style="27" customWidth="1"/>
    <col min="11788" max="11796" width="1.6640625" style="27" customWidth="1"/>
    <col min="11797" max="11797" width="0.33203125" style="27" customWidth="1"/>
    <col min="11798" max="11806" width="1.6640625" style="27" customWidth="1"/>
    <col min="11807" max="11807" width="0.33203125" style="27" customWidth="1"/>
    <col min="11808" max="11816" width="1.6640625" style="27" customWidth="1"/>
    <col min="11817" max="11817" width="0.33203125" style="27" customWidth="1"/>
    <col min="11818" max="11826" width="1.6640625" style="27" customWidth="1"/>
    <col min="11827" max="11827" width="0.33203125" style="27" customWidth="1"/>
    <col min="11828" max="11836" width="1.6640625" style="27" customWidth="1"/>
    <col min="11837" max="11837" width="0.33203125" style="27" customWidth="1"/>
    <col min="11838" max="11846" width="1.6640625" style="27" customWidth="1"/>
    <col min="11847" max="11847" width="0.33203125" style="27" customWidth="1"/>
    <col min="11848" max="11856" width="1.6640625" style="27" customWidth="1"/>
    <col min="11857" max="12032" width="9.109375" style="27"/>
    <col min="12033" max="12033" width="0.33203125" style="27" customWidth="1"/>
    <col min="12034" max="12042" width="1.6640625" style="27" customWidth="1"/>
    <col min="12043" max="12043" width="0.33203125" style="27" customWidth="1"/>
    <col min="12044" max="12052" width="1.6640625" style="27" customWidth="1"/>
    <col min="12053" max="12053" width="0.33203125" style="27" customWidth="1"/>
    <col min="12054" max="12062" width="1.6640625" style="27" customWidth="1"/>
    <col min="12063" max="12063" width="0.33203125" style="27" customWidth="1"/>
    <col min="12064" max="12072" width="1.6640625" style="27" customWidth="1"/>
    <col min="12073" max="12073" width="0.33203125" style="27" customWidth="1"/>
    <col min="12074" max="12082" width="1.6640625" style="27" customWidth="1"/>
    <col min="12083" max="12083" width="0.33203125" style="27" customWidth="1"/>
    <col min="12084" max="12092" width="1.6640625" style="27" customWidth="1"/>
    <col min="12093" max="12093" width="0.33203125" style="27" customWidth="1"/>
    <col min="12094" max="12102" width="1.6640625" style="27" customWidth="1"/>
    <col min="12103" max="12103" width="0.33203125" style="27" customWidth="1"/>
    <col min="12104" max="12112" width="1.6640625" style="27" customWidth="1"/>
    <col min="12113" max="12288" width="9.109375" style="27"/>
    <col min="12289" max="12289" width="0.33203125" style="27" customWidth="1"/>
    <col min="12290" max="12298" width="1.6640625" style="27" customWidth="1"/>
    <col min="12299" max="12299" width="0.33203125" style="27" customWidth="1"/>
    <col min="12300" max="12308" width="1.6640625" style="27" customWidth="1"/>
    <col min="12309" max="12309" width="0.33203125" style="27" customWidth="1"/>
    <col min="12310" max="12318" width="1.6640625" style="27" customWidth="1"/>
    <col min="12319" max="12319" width="0.33203125" style="27" customWidth="1"/>
    <col min="12320" max="12328" width="1.6640625" style="27" customWidth="1"/>
    <col min="12329" max="12329" width="0.33203125" style="27" customWidth="1"/>
    <col min="12330" max="12338" width="1.6640625" style="27" customWidth="1"/>
    <col min="12339" max="12339" width="0.33203125" style="27" customWidth="1"/>
    <col min="12340" max="12348" width="1.6640625" style="27" customWidth="1"/>
    <col min="12349" max="12349" width="0.33203125" style="27" customWidth="1"/>
    <col min="12350" max="12358" width="1.6640625" style="27" customWidth="1"/>
    <col min="12359" max="12359" width="0.33203125" style="27" customWidth="1"/>
    <col min="12360" max="12368" width="1.6640625" style="27" customWidth="1"/>
    <col min="12369" max="12544" width="9.109375" style="27"/>
    <col min="12545" max="12545" width="0.33203125" style="27" customWidth="1"/>
    <col min="12546" max="12554" width="1.6640625" style="27" customWidth="1"/>
    <col min="12555" max="12555" width="0.33203125" style="27" customWidth="1"/>
    <col min="12556" max="12564" width="1.6640625" style="27" customWidth="1"/>
    <col min="12565" max="12565" width="0.33203125" style="27" customWidth="1"/>
    <col min="12566" max="12574" width="1.6640625" style="27" customWidth="1"/>
    <col min="12575" max="12575" width="0.33203125" style="27" customWidth="1"/>
    <col min="12576" max="12584" width="1.6640625" style="27" customWidth="1"/>
    <col min="12585" max="12585" width="0.33203125" style="27" customWidth="1"/>
    <col min="12586" max="12594" width="1.6640625" style="27" customWidth="1"/>
    <col min="12595" max="12595" width="0.33203125" style="27" customWidth="1"/>
    <col min="12596" max="12604" width="1.6640625" style="27" customWidth="1"/>
    <col min="12605" max="12605" width="0.33203125" style="27" customWidth="1"/>
    <col min="12606" max="12614" width="1.6640625" style="27" customWidth="1"/>
    <col min="12615" max="12615" width="0.33203125" style="27" customWidth="1"/>
    <col min="12616" max="12624" width="1.6640625" style="27" customWidth="1"/>
    <col min="12625" max="12800" width="9.109375" style="27"/>
    <col min="12801" max="12801" width="0.33203125" style="27" customWidth="1"/>
    <col min="12802" max="12810" width="1.6640625" style="27" customWidth="1"/>
    <col min="12811" max="12811" width="0.33203125" style="27" customWidth="1"/>
    <col min="12812" max="12820" width="1.6640625" style="27" customWidth="1"/>
    <col min="12821" max="12821" width="0.33203125" style="27" customWidth="1"/>
    <col min="12822" max="12830" width="1.6640625" style="27" customWidth="1"/>
    <col min="12831" max="12831" width="0.33203125" style="27" customWidth="1"/>
    <col min="12832" max="12840" width="1.6640625" style="27" customWidth="1"/>
    <col min="12841" max="12841" width="0.33203125" style="27" customWidth="1"/>
    <col min="12842" max="12850" width="1.6640625" style="27" customWidth="1"/>
    <col min="12851" max="12851" width="0.33203125" style="27" customWidth="1"/>
    <col min="12852" max="12860" width="1.6640625" style="27" customWidth="1"/>
    <col min="12861" max="12861" width="0.33203125" style="27" customWidth="1"/>
    <col min="12862" max="12870" width="1.6640625" style="27" customWidth="1"/>
    <col min="12871" max="12871" width="0.33203125" style="27" customWidth="1"/>
    <col min="12872" max="12880" width="1.6640625" style="27" customWidth="1"/>
    <col min="12881" max="13056" width="9.109375" style="27"/>
    <col min="13057" max="13057" width="0.33203125" style="27" customWidth="1"/>
    <col min="13058" max="13066" width="1.6640625" style="27" customWidth="1"/>
    <col min="13067" max="13067" width="0.33203125" style="27" customWidth="1"/>
    <col min="13068" max="13076" width="1.6640625" style="27" customWidth="1"/>
    <col min="13077" max="13077" width="0.33203125" style="27" customWidth="1"/>
    <col min="13078" max="13086" width="1.6640625" style="27" customWidth="1"/>
    <col min="13087" max="13087" width="0.33203125" style="27" customWidth="1"/>
    <col min="13088" max="13096" width="1.6640625" style="27" customWidth="1"/>
    <col min="13097" max="13097" width="0.33203125" style="27" customWidth="1"/>
    <col min="13098" max="13106" width="1.6640625" style="27" customWidth="1"/>
    <col min="13107" max="13107" width="0.33203125" style="27" customWidth="1"/>
    <col min="13108" max="13116" width="1.6640625" style="27" customWidth="1"/>
    <col min="13117" max="13117" width="0.33203125" style="27" customWidth="1"/>
    <col min="13118" max="13126" width="1.6640625" style="27" customWidth="1"/>
    <col min="13127" max="13127" width="0.33203125" style="27" customWidth="1"/>
    <col min="13128" max="13136" width="1.6640625" style="27" customWidth="1"/>
    <col min="13137" max="13312" width="9.109375" style="27"/>
    <col min="13313" max="13313" width="0.33203125" style="27" customWidth="1"/>
    <col min="13314" max="13322" width="1.6640625" style="27" customWidth="1"/>
    <col min="13323" max="13323" width="0.33203125" style="27" customWidth="1"/>
    <col min="13324" max="13332" width="1.6640625" style="27" customWidth="1"/>
    <col min="13333" max="13333" width="0.33203125" style="27" customWidth="1"/>
    <col min="13334" max="13342" width="1.6640625" style="27" customWidth="1"/>
    <col min="13343" max="13343" width="0.33203125" style="27" customWidth="1"/>
    <col min="13344" max="13352" width="1.6640625" style="27" customWidth="1"/>
    <col min="13353" max="13353" width="0.33203125" style="27" customWidth="1"/>
    <col min="13354" max="13362" width="1.6640625" style="27" customWidth="1"/>
    <col min="13363" max="13363" width="0.33203125" style="27" customWidth="1"/>
    <col min="13364" max="13372" width="1.6640625" style="27" customWidth="1"/>
    <col min="13373" max="13373" width="0.33203125" style="27" customWidth="1"/>
    <col min="13374" max="13382" width="1.6640625" style="27" customWidth="1"/>
    <col min="13383" max="13383" width="0.33203125" style="27" customWidth="1"/>
    <col min="13384" max="13392" width="1.6640625" style="27" customWidth="1"/>
    <col min="13393" max="13568" width="9.109375" style="27"/>
    <col min="13569" max="13569" width="0.33203125" style="27" customWidth="1"/>
    <col min="13570" max="13578" width="1.6640625" style="27" customWidth="1"/>
    <col min="13579" max="13579" width="0.33203125" style="27" customWidth="1"/>
    <col min="13580" max="13588" width="1.6640625" style="27" customWidth="1"/>
    <col min="13589" max="13589" width="0.33203125" style="27" customWidth="1"/>
    <col min="13590" max="13598" width="1.6640625" style="27" customWidth="1"/>
    <col min="13599" max="13599" width="0.33203125" style="27" customWidth="1"/>
    <col min="13600" max="13608" width="1.6640625" style="27" customWidth="1"/>
    <col min="13609" max="13609" width="0.33203125" style="27" customWidth="1"/>
    <col min="13610" max="13618" width="1.6640625" style="27" customWidth="1"/>
    <col min="13619" max="13619" width="0.33203125" style="27" customWidth="1"/>
    <col min="13620" max="13628" width="1.6640625" style="27" customWidth="1"/>
    <col min="13629" max="13629" width="0.33203125" style="27" customWidth="1"/>
    <col min="13630" max="13638" width="1.6640625" style="27" customWidth="1"/>
    <col min="13639" max="13639" width="0.33203125" style="27" customWidth="1"/>
    <col min="13640" max="13648" width="1.6640625" style="27" customWidth="1"/>
    <col min="13649" max="13824" width="9.109375" style="27"/>
    <col min="13825" max="13825" width="0.33203125" style="27" customWidth="1"/>
    <col min="13826" max="13834" width="1.6640625" style="27" customWidth="1"/>
    <col min="13835" max="13835" width="0.33203125" style="27" customWidth="1"/>
    <col min="13836" max="13844" width="1.6640625" style="27" customWidth="1"/>
    <col min="13845" max="13845" width="0.33203125" style="27" customWidth="1"/>
    <col min="13846" max="13854" width="1.6640625" style="27" customWidth="1"/>
    <col min="13855" max="13855" width="0.33203125" style="27" customWidth="1"/>
    <col min="13856" max="13864" width="1.6640625" style="27" customWidth="1"/>
    <col min="13865" max="13865" width="0.33203125" style="27" customWidth="1"/>
    <col min="13866" max="13874" width="1.6640625" style="27" customWidth="1"/>
    <col min="13875" max="13875" width="0.33203125" style="27" customWidth="1"/>
    <col min="13876" max="13884" width="1.6640625" style="27" customWidth="1"/>
    <col min="13885" max="13885" width="0.33203125" style="27" customWidth="1"/>
    <col min="13886" max="13894" width="1.6640625" style="27" customWidth="1"/>
    <col min="13895" max="13895" width="0.33203125" style="27" customWidth="1"/>
    <col min="13896" max="13904" width="1.6640625" style="27" customWidth="1"/>
    <col min="13905" max="14080" width="9.109375" style="27"/>
    <col min="14081" max="14081" width="0.33203125" style="27" customWidth="1"/>
    <col min="14082" max="14090" width="1.6640625" style="27" customWidth="1"/>
    <col min="14091" max="14091" width="0.33203125" style="27" customWidth="1"/>
    <col min="14092" max="14100" width="1.6640625" style="27" customWidth="1"/>
    <col min="14101" max="14101" width="0.33203125" style="27" customWidth="1"/>
    <col min="14102" max="14110" width="1.6640625" style="27" customWidth="1"/>
    <col min="14111" max="14111" width="0.33203125" style="27" customWidth="1"/>
    <col min="14112" max="14120" width="1.6640625" style="27" customWidth="1"/>
    <col min="14121" max="14121" width="0.33203125" style="27" customWidth="1"/>
    <col min="14122" max="14130" width="1.6640625" style="27" customWidth="1"/>
    <col min="14131" max="14131" width="0.33203125" style="27" customWidth="1"/>
    <col min="14132" max="14140" width="1.6640625" style="27" customWidth="1"/>
    <col min="14141" max="14141" width="0.33203125" style="27" customWidth="1"/>
    <col min="14142" max="14150" width="1.6640625" style="27" customWidth="1"/>
    <col min="14151" max="14151" width="0.33203125" style="27" customWidth="1"/>
    <col min="14152" max="14160" width="1.6640625" style="27" customWidth="1"/>
    <col min="14161" max="14336" width="9.109375" style="27"/>
    <col min="14337" max="14337" width="0.33203125" style="27" customWidth="1"/>
    <col min="14338" max="14346" width="1.6640625" style="27" customWidth="1"/>
    <col min="14347" max="14347" width="0.33203125" style="27" customWidth="1"/>
    <col min="14348" max="14356" width="1.6640625" style="27" customWidth="1"/>
    <col min="14357" max="14357" width="0.33203125" style="27" customWidth="1"/>
    <col min="14358" max="14366" width="1.6640625" style="27" customWidth="1"/>
    <col min="14367" max="14367" width="0.33203125" style="27" customWidth="1"/>
    <col min="14368" max="14376" width="1.6640625" style="27" customWidth="1"/>
    <col min="14377" max="14377" width="0.33203125" style="27" customWidth="1"/>
    <col min="14378" max="14386" width="1.6640625" style="27" customWidth="1"/>
    <col min="14387" max="14387" width="0.33203125" style="27" customWidth="1"/>
    <col min="14388" max="14396" width="1.6640625" style="27" customWidth="1"/>
    <col min="14397" max="14397" width="0.33203125" style="27" customWidth="1"/>
    <col min="14398" max="14406" width="1.6640625" style="27" customWidth="1"/>
    <col min="14407" max="14407" width="0.33203125" style="27" customWidth="1"/>
    <col min="14408" max="14416" width="1.6640625" style="27" customWidth="1"/>
    <col min="14417" max="14592" width="9.109375" style="27"/>
    <col min="14593" max="14593" width="0.33203125" style="27" customWidth="1"/>
    <col min="14594" max="14602" width="1.6640625" style="27" customWidth="1"/>
    <col min="14603" max="14603" width="0.33203125" style="27" customWidth="1"/>
    <col min="14604" max="14612" width="1.6640625" style="27" customWidth="1"/>
    <col min="14613" max="14613" width="0.33203125" style="27" customWidth="1"/>
    <col min="14614" max="14622" width="1.6640625" style="27" customWidth="1"/>
    <col min="14623" max="14623" width="0.33203125" style="27" customWidth="1"/>
    <col min="14624" max="14632" width="1.6640625" style="27" customWidth="1"/>
    <col min="14633" max="14633" width="0.33203125" style="27" customWidth="1"/>
    <col min="14634" max="14642" width="1.6640625" style="27" customWidth="1"/>
    <col min="14643" max="14643" width="0.33203125" style="27" customWidth="1"/>
    <col min="14644" max="14652" width="1.6640625" style="27" customWidth="1"/>
    <col min="14653" max="14653" width="0.33203125" style="27" customWidth="1"/>
    <col min="14654" max="14662" width="1.6640625" style="27" customWidth="1"/>
    <col min="14663" max="14663" width="0.33203125" style="27" customWidth="1"/>
    <col min="14664" max="14672" width="1.6640625" style="27" customWidth="1"/>
    <col min="14673" max="14848" width="9.109375" style="27"/>
    <col min="14849" max="14849" width="0.33203125" style="27" customWidth="1"/>
    <col min="14850" max="14858" width="1.6640625" style="27" customWidth="1"/>
    <col min="14859" max="14859" width="0.33203125" style="27" customWidth="1"/>
    <col min="14860" max="14868" width="1.6640625" style="27" customWidth="1"/>
    <col min="14869" max="14869" width="0.33203125" style="27" customWidth="1"/>
    <col min="14870" max="14878" width="1.6640625" style="27" customWidth="1"/>
    <col min="14879" max="14879" width="0.33203125" style="27" customWidth="1"/>
    <col min="14880" max="14888" width="1.6640625" style="27" customWidth="1"/>
    <col min="14889" max="14889" width="0.33203125" style="27" customWidth="1"/>
    <col min="14890" max="14898" width="1.6640625" style="27" customWidth="1"/>
    <col min="14899" max="14899" width="0.33203125" style="27" customWidth="1"/>
    <col min="14900" max="14908" width="1.6640625" style="27" customWidth="1"/>
    <col min="14909" max="14909" width="0.33203125" style="27" customWidth="1"/>
    <col min="14910" max="14918" width="1.6640625" style="27" customWidth="1"/>
    <col min="14919" max="14919" width="0.33203125" style="27" customWidth="1"/>
    <col min="14920" max="14928" width="1.6640625" style="27" customWidth="1"/>
    <col min="14929" max="15104" width="9.109375" style="27"/>
    <col min="15105" max="15105" width="0.33203125" style="27" customWidth="1"/>
    <col min="15106" max="15114" width="1.6640625" style="27" customWidth="1"/>
    <col min="15115" max="15115" width="0.33203125" style="27" customWidth="1"/>
    <col min="15116" max="15124" width="1.6640625" style="27" customWidth="1"/>
    <col min="15125" max="15125" width="0.33203125" style="27" customWidth="1"/>
    <col min="15126" max="15134" width="1.6640625" style="27" customWidth="1"/>
    <col min="15135" max="15135" width="0.33203125" style="27" customWidth="1"/>
    <col min="15136" max="15144" width="1.6640625" style="27" customWidth="1"/>
    <col min="15145" max="15145" width="0.33203125" style="27" customWidth="1"/>
    <col min="15146" max="15154" width="1.6640625" style="27" customWidth="1"/>
    <col min="15155" max="15155" width="0.33203125" style="27" customWidth="1"/>
    <col min="15156" max="15164" width="1.6640625" style="27" customWidth="1"/>
    <col min="15165" max="15165" width="0.33203125" style="27" customWidth="1"/>
    <col min="15166" max="15174" width="1.6640625" style="27" customWidth="1"/>
    <col min="15175" max="15175" width="0.33203125" style="27" customWidth="1"/>
    <col min="15176" max="15184" width="1.6640625" style="27" customWidth="1"/>
    <col min="15185" max="15360" width="9.109375" style="27"/>
    <col min="15361" max="15361" width="0.33203125" style="27" customWidth="1"/>
    <col min="15362" max="15370" width="1.6640625" style="27" customWidth="1"/>
    <col min="15371" max="15371" width="0.33203125" style="27" customWidth="1"/>
    <col min="15372" max="15380" width="1.6640625" style="27" customWidth="1"/>
    <col min="15381" max="15381" width="0.33203125" style="27" customWidth="1"/>
    <col min="15382" max="15390" width="1.6640625" style="27" customWidth="1"/>
    <col min="15391" max="15391" width="0.33203125" style="27" customWidth="1"/>
    <col min="15392" max="15400" width="1.6640625" style="27" customWidth="1"/>
    <col min="15401" max="15401" width="0.33203125" style="27" customWidth="1"/>
    <col min="15402" max="15410" width="1.6640625" style="27" customWidth="1"/>
    <col min="15411" max="15411" width="0.33203125" style="27" customWidth="1"/>
    <col min="15412" max="15420" width="1.6640625" style="27" customWidth="1"/>
    <col min="15421" max="15421" width="0.33203125" style="27" customWidth="1"/>
    <col min="15422" max="15430" width="1.6640625" style="27" customWidth="1"/>
    <col min="15431" max="15431" width="0.33203125" style="27" customWidth="1"/>
    <col min="15432" max="15440" width="1.6640625" style="27" customWidth="1"/>
    <col min="15441" max="15616" width="9.109375" style="27"/>
    <col min="15617" max="15617" width="0.33203125" style="27" customWidth="1"/>
    <col min="15618" max="15626" width="1.6640625" style="27" customWidth="1"/>
    <col min="15627" max="15627" width="0.33203125" style="27" customWidth="1"/>
    <col min="15628" max="15636" width="1.6640625" style="27" customWidth="1"/>
    <col min="15637" max="15637" width="0.33203125" style="27" customWidth="1"/>
    <col min="15638" max="15646" width="1.6640625" style="27" customWidth="1"/>
    <col min="15647" max="15647" width="0.33203125" style="27" customWidth="1"/>
    <col min="15648" max="15656" width="1.6640625" style="27" customWidth="1"/>
    <col min="15657" max="15657" width="0.33203125" style="27" customWidth="1"/>
    <col min="15658" max="15666" width="1.6640625" style="27" customWidth="1"/>
    <col min="15667" max="15667" width="0.33203125" style="27" customWidth="1"/>
    <col min="15668" max="15676" width="1.6640625" style="27" customWidth="1"/>
    <col min="15677" max="15677" width="0.33203125" style="27" customWidth="1"/>
    <col min="15678" max="15686" width="1.6640625" style="27" customWidth="1"/>
    <col min="15687" max="15687" width="0.33203125" style="27" customWidth="1"/>
    <col min="15688" max="15696" width="1.6640625" style="27" customWidth="1"/>
    <col min="15697" max="15872" width="9.109375" style="27"/>
    <col min="15873" max="15873" width="0.33203125" style="27" customWidth="1"/>
    <col min="15874" max="15882" width="1.6640625" style="27" customWidth="1"/>
    <col min="15883" max="15883" width="0.33203125" style="27" customWidth="1"/>
    <col min="15884" max="15892" width="1.6640625" style="27" customWidth="1"/>
    <col min="15893" max="15893" width="0.33203125" style="27" customWidth="1"/>
    <col min="15894" max="15902" width="1.6640625" style="27" customWidth="1"/>
    <col min="15903" max="15903" width="0.33203125" style="27" customWidth="1"/>
    <col min="15904" max="15912" width="1.6640625" style="27" customWidth="1"/>
    <col min="15913" max="15913" width="0.33203125" style="27" customWidth="1"/>
    <col min="15914" max="15922" width="1.6640625" style="27" customWidth="1"/>
    <col min="15923" max="15923" width="0.33203125" style="27" customWidth="1"/>
    <col min="15924" max="15932" width="1.6640625" style="27" customWidth="1"/>
    <col min="15933" max="15933" width="0.33203125" style="27" customWidth="1"/>
    <col min="15934" max="15942" width="1.6640625" style="27" customWidth="1"/>
    <col min="15943" max="15943" width="0.33203125" style="27" customWidth="1"/>
    <col min="15944" max="15952" width="1.6640625" style="27" customWidth="1"/>
    <col min="15953" max="16128" width="9.109375" style="27"/>
    <col min="16129" max="16129" width="0.33203125" style="27" customWidth="1"/>
    <col min="16130" max="16138" width="1.6640625" style="27" customWidth="1"/>
    <col min="16139" max="16139" width="0.33203125" style="27" customWidth="1"/>
    <col min="16140" max="16148" width="1.6640625" style="27" customWidth="1"/>
    <col min="16149" max="16149" width="0.33203125" style="27" customWidth="1"/>
    <col min="16150" max="16158" width="1.6640625" style="27" customWidth="1"/>
    <col min="16159" max="16159" width="0.33203125" style="27" customWidth="1"/>
    <col min="16160" max="16168" width="1.6640625" style="27" customWidth="1"/>
    <col min="16169" max="16169" width="0.33203125" style="27" customWidth="1"/>
    <col min="16170" max="16178" width="1.6640625" style="27" customWidth="1"/>
    <col min="16179" max="16179" width="0.33203125" style="27" customWidth="1"/>
    <col min="16180" max="16188" width="1.6640625" style="27" customWidth="1"/>
    <col min="16189" max="16189" width="0.33203125" style="27" customWidth="1"/>
    <col min="16190" max="16198" width="1.6640625" style="27" customWidth="1"/>
    <col min="16199" max="16199" width="0.33203125" style="27" customWidth="1"/>
    <col min="16200" max="16208" width="1.6640625" style="27" customWidth="1"/>
    <col min="16209" max="16384" width="9.109375" style="27"/>
  </cols>
  <sheetData>
    <row r="1" spans="1:71" ht="121.95" customHeight="1" x14ac:dyDescent="0.3">
      <c r="A1" s="169"/>
      <c r="B1" s="490" t="s">
        <v>839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V1" s="491"/>
      <c r="AW1" s="491"/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H1" s="491"/>
      <c r="BI1" s="491"/>
      <c r="BJ1" s="491"/>
      <c r="BK1" s="491"/>
      <c r="BL1" s="491"/>
      <c r="BM1" s="491"/>
      <c r="BN1" s="491"/>
      <c r="BO1" s="491"/>
      <c r="BP1" s="491"/>
      <c r="BQ1" s="491"/>
      <c r="BR1" s="492"/>
      <c r="BS1" s="26"/>
    </row>
    <row r="2" spans="1:71" ht="3" customHeight="1" x14ac:dyDescent="0.3">
      <c r="A2" s="16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26"/>
    </row>
    <row r="3" spans="1:71" ht="18" customHeight="1" x14ac:dyDescent="0.3">
      <c r="A3" s="421">
        <v>1.4</v>
      </c>
      <c r="B3" s="422"/>
      <c r="C3" s="422"/>
      <c r="D3" s="422"/>
      <c r="E3" s="422"/>
      <c r="F3" s="422"/>
      <c r="G3" s="422"/>
      <c r="H3" s="422"/>
      <c r="I3" s="422"/>
      <c r="J3" s="422"/>
      <c r="K3" s="170"/>
      <c r="L3" s="419" t="s">
        <v>784</v>
      </c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L3" s="419"/>
      <c r="BM3" s="419"/>
      <c r="BN3" s="419"/>
      <c r="BO3" s="419"/>
      <c r="BP3" s="419"/>
      <c r="BQ3" s="419"/>
      <c r="BR3" s="420"/>
      <c r="BS3" s="26"/>
    </row>
    <row r="4" spans="1:71" ht="1.5" customHeight="1" x14ac:dyDescent="0.3">
      <c r="B4" s="172"/>
      <c r="AP4" s="173"/>
      <c r="AQ4" s="173"/>
      <c r="AR4" s="173"/>
      <c r="AS4" s="173"/>
      <c r="AT4" s="173"/>
      <c r="AU4" s="173"/>
      <c r="AV4" s="173"/>
      <c r="AW4" s="173"/>
      <c r="AX4" s="173"/>
      <c r="BR4" s="174"/>
      <c r="BS4" s="26"/>
    </row>
    <row r="5" spans="1:71" ht="9" customHeight="1" x14ac:dyDescent="0.3">
      <c r="B5" s="429" t="s">
        <v>223</v>
      </c>
      <c r="C5" s="430"/>
      <c r="D5" s="431"/>
      <c r="E5" s="426" t="s">
        <v>224</v>
      </c>
      <c r="F5" s="427"/>
      <c r="G5" s="427"/>
      <c r="H5" s="427"/>
      <c r="I5" s="427"/>
      <c r="J5" s="428"/>
      <c r="K5" s="175"/>
      <c r="L5" s="429" t="s">
        <v>225</v>
      </c>
      <c r="M5" s="430"/>
      <c r="N5" s="431"/>
      <c r="O5" s="426" t="s">
        <v>224</v>
      </c>
      <c r="P5" s="427"/>
      <c r="Q5" s="427"/>
      <c r="R5" s="427"/>
      <c r="S5" s="427"/>
      <c r="T5" s="428"/>
      <c r="U5" s="175"/>
      <c r="V5" s="429" t="s">
        <v>226</v>
      </c>
      <c r="W5" s="430"/>
      <c r="X5" s="431"/>
      <c r="Y5" s="426" t="s">
        <v>224</v>
      </c>
      <c r="Z5" s="427"/>
      <c r="AA5" s="427"/>
      <c r="AB5" s="427"/>
      <c r="AC5" s="427"/>
      <c r="AD5" s="428"/>
      <c r="AE5" s="176"/>
      <c r="AF5" s="429" t="s">
        <v>227</v>
      </c>
      <c r="AG5" s="430"/>
      <c r="AH5" s="431"/>
      <c r="AI5" s="426" t="s">
        <v>224</v>
      </c>
      <c r="AJ5" s="427"/>
      <c r="AK5" s="427"/>
      <c r="AL5" s="427"/>
      <c r="AM5" s="427"/>
      <c r="AN5" s="428"/>
      <c r="AO5" s="177"/>
      <c r="AP5" s="429" t="s">
        <v>228</v>
      </c>
      <c r="AQ5" s="430"/>
      <c r="AR5" s="431"/>
      <c r="AS5" s="426" t="s">
        <v>229</v>
      </c>
      <c r="AT5" s="427"/>
      <c r="AU5" s="427"/>
      <c r="AV5" s="427"/>
      <c r="AW5" s="427"/>
      <c r="AX5" s="428"/>
      <c r="AY5" s="175"/>
      <c r="AZ5" s="429" t="s">
        <v>230</v>
      </c>
      <c r="BA5" s="430"/>
      <c r="BB5" s="431"/>
      <c r="BC5" s="426" t="s">
        <v>229</v>
      </c>
      <c r="BD5" s="427"/>
      <c r="BE5" s="427"/>
      <c r="BF5" s="427"/>
      <c r="BG5" s="427"/>
      <c r="BH5" s="428"/>
      <c r="BI5" s="175"/>
      <c r="BJ5" s="429" t="s">
        <v>231</v>
      </c>
      <c r="BK5" s="430"/>
      <c r="BL5" s="431"/>
      <c r="BM5" s="426" t="s">
        <v>229</v>
      </c>
      <c r="BN5" s="427"/>
      <c r="BO5" s="427"/>
      <c r="BP5" s="427"/>
      <c r="BQ5" s="427"/>
      <c r="BR5" s="428"/>
    </row>
    <row r="6" spans="1:71" s="34" customFormat="1" ht="9" customHeight="1" x14ac:dyDescent="0.3">
      <c r="A6" s="178"/>
      <c r="B6" s="423"/>
      <c r="C6" s="424"/>
      <c r="D6" s="424"/>
      <c r="E6" s="424"/>
      <c r="F6" s="424"/>
      <c r="G6" s="424"/>
      <c r="H6" s="424"/>
      <c r="I6" s="424"/>
      <c r="J6" s="425"/>
      <c r="K6" s="180"/>
      <c r="L6" s="423" t="s">
        <v>232</v>
      </c>
      <c r="M6" s="424"/>
      <c r="N6" s="424"/>
      <c r="O6" s="424"/>
      <c r="P6" s="424"/>
      <c r="Q6" s="424"/>
      <c r="R6" s="424"/>
      <c r="S6" s="424"/>
      <c r="T6" s="425"/>
      <c r="U6" s="181"/>
      <c r="V6" s="423" t="s">
        <v>233</v>
      </c>
      <c r="W6" s="424"/>
      <c r="X6" s="424"/>
      <c r="Y6" s="424"/>
      <c r="Z6" s="424"/>
      <c r="AA6" s="424"/>
      <c r="AB6" s="424"/>
      <c r="AC6" s="424"/>
      <c r="AD6" s="425"/>
      <c r="AE6" s="180"/>
      <c r="AF6" s="423" t="s">
        <v>234</v>
      </c>
      <c r="AG6" s="424"/>
      <c r="AH6" s="424"/>
      <c r="AI6" s="424"/>
      <c r="AJ6" s="424"/>
      <c r="AK6" s="424"/>
      <c r="AL6" s="424"/>
      <c r="AM6" s="424"/>
      <c r="AN6" s="425"/>
      <c r="AO6" s="181"/>
      <c r="AP6" s="423" t="s">
        <v>235</v>
      </c>
      <c r="AQ6" s="424"/>
      <c r="AR6" s="424"/>
      <c r="AS6" s="424"/>
      <c r="AT6" s="424"/>
      <c r="AU6" s="424"/>
      <c r="AV6" s="424"/>
      <c r="AW6" s="424"/>
      <c r="AX6" s="425"/>
      <c r="AY6" s="181"/>
      <c r="AZ6" s="423" t="s">
        <v>236</v>
      </c>
      <c r="BA6" s="424"/>
      <c r="BB6" s="424"/>
      <c r="BC6" s="424"/>
      <c r="BD6" s="424"/>
      <c r="BE6" s="424"/>
      <c r="BF6" s="424"/>
      <c r="BG6" s="424"/>
      <c r="BH6" s="425"/>
      <c r="BI6" s="181"/>
      <c r="BJ6" s="423" t="s">
        <v>237</v>
      </c>
      <c r="BK6" s="424"/>
      <c r="BL6" s="424"/>
      <c r="BM6" s="424"/>
      <c r="BN6" s="424"/>
      <c r="BO6" s="424"/>
      <c r="BP6" s="424"/>
      <c r="BQ6" s="424"/>
      <c r="BR6" s="425"/>
    </row>
    <row r="7" spans="1:71" ht="9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7"/>
      <c r="K7" s="182"/>
      <c r="L7" s="175"/>
      <c r="M7" s="175"/>
      <c r="N7" s="175"/>
      <c r="O7" s="175"/>
      <c r="P7" s="175"/>
      <c r="Q7" s="175"/>
      <c r="R7" s="175"/>
      <c r="S7" s="175"/>
      <c r="T7" s="177"/>
      <c r="U7" s="177"/>
      <c r="V7" s="175"/>
      <c r="W7" s="175"/>
      <c r="X7" s="175"/>
      <c r="Y7" s="175"/>
      <c r="Z7" s="175"/>
      <c r="AA7" s="175"/>
      <c r="AB7" s="175"/>
      <c r="AC7" s="175"/>
      <c r="AD7" s="177"/>
      <c r="AE7" s="182"/>
      <c r="AF7" s="175"/>
      <c r="AG7" s="175"/>
      <c r="AH7" s="175"/>
      <c r="AI7" s="175"/>
      <c r="AJ7" s="175"/>
      <c r="AK7" s="175"/>
      <c r="AL7" s="175"/>
      <c r="AM7" s="175"/>
      <c r="AN7" s="177"/>
      <c r="AO7" s="177"/>
      <c r="AP7" s="175"/>
      <c r="AQ7" s="175"/>
      <c r="AR7" s="175"/>
      <c r="AS7" s="175"/>
      <c r="AT7" s="175"/>
      <c r="AU7" s="175"/>
      <c r="AV7" s="175"/>
      <c r="AW7" s="175"/>
      <c r="AX7" s="177"/>
      <c r="AY7" s="177"/>
      <c r="AZ7" s="175"/>
      <c r="BA7" s="175"/>
      <c r="BB7" s="175"/>
      <c r="BC7" s="175"/>
      <c r="BD7" s="175"/>
      <c r="BE7" s="175"/>
      <c r="BF7" s="175"/>
      <c r="BG7" s="175"/>
      <c r="BH7" s="177"/>
      <c r="BI7" s="177"/>
      <c r="BJ7" s="175"/>
      <c r="BK7" s="175"/>
      <c r="BL7" s="175"/>
      <c r="BM7" s="175"/>
      <c r="BN7" s="175"/>
      <c r="BO7" s="175"/>
      <c r="BP7" s="175"/>
      <c r="BQ7" s="175"/>
      <c r="BR7" s="177"/>
    </row>
    <row r="8" spans="1:71" ht="9" customHeight="1" x14ac:dyDescent="0.3">
      <c r="A8" s="169"/>
      <c r="B8" s="175"/>
      <c r="C8" s="175"/>
      <c r="D8" s="175"/>
      <c r="E8" s="175"/>
      <c r="F8" s="175"/>
      <c r="G8" s="175"/>
      <c r="H8" s="175"/>
      <c r="I8" s="175"/>
      <c r="J8" s="177"/>
      <c r="K8" s="182"/>
      <c r="L8" s="175"/>
      <c r="M8" s="175"/>
      <c r="N8" s="175"/>
      <c r="O8" s="175"/>
      <c r="P8" s="175"/>
      <c r="Q8" s="175"/>
      <c r="R8" s="175"/>
      <c r="S8" s="175"/>
      <c r="T8" s="177"/>
      <c r="U8" s="177"/>
      <c r="V8" s="175"/>
      <c r="W8" s="175"/>
      <c r="X8" s="175"/>
      <c r="Y8" s="175"/>
      <c r="Z8" s="175"/>
      <c r="AA8" s="175"/>
      <c r="AB8" s="175"/>
      <c r="AC8" s="175"/>
      <c r="AD8" s="177"/>
      <c r="AE8" s="182"/>
      <c r="AF8" s="175"/>
      <c r="AG8" s="175"/>
      <c r="AH8" s="175"/>
      <c r="AI8" s="175"/>
      <c r="AJ8" s="175"/>
      <c r="AK8" s="175"/>
      <c r="AL8" s="175"/>
      <c r="AM8" s="175"/>
      <c r="AN8" s="177"/>
      <c r="AO8" s="177"/>
      <c r="AP8" s="175"/>
      <c r="AQ8" s="175"/>
      <c r="AR8" s="175"/>
      <c r="AS8" s="175"/>
      <c r="AT8" s="175"/>
      <c r="AU8" s="175"/>
      <c r="AV8" s="175"/>
      <c r="AW8" s="175"/>
      <c r="AX8" s="177"/>
      <c r="AY8" s="177"/>
      <c r="AZ8" s="175"/>
      <c r="BA8" s="175"/>
      <c r="BB8" s="175"/>
      <c r="BC8" s="175"/>
      <c r="BD8" s="175"/>
      <c r="BE8" s="175"/>
      <c r="BF8" s="175"/>
      <c r="BG8" s="175"/>
      <c r="BH8" s="177"/>
      <c r="BI8" s="177"/>
      <c r="BJ8" s="175"/>
      <c r="BK8" s="175"/>
      <c r="BL8" s="175"/>
      <c r="BM8" s="175"/>
      <c r="BN8" s="175"/>
      <c r="BO8" s="175"/>
      <c r="BP8" s="175"/>
      <c r="BQ8" s="175"/>
      <c r="BR8" s="177"/>
    </row>
    <row r="9" spans="1:71" ht="9" customHeight="1" x14ac:dyDescent="0.3">
      <c r="A9" s="169"/>
      <c r="B9" s="175"/>
      <c r="C9" s="175"/>
      <c r="D9" s="175"/>
      <c r="E9" s="175"/>
      <c r="F9" s="175"/>
      <c r="G9" s="175"/>
      <c r="H9" s="175"/>
      <c r="I9" s="175"/>
      <c r="J9" s="177"/>
      <c r="K9" s="182"/>
      <c r="L9" s="175"/>
      <c r="M9" s="175"/>
      <c r="N9" s="175"/>
      <c r="O9" s="175"/>
      <c r="P9" s="175"/>
      <c r="Q9" s="175"/>
      <c r="R9" s="175"/>
      <c r="S9" s="175"/>
      <c r="T9" s="177"/>
      <c r="U9" s="177"/>
      <c r="V9" s="175"/>
      <c r="W9" s="175"/>
      <c r="X9" s="175"/>
      <c r="Y9" s="175"/>
      <c r="Z9" s="175"/>
      <c r="AA9" s="175"/>
      <c r="AB9" s="175"/>
      <c r="AC9" s="175"/>
      <c r="AD9" s="177"/>
      <c r="AE9" s="182"/>
      <c r="AF9" s="175"/>
      <c r="AG9" s="175"/>
      <c r="AH9" s="175"/>
      <c r="AI9" s="175"/>
      <c r="AJ9" s="175"/>
      <c r="AK9" s="175"/>
      <c r="AL9" s="175"/>
      <c r="AM9" s="175"/>
      <c r="AN9" s="177"/>
      <c r="AO9" s="177"/>
      <c r="AP9" s="175"/>
      <c r="AQ9" s="175"/>
      <c r="AR9" s="175"/>
      <c r="AS9" s="175"/>
      <c r="AT9" s="175"/>
      <c r="AU9" s="175"/>
      <c r="AV9" s="175"/>
      <c r="AW9" s="175"/>
      <c r="AX9" s="177"/>
      <c r="AY9" s="177"/>
      <c r="AZ9" s="175"/>
      <c r="BA9" s="175"/>
      <c r="BB9" s="175"/>
      <c r="BC9" s="175"/>
      <c r="BD9" s="175"/>
      <c r="BE9" s="175"/>
      <c r="BF9" s="175"/>
      <c r="BG9" s="175"/>
      <c r="BH9" s="177"/>
      <c r="BI9" s="177"/>
      <c r="BJ9" s="175"/>
      <c r="BK9" s="175"/>
      <c r="BL9" s="175"/>
      <c r="BM9" s="175"/>
      <c r="BN9" s="175"/>
      <c r="BO9" s="175"/>
      <c r="BP9" s="175"/>
      <c r="BQ9" s="175"/>
      <c r="BR9" s="177"/>
    </row>
    <row r="10" spans="1:71" ht="9" customHeight="1" x14ac:dyDescent="0.3">
      <c r="A10" s="169"/>
      <c r="B10" s="175"/>
      <c r="C10" s="175"/>
      <c r="D10" s="175"/>
      <c r="E10" s="175"/>
      <c r="F10" s="175"/>
      <c r="G10" s="175"/>
      <c r="H10" s="175"/>
      <c r="I10" s="175"/>
      <c r="J10" s="177"/>
      <c r="K10" s="182"/>
      <c r="L10" s="175"/>
      <c r="M10" s="175"/>
      <c r="N10" s="175"/>
      <c r="O10" s="175"/>
      <c r="P10" s="175"/>
      <c r="Q10" s="175"/>
      <c r="R10" s="175"/>
      <c r="S10" s="175"/>
      <c r="T10" s="177"/>
      <c r="U10" s="177"/>
      <c r="V10" s="175"/>
      <c r="W10" s="175"/>
      <c r="X10" s="175"/>
      <c r="Y10" s="175"/>
      <c r="Z10" s="175"/>
      <c r="AA10" s="175"/>
      <c r="AB10" s="175"/>
      <c r="AC10" s="175"/>
      <c r="AD10" s="177"/>
      <c r="AE10" s="182"/>
      <c r="AF10" s="175"/>
      <c r="AG10" s="175"/>
      <c r="AH10" s="175"/>
      <c r="AI10" s="175"/>
      <c r="AJ10" s="175"/>
      <c r="AK10" s="175"/>
      <c r="AL10" s="175"/>
      <c r="AM10" s="175"/>
      <c r="AN10" s="177"/>
      <c r="AO10" s="177"/>
      <c r="AP10" s="175"/>
      <c r="AQ10" s="175"/>
      <c r="AR10" s="175"/>
      <c r="AS10" s="175"/>
      <c r="AT10" s="175"/>
      <c r="AU10" s="175"/>
      <c r="AV10" s="175"/>
      <c r="AW10" s="175"/>
      <c r="AX10" s="177"/>
      <c r="AY10" s="177"/>
      <c r="AZ10" s="175"/>
      <c r="BA10" s="175"/>
      <c r="BB10" s="175"/>
      <c r="BC10" s="175"/>
      <c r="BD10" s="175"/>
      <c r="BE10" s="175"/>
      <c r="BF10" s="175"/>
      <c r="BG10" s="175"/>
      <c r="BH10" s="177"/>
      <c r="BI10" s="177"/>
      <c r="BJ10" s="175"/>
      <c r="BK10" s="175"/>
      <c r="BL10" s="175"/>
      <c r="BM10" s="175"/>
      <c r="BN10" s="175"/>
      <c r="BO10" s="175"/>
      <c r="BP10" s="175"/>
      <c r="BQ10" s="175"/>
      <c r="BR10" s="177"/>
    </row>
    <row r="11" spans="1:71" ht="9" customHeight="1" x14ac:dyDescent="0.3">
      <c r="A11" s="169"/>
      <c r="B11" s="175"/>
      <c r="C11" s="175"/>
      <c r="D11" s="175"/>
      <c r="E11" s="175"/>
      <c r="F11" s="175"/>
      <c r="G11" s="175"/>
      <c r="H11" s="175"/>
      <c r="I11" s="175"/>
      <c r="J11" s="177"/>
      <c r="K11" s="182"/>
      <c r="L11" s="175"/>
      <c r="M11" s="175"/>
      <c r="N11" s="175"/>
      <c r="O11" s="175"/>
      <c r="P11" s="175"/>
      <c r="Q11" s="175"/>
      <c r="R11" s="175"/>
      <c r="S11" s="175"/>
      <c r="T11" s="177"/>
      <c r="U11" s="177"/>
      <c r="V11" s="175"/>
      <c r="W11" s="175"/>
      <c r="X11" s="175"/>
      <c r="Y11" s="175"/>
      <c r="Z11" s="175"/>
      <c r="AA11" s="175"/>
      <c r="AB11" s="175"/>
      <c r="AC11" s="175"/>
      <c r="AD11" s="177"/>
      <c r="AE11" s="182"/>
      <c r="AF11" s="175"/>
      <c r="AG11" s="175"/>
      <c r="AH11" s="175"/>
      <c r="AI11" s="175"/>
      <c r="AJ11" s="175"/>
      <c r="AK11" s="175"/>
      <c r="AL11" s="175"/>
      <c r="AM11" s="175"/>
      <c r="AN11" s="177"/>
      <c r="AO11" s="177"/>
      <c r="AP11" s="175"/>
      <c r="AQ11" s="175"/>
      <c r="AR11" s="175"/>
      <c r="AS11" s="175"/>
      <c r="AT11" s="175"/>
      <c r="AU11" s="175"/>
      <c r="AV11" s="175"/>
      <c r="AW11" s="175"/>
      <c r="AX11" s="177"/>
      <c r="AY11" s="177"/>
      <c r="AZ11" s="175"/>
      <c r="BA11" s="175"/>
      <c r="BB11" s="175"/>
      <c r="BC11" s="175"/>
      <c r="BD11" s="175"/>
      <c r="BE11" s="175"/>
      <c r="BF11" s="175"/>
      <c r="BG11" s="175"/>
      <c r="BH11" s="177"/>
      <c r="BI11" s="177"/>
      <c r="BJ11" s="175"/>
      <c r="BK11" s="175"/>
      <c r="BL11" s="175"/>
      <c r="BM11" s="175"/>
      <c r="BN11" s="175"/>
      <c r="BO11" s="175"/>
      <c r="BP11" s="175"/>
      <c r="BQ11" s="175"/>
      <c r="BR11" s="177"/>
    </row>
    <row r="12" spans="1:71" ht="9" customHeight="1" x14ac:dyDescent="0.3">
      <c r="A12" s="169"/>
      <c r="B12" s="175"/>
      <c r="C12" s="175"/>
      <c r="D12" s="175"/>
      <c r="E12" s="175"/>
      <c r="F12" s="175"/>
      <c r="G12" s="175"/>
      <c r="H12" s="175"/>
      <c r="I12" s="175"/>
      <c r="J12" s="177"/>
      <c r="K12" s="182"/>
      <c r="L12" s="175"/>
      <c r="M12" s="175"/>
      <c r="N12" s="175"/>
      <c r="O12" s="175"/>
      <c r="P12" s="175"/>
      <c r="Q12" s="175"/>
      <c r="R12" s="175"/>
      <c r="S12" s="175"/>
      <c r="T12" s="177"/>
      <c r="U12" s="177"/>
      <c r="V12" s="175"/>
      <c r="W12" s="175"/>
      <c r="X12" s="175"/>
      <c r="Y12" s="175"/>
      <c r="Z12" s="175"/>
      <c r="AA12" s="175"/>
      <c r="AB12" s="175"/>
      <c r="AC12" s="175"/>
      <c r="AD12" s="177"/>
      <c r="AE12" s="182"/>
      <c r="AF12" s="175"/>
      <c r="AG12" s="175"/>
      <c r="AH12" s="175"/>
      <c r="AI12" s="175"/>
      <c r="AJ12" s="175"/>
      <c r="AK12" s="175"/>
      <c r="AL12" s="175"/>
      <c r="AM12" s="175"/>
      <c r="AN12" s="177"/>
      <c r="AO12" s="177"/>
      <c r="AP12" s="175"/>
      <c r="AQ12" s="175"/>
      <c r="AR12" s="175"/>
      <c r="AS12" s="175"/>
      <c r="AT12" s="175"/>
      <c r="AU12" s="175"/>
      <c r="AV12" s="175"/>
      <c r="AW12" s="175"/>
      <c r="AX12" s="177"/>
      <c r="AY12" s="177"/>
      <c r="AZ12" s="175"/>
      <c r="BA12" s="175"/>
      <c r="BB12" s="175"/>
      <c r="BC12" s="175"/>
      <c r="BD12" s="175"/>
      <c r="BE12" s="175"/>
      <c r="BF12" s="175"/>
      <c r="BG12" s="175"/>
      <c r="BH12" s="177"/>
      <c r="BI12" s="177"/>
      <c r="BJ12" s="175"/>
      <c r="BK12" s="175"/>
      <c r="BL12" s="175"/>
      <c r="BM12" s="175"/>
      <c r="BN12" s="175"/>
      <c r="BO12" s="175"/>
      <c r="BP12" s="175"/>
      <c r="BQ12" s="175"/>
      <c r="BR12" s="177"/>
    </row>
    <row r="13" spans="1:71" ht="9" customHeight="1" x14ac:dyDescent="0.3">
      <c r="A13" s="169"/>
      <c r="B13" s="175"/>
      <c r="C13" s="175"/>
      <c r="D13" s="175"/>
      <c r="E13" s="175"/>
      <c r="F13" s="175"/>
      <c r="G13" s="175"/>
      <c r="H13" s="175"/>
      <c r="I13" s="175"/>
      <c r="J13" s="177"/>
      <c r="K13" s="182"/>
      <c r="L13" s="175"/>
      <c r="M13" s="175"/>
      <c r="N13" s="175"/>
      <c r="O13" s="175"/>
      <c r="P13" s="175"/>
      <c r="Q13" s="175"/>
      <c r="R13" s="175"/>
      <c r="S13" s="175"/>
      <c r="T13" s="177"/>
      <c r="U13" s="177"/>
      <c r="V13" s="175"/>
      <c r="W13" s="175"/>
      <c r="X13" s="175"/>
      <c r="Y13" s="175"/>
      <c r="Z13" s="175"/>
      <c r="AA13" s="175"/>
      <c r="AB13" s="175"/>
      <c r="AC13" s="175"/>
      <c r="AD13" s="177"/>
      <c r="AE13" s="182"/>
      <c r="AF13" s="175"/>
      <c r="AG13" s="175"/>
      <c r="AH13" s="175"/>
      <c r="AI13" s="175"/>
      <c r="AJ13" s="175"/>
      <c r="AK13" s="175"/>
      <c r="AL13" s="175"/>
      <c r="AM13" s="175"/>
      <c r="AN13" s="177"/>
      <c r="AO13" s="177"/>
      <c r="AP13" s="175"/>
      <c r="AQ13" s="175"/>
      <c r="AR13" s="175"/>
      <c r="AS13" s="175"/>
      <c r="AT13" s="175"/>
      <c r="AU13" s="175"/>
      <c r="AV13" s="175"/>
      <c r="AW13" s="175"/>
      <c r="AX13" s="177"/>
      <c r="AY13" s="177"/>
      <c r="AZ13" s="175"/>
      <c r="BA13" s="175"/>
      <c r="BB13" s="175"/>
      <c r="BC13" s="175"/>
      <c r="BD13" s="175"/>
      <c r="BE13" s="175"/>
      <c r="BF13" s="175"/>
      <c r="BG13" s="175"/>
      <c r="BH13" s="177"/>
      <c r="BI13" s="177"/>
      <c r="BJ13" s="175"/>
      <c r="BK13" s="175"/>
      <c r="BL13" s="175"/>
      <c r="BM13" s="175"/>
      <c r="BN13" s="175"/>
      <c r="BO13" s="175"/>
      <c r="BP13" s="175"/>
      <c r="BQ13" s="175"/>
      <c r="BR13" s="177"/>
    </row>
    <row r="14" spans="1:71" ht="9" customHeight="1" x14ac:dyDescent="0.3">
      <c r="A14" s="169"/>
      <c r="B14" s="175"/>
      <c r="C14" s="175"/>
      <c r="D14" s="175"/>
      <c r="E14" s="175"/>
      <c r="F14" s="175"/>
      <c r="G14" s="175"/>
      <c r="H14" s="175"/>
      <c r="I14" s="175"/>
      <c r="J14" s="177"/>
      <c r="K14" s="182"/>
      <c r="L14" s="175"/>
      <c r="M14" s="175"/>
      <c r="N14" s="175"/>
      <c r="O14" s="175"/>
      <c r="P14" s="175"/>
      <c r="Q14" s="175"/>
      <c r="R14" s="175"/>
      <c r="S14" s="175"/>
      <c r="T14" s="177"/>
      <c r="U14" s="177"/>
      <c r="V14" s="175"/>
      <c r="W14" s="175"/>
      <c r="X14" s="175"/>
      <c r="Y14" s="175"/>
      <c r="Z14" s="175"/>
      <c r="AA14" s="175"/>
      <c r="AB14" s="175"/>
      <c r="AC14" s="175"/>
      <c r="AD14" s="177"/>
      <c r="AE14" s="182"/>
      <c r="AF14" s="175"/>
      <c r="AG14" s="175"/>
      <c r="AH14" s="175"/>
      <c r="AI14" s="175"/>
      <c r="AJ14" s="175"/>
      <c r="AK14" s="175"/>
      <c r="AL14" s="175"/>
      <c r="AM14" s="175"/>
      <c r="AN14" s="177"/>
      <c r="AO14" s="177"/>
      <c r="AP14" s="175"/>
      <c r="AQ14" s="175"/>
      <c r="AR14" s="175"/>
      <c r="AS14" s="175"/>
      <c r="AT14" s="175"/>
      <c r="AU14" s="175"/>
      <c r="AV14" s="175"/>
      <c r="AW14" s="175"/>
      <c r="AX14" s="177"/>
      <c r="AY14" s="177"/>
      <c r="AZ14" s="175"/>
      <c r="BA14" s="175"/>
      <c r="BB14" s="175"/>
      <c r="BC14" s="175"/>
      <c r="BD14" s="175"/>
      <c r="BE14" s="175"/>
      <c r="BF14" s="175"/>
      <c r="BG14" s="175"/>
      <c r="BH14" s="177"/>
      <c r="BI14" s="177"/>
      <c r="BJ14" s="175"/>
      <c r="BK14" s="175"/>
      <c r="BL14" s="175"/>
      <c r="BM14" s="175"/>
      <c r="BN14" s="175"/>
      <c r="BO14" s="175"/>
      <c r="BP14" s="175"/>
      <c r="BQ14" s="175"/>
      <c r="BR14" s="177"/>
    </row>
    <row r="15" spans="1:71" ht="9.75" customHeight="1" x14ac:dyDescent="0.3">
      <c r="A15" s="169"/>
      <c r="B15" s="175"/>
      <c r="C15" s="175"/>
      <c r="D15" s="175"/>
      <c r="E15" s="175"/>
      <c r="F15" s="175"/>
      <c r="G15" s="175"/>
      <c r="H15" s="175"/>
      <c r="I15" s="175"/>
      <c r="J15" s="177"/>
      <c r="K15" s="182"/>
      <c r="L15" s="175"/>
      <c r="M15" s="175"/>
      <c r="N15" s="175"/>
      <c r="O15" s="175"/>
      <c r="P15" s="175"/>
      <c r="Q15" s="175"/>
      <c r="R15" s="175"/>
      <c r="S15" s="175"/>
      <c r="T15" s="177"/>
      <c r="U15" s="177"/>
      <c r="V15" s="175"/>
      <c r="W15" s="175"/>
      <c r="X15" s="175"/>
      <c r="Y15" s="175"/>
      <c r="Z15" s="175"/>
      <c r="AA15" s="175"/>
      <c r="AB15" s="175"/>
      <c r="AC15" s="175"/>
      <c r="AD15" s="177"/>
      <c r="AE15" s="182"/>
      <c r="AF15" s="175"/>
      <c r="AG15" s="175"/>
      <c r="AH15" s="175"/>
      <c r="AI15" s="175"/>
      <c r="AJ15" s="175"/>
      <c r="AK15" s="175"/>
      <c r="AL15" s="175"/>
      <c r="AM15" s="175"/>
      <c r="AN15" s="177"/>
      <c r="AO15" s="177"/>
      <c r="AP15" s="175"/>
      <c r="AQ15" s="175"/>
      <c r="AR15" s="175"/>
      <c r="AS15" s="175"/>
      <c r="AT15" s="175"/>
      <c r="AU15" s="175"/>
      <c r="AV15" s="175"/>
      <c r="AW15" s="175"/>
      <c r="AX15" s="177"/>
      <c r="AY15" s="177"/>
      <c r="AZ15" s="175"/>
      <c r="BA15" s="175"/>
      <c r="BB15" s="175"/>
      <c r="BC15" s="175"/>
      <c r="BD15" s="175"/>
      <c r="BE15" s="175"/>
      <c r="BF15" s="175"/>
      <c r="BG15" s="175"/>
      <c r="BH15" s="177"/>
      <c r="BI15" s="177"/>
      <c r="BJ15" s="175"/>
      <c r="BK15" s="175"/>
      <c r="BL15" s="175"/>
      <c r="BM15" s="175"/>
      <c r="BN15" s="175"/>
      <c r="BO15" s="175"/>
      <c r="BP15" s="175"/>
      <c r="BQ15" s="175"/>
      <c r="BR15" s="177"/>
    </row>
    <row r="16" spans="1:71" ht="12" customHeight="1" x14ac:dyDescent="0.3">
      <c r="B16" s="434" t="s">
        <v>299</v>
      </c>
      <c r="C16" s="434"/>
      <c r="D16" s="434"/>
      <c r="E16" s="434"/>
      <c r="F16" s="434"/>
      <c r="G16" s="433">
        <f>CEILING(1471*A3,1)</f>
        <v>2060</v>
      </c>
      <c r="H16" s="433"/>
      <c r="I16" s="433"/>
      <c r="J16" s="433"/>
      <c r="K16" s="184"/>
      <c r="L16" s="185"/>
      <c r="M16" s="186"/>
      <c r="N16" s="186"/>
      <c r="O16" s="186"/>
      <c r="P16" s="186"/>
      <c r="Q16" s="186"/>
      <c r="R16" s="186"/>
      <c r="S16" s="186"/>
      <c r="T16" s="187"/>
      <c r="U16" s="187"/>
      <c r="V16" s="186"/>
      <c r="W16" s="186"/>
      <c r="X16" s="186"/>
      <c r="Y16" s="186"/>
      <c r="Z16" s="186"/>
      <c r="AA16" s="186"/>
      <c r="AB16" s="186"/>
      <c r="AC16" s="186"/>
      <c r="AD16" s="187"/>
      <c r="AE16" s="188"/>
      <c r="AF16" s="186"/>
      <c r="AG16" s="186"/>
      <c r="AH16" s="186"/>
      <c r="AI16" s="186"/>
      <c r="AJ16" s="186"/>
      <c r="AK16" s="186"/>
      <c r="AL16" s="186"/>
      <c r="AM16" s="186"/>
      <c r="AN16" s="187"/>
      <c r="AO16" s="187"/>
      <c r="AP16" s="185"/>
      <c r="AQ16" s="186"/>
      <c r="AR16" s="186"/>
      <c r="AS16" s="186"/>
      <c r="AT16" s="186"/>
      <c r="AU16" s="186"/>
      <c r="AV16" s="186"/>
      <c r="AW16" s="186"/>
      <c r="AX16" s="187"/>
      <c r="AY16" s="187"/>
      <c r="AZ16" s="185"/>
      <c r="BA16" s="186"/>
      <c r="BB16" s="186"/>
      <c r="BC16" s="186"/>
      <c r="BD16" s="186"/>
      <c r="BE16" s="186"/>
      <c r="BF16" s="186"/>
      <c r="BG16" s="186"/>
      <c r="BH16" s="187"/>
      <c r="BI16" s="187"/>
      <c r="BJ16" s="185"/>
      <c r="BK16" s="186"/>
      <c r="BL16" s="186"/>
      <c r="BM16" s="186"/>
      <c r="BN16" s="186"/>
      <c r="BO16" s="186"/>
      <c r="BP16" s="186"/>
      <c r="BQ16" s="186"/>
      <c r="BR16" s="187"/>
    </row>
    <row r="17" spans="1:70" ht="10.95" customHeight="1" x14ac:dyDescent="0.3">
      <c r="B17" s="434" t="s">
        <v>238</v>
      </c>
      <c r="C17" s="434"/>
      <c r="D17" s="434"/>
      <c r="E17" s="434"/>
      <c r="F17" s="434"/>
      <c r="G17" s="433">
        <f>CEILING(1666*A3,1)</f>
        <v>2333</v>
      </c>
      <c r="H17" s="433"/>
      <c r="I17" s="433"/>
      <c r="J17" s="433"/>
      <c r="K17" s="189"/>
      <c r="L17" s="432" t="s">
        <v>238</v>
      </c>
      <c r="M17" s="432"/>
      <c r="N17" s="432"/>
      <c r="O17" s="432"/>
      <c r="P17" s="432"/>
      <c r="Q17" s="433">
        <f>CEILING(2418*A3,1)</f>
        <v>3386</v>
      </c>
      <c r="R17" s="433"/>
      <c r="S17" s="433"/>
      <c r="T17" s="433"/>
      <c r="U17" s="187"/>
      <c r="V17" s="191"/>
      <c r="W17" s="191"/>
      <c r="X17" s="191"/>
      <c r="Y17" s="191"/>
      <c r="Z17" s="191"/>
      <c r="AA17" s="191"/>
      <c r="AB17" s="191"/>
      <c r="AC17" s="191"/>
      <c r="AD17" s="192"/>
      <c r="AE17" s="193"/>
      <c r="AF17" s="191"/>
      <c r="AG17" s="191"/>
      <c r="AH17" s="191"/>
      <c r="AI17" s="191"/>
      <c r="AJ17" s="191"/>
      <c r="AK17" s="191"/>
      <c r="AL17" s="191"/>
      <c r="AM17" s="191"/>
      <c r="AN17" s="192"/>
      <c r="AO17" s="191"/>
      <c r="AP17" s="432" t="s">
        <v>238</v>
      </c>
      <c r="AQ17" s="432"/>
      <c r="AR17" s="432"/>
      <c r="AS17" s="432"/>
      <c r="AT17" s="432"/>
      <c r="AU17" s="433">
        <f>CEILING(2509*A3,1)</f>
        <v>3513</v>
      </c>
      <c r="AV17" s="433"/>
      <c r="AW17" s="433"/>
      <c r="AX17" s="433"/>
      <c r="AY17" s="194"/>
      <c r="AZ17" s="432" t="s">
        <v>238</v>
      </c>
      <c r="BA17" s="432"/>
      <c r="BB17" s="432"/>
      <c r="BC17" s="432"/>
      <c r="BD17" s="432"/>
      <c r="BE17" s="433">
        <f>CEILING(3362*A3,1)</f>
        <v>4707</v>
      </c>
      <c r="BF17" s="433"/>
      <c r="BG17" s="433"/>
      <c r="BH17" s="433"/>
      <c r="BI17" s="194"/>
      <c r="BJ17" s="432" t="s">
        <v>238</v>
      </c>
      <c r="BK17" s="432"/>
      <c r="BL17" s="432"/>
      <c r="BM17" s="432"/>
      <c r="BN17" s="432"/>
      <c r="BO17" s="433">
        <f>CEILING(3096*A3,1)</f>
        <v>4335</v>
      </c>
      <c r="BP17" s="433"/>
      <c r="BQ17" s="433"/>
      <c r="BR17" s="433"/>
    </row>
    <row r="18" spans="1:70" ht="10.95" customHeight="1" x14ac:dyDescent="0.3">
      <c r="B18" s="435" t="s">
        <v>239</v>
      </c>
      <c r="C18" s="436"/>
      <c r="D18" s="436"/>
      <c r="E18" s="436"/>
      <c r="F18" s="437"/>
      <c r="G18" s="438">
        <f>CEILING(1856*A3,1)</f>
        <v>2599</v>
      </c>
      <c r="H18" s="439"/>
      <c r="I18" s="439"/>
      <c r="J18" s="440"/>
      <c r="K18" s="195"/>
      <c r="L18" s="441" t="s">
        <v>239</v>
      </c>
      <c r="M18" s="442"/>
      <c r="N18" s="442"/>
      <c r="O18" s="442"/>
      <c r="P18" s="443"/>
      <c r="Q18" s="438">
        <f>CEILING(2622*A3,1)</f>
        <v>3671</v>
      </c>
      <c r="R18" s="439"/>
      <c r="S18" s="439"/>
      <c r="T18" s="440"/>
      <c r="U18" s="187"/>
      <c r="V18" s="186"/>
      <c r="W18" s="186"/>
      <c r="X18" s="186"/>
      <c r="Y18" s="186"/>
      <c r="Z18" s="186"/>
      <c r="AA18" s="186"/>
      <c r="AB18" s="186"/>
      <c r="AC18" s="186"/>
      <c r="AD18" s="187"/>
      <c r="AE18" s="188"/>
      <c r="AF18" s="186"/>
      <c r="AG18" s="186"/>
      <c r="AH18" s="186"/>
      <c r="AI18" s="186"/>
      <c r="AJ18" s="186"/>
      <c r="AK18" s="186"/>
      <c r="AL18" s="186"/>
      <c r="AM18" s="186"/>
      <c r="AN18" s="187"/>
      <c r="AO18" s="186"/>
      <c r="AP18" s="432" t="s">
        <v>239</v>
      </c>
      <c r="AQ18" s="432"/>
      <c r="AR18" s="432"/>
      <c r="AS18" s="432"/>
      <c r="AT18" s="432"/>
      <c r="AU18" s="433">
        <f>CEILING(2686*A3,1)</f>
        <v>3761</v>
      </c>
      <c r="AV18" s="433"/>
      <c r="AW18" s="433"/>
      <c r="AX18" s="433"/>
      <c r="AY18" s="194"/>
      <c r="AZ18" s="432" t="s">
        <v>239</v>
      </c>
      <c r="BA18" s="432"/>
      <c r="BB18" s="432"/>
      <c r="BC18" s="432"/>
      <c r="BD18" s="432"/>
      <c r="BE18" s="433">
        <f>CEILING(3581*A3,1)</f>
        <v>5014</v>
      </c>
      <c r="BF18" s="433"/>
      <c r="BG18" s="433"/>
      <c r="BH18" s="433"/>
      <c r="BI18" s="194"/>
      <c r="BJ18" s="432" t="s">
        <v>239</v>
      </c>
      <c r="BK18" s="432"/>
      <c r="BL18" s="432"/>
      <c r="BM18" s="432"/>
      <c r="BN18" s="432"/>
      <c r="BO18" s="433">
        <f>CEILING(3325*A3,1)</f>
        <v>4655</v>
      </c>
      <c r="BP18" s="433"/>
      <c r="BQ18" s="433"/>
      <c r="BR18" s="433"/>
    </row>
    <row r="19" spans="1:70" s="66" customFormat="1" ht="12" customHeight="1" x14ac:dyDescent="0.3">
      <c r="A19" s="196"/>
      <c r="B19" s="434" t="s">
        <v>240</v>
      </c>
      <c r="C19" s="434"/>
      <c r="D19" s="434"/>
      <c r="E19" s="434"/>
      <c r="F19" s="434"/>
      <c r="G19" s="433">
        <f>CEILING(2048*A3,1)</f>
        <v>2868</v>
      </c>
      <c r="H19" s="433"/>
      <c r="I19" s="433"/>
      <c r="J19" s="433"/>
      <c r="K19" s="183"/>
      <c r="L19" s="432" t="s">
        <v>240</v>
      </c>
      <c r="M19" s="432"/>
      <c r="N19" s="432"/>
      <c r="O19" s="432"/>
      <c r="P19" s="432"/>
      <c r="Q19" s="433">
        <f>CEILING(2827*A3,1)</f>
        <v>3958</v>
      </c>
      <c r="R19" s="433"/>
      <c r="S19" s="433"/>
      <c r="T19" s="433"/>
      <c r="U19" s="183"/>
      <c r="V19" s="432" t="s">
        <v>239</v>
      </c>
      <c r="W19" s="432"/>
      <c r="X19" s="432"/>
      <c r="Y19" s="432"/>
      <c r="Z19" s="432"/>
      <c r="AA19" s="433">
        <f>CEILING(3595*A3,1)</f>
        <v>5033</v>
      </c>
      <c r="AB19" s="433"/>
      <c r="AC19" s="433"/>
      <c r="AD19" s="433"/>
      <c r="AE19" s="183"/>
      <c r="AF19" s="432" t="s">
        <v>239</v>
      </c>
      <c r="AG19" s="432"/>
      <c r="AH19" s="432"/>
      <c r="AI19" s="432"/>
      <c r="AJ19" s="432"/>
      <c r="AK19" s="433">
        <f>CEILING(3222*A3,1)</f>
        <v>4511</v>
      </c>
      <c r="AL19" s="433"/>
      <c r="AM19" s="433"/>
      <c r="AN19" s="433"/>
      <c r="AO19" s="183"/>
      <c r="AP19" s="432" t="s">
        <v>240</v>
      </c>
      <c r="AQ19" s="432"/>
      <c r="AR19" s="432"/>
      <c r="AS19" s="432"/>
      <c r="AT19" s="432"/>
      <c r="AU19" s="433">
        <f>CEILING(2866*A3,1)</f>
        <v>4013</v>
      </c>
      <c r="AV19" s="433"/>
      <c r="AW19" s="433"/>
      <c r="AX19" s="433"/>
      <c r="AY19" s="194"/>
      <c r="AZ19" s="432" t="s">
        <v>240</v>
      </c>
      <c r="BA19" s="432"/>
      <c r="BB19" s="432"/>
      <c r="BC19" s="432"/>
      <c r="BD19" s="432"/>
      <c r="BE19" s="433">
        <f>CEILING(3797*A3,1)</f>
        <v>5316</v>
      </c>
      <c r="BF19" s="433"/>
      <c r="BG19" s="433"/>
      <c r="BH19" s="433"/>
      <c r="BI19" s="194"/>
      <c r="BJ19" s="432" t="s">
        <v>240</v>
      </c>
      <c r="BK19" s="432"/>
      <c r="BL19" s="432"/>
      <c r="BM19" s="432"/>
      <c r="BN19" s="432"/>
      <c r="BO19" s="433">
        <f>CEILING(3555*A3,1)</f>
        <v>4977</v>
      </c>
      <c r="BP19" s="433"/>
      <c r="BQ19" s="433"/>
      <c r="BR19" s="433"/>
    </row>
    <row r="20" spans="1:70" ht="1.5" customHeight="1" x14ac:dyDescent="0.3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97"/>
      <c r="Z20" s="197"/>
      <c r="AA20" s="197"/>
      <c r="AB20" s="197"/>
      <c r="AC20" s="197"/>
      <c r="AD20" s="197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97"/>
      <c r="AR20" s="197"/>
      <c r="AS20" s="197"/>
      <c r="AT20" s="197"/>
      <c r="AU20" s="197"/>
      <c r="AV20" s="197"/>
      <c r="AW20" s="197"/>
      <c r="AX20" s="197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</row>
    <row r="21" spans="1:70" ht="9" customHeight="1" x14ac:dyDescent="0.3">
      <c r="B21" s="447" t="s">
        <v>241</v>
      </c>
      <c r="C21" s="448"/>
      <c r="D21" s="449"/>
      <c r="E21" s="450" t="s">
        <v>269</v>
      </c>
      <c r="F21" s="451"/>
      <c r="G21" s="451"/>
      <c r="H21" s="451"/>
      <c r="I21" s="451"/>
      <c r="J21" s="452"/>
      <c r="K21" s="175"/>
      <c r="L21" s="429" t="s">
        <v>242</v>
      </c>
      <c r="M21" s="430"/>
      <c r="N21" s="431"/>
      <c r="O21" s="444" t="s">
        <v>269</v>
      </c>
      <c r="P21" s="445"/>
      <c r="Q21" s="445"/>
      <c r="R21" s="445"/>
      <c r="S21" s="445"/>
      <c r="T21" s="446"/>
      <c r="U21" s="175"/>
      <c r="V21" s="429" t="s">
        <v>243</v>
      </c>
      <c r="W21" s="430"/>
      <c r="X21" s="431"/>
      <c r="Y21" s="444" t="s">
        <v>269</v>
      </c>
      <c r="Z21" s="445"/>
      <c r="AA21" s="445"/>
      <c r="AB21" s="445"/>
      <c r="AC21" s="445"/>
      <c r="AD21" s="446"/>
      <c r="AE21" s="175"/>
      <c r="AF21" s="447" t="s">
        <v>244</v>
      </c>
      <c r="AG21" s="448"/>
      <c r="AH21" s="449"/>
      <c r="AI21" s="450" t="s">
        <v>269</v>
      </c>
      <c r="AJ21" s="451"/>
      <c r="AK21" s="451"/>
      <c r="AL21" s="451"/>
      <c r="AM21" s="451"/>
      <c r="AN21" s="452"/>
      <c r="AO21" s="175"/>
      <c r="AP21" s="429" t="s">
        <v>245</v>
      </c>
      <c r="AQ21" s="430"/>
      <c r="AR21" s="431"/>
      <c r="AS21" s="444" t="s">
        <v>269</v>
      </c>
      <c r="AT21" s="445"/>
      <c r="AU21" s="445"/>
      <c r="AV21" s="445"/>
      <c r="AW21" s="445"/>
      <c r="AX21" s="446"/>
      <c r="AY21" s="175"/>
      <c r="AZ21" s="429" t="s">
        <v>246</v>
      </c>
      <c r="BA21" s="430"/>
      <c r="BB21" s="431"/>
      <c r="BC21" s="444" t="s">
        <v>269</v>
      </c>
      <c r="BD21" s="445"/>
      <c r="BE21" s="445"/>
      <c r="BF21" s="445"/>
      <c r="BG21" s="445"/>
      <c r="BH21" s="446"/>
      <c r="BI21" s="175"/>
      <c r="BJ21" s="429" t="s">
        <v>247</v>
      </c>
      <c r="BK21" s="430"/>
      <c r="BL21" s="431"/>
      <c r="BM21" s="444" t="s">
        <v>269</v>
      </c>
      <c r="BN21" s="445"/>
      <c r="BO21" s="445"/>
      <c r="BP21" s="445"/>
      <c r="BQ21" s="445"/>
      <c r="BR21" s="446"/>
    </row>
    <row r="22" spans="1:70" s="34" customFormat="1" ht="9" customHeight="1" x14ac:dyDescent="0.3">
      <c r="A22" s="178"/>
      <c r="B22" s="456" t="s">
        <v>593</v>
      </c>
      <c r="C22" s="424"/>
      <c r="D22" s="424"/>
      <c r="E22" s="424"/>
      <c r="F22" s="424"/>
      <c r="G22" s="424"/>
      <c r="H22" s="424"/>
      <c r="I22" s="424"/>
      <c r="J22" s="457"/>
      <c r="K22" s="180"/>
      <c r="L22" s="423" t="s">
        <v>594</v>
      </c>
      <c r="M22" s="424"/>
      <c r="N22" s="424"/>
      <c r="O22" s="424"/>
      <c r="P22" s="424"/>
      <c r="Q22" s="424"/>
      <c r="R22" s="424"/>
      <c r="S22" s="424"/>
      <c r="T22" s="425"/>
      <c r="U22" s="200"/>
      <c r="V22" s="424" t="s">
        <v>594</v>
      </c>
      <c r="W22" s="424"/>
      <c r="X22" s="424"/>
      <c r="Y22" s="424"/>
      <c r="Z22" s="424"/>
      <c r="AA22" s="424"/>
      <c r="AB22" s="424"/>
      <c r="AC22" s="424"/>
      <c r="AD22" s="425"/>
      <c r="AE22" s="180"/>
      <c r="AF22" s="456" t="s">
        <v>594</v>
      </c>
      <c r="AG22" s="424"/>
      <c r="AH22" s="424"/>
      <c r="AI22" s="424"/>
      <c r="AJ22" s="424"/>
      <c r="AK22" s="424"/>
      <c r="AL22" s="424"/>
      <c r="AM22" s="424"/>
      <c r="AN22" s="457"/>
      <c r="AO22" s="181"/>
      <c r="AP22" s="424" t="s">
        <v>594</v>
      </c>
      <c r="AQ22" s="424"/>
      <c r="AR22" s="424"/>
      <c r="AS22" s="424"/>
      <c r="AT22" s="424"/>
      <c r="AU22" s="424"/>
      <c r="AV22" s="424"/>
      <c r="AW22" s="424"/>
      <c r="AX22" s="425"/>
      <c r="AY22" s="180"/>
      <c r="AZ22" s="424" t="s">
        <v>594</v>
      </c>
      <c r="BA22" s="424"/>
      <c r="BB22" s="424"/>
      <c r="BC22" s="424"/>
      <c r="BD22" s="424"/>
      <c r="BE22" s="424"/>
      <c r="BF22" s="424"/>
      <c r="BG22" s="424"/>
      <c r="BH22" s="425"/>
      <c r="BI22" s="200"/>
      <c r="BJ22" s="424" t="s">
        <v>631</v>
      </c>
      <c r="BK22" s="424"/>
      <c r="BL22" s="424"/>
      <c r="BM22" s="424"/>
      <c r="BN22" s="424"/>
      <c r="BO22" s="424"/>
      <c r="BP22" s="424"/>
      <c r="BQ22" s="424"/>
      <c r="BR22" s="425"/>
    </row>
    <row r="23" spans="1:70" s="34" customFormat="1" ht="9" customHeight="1" x14ac:dyDescent="0.3">
      <c r="A23" s="178"/>
      <c r="B23" s="456" t="s">
        <v>248</v>
      </c>
      <c r="C23" s="424"/>
      <c r="D23" s="424"/>
      <c r="E23" s="424"/>
      <c r="F23" s="424"/>
      <c r="G23" s="424"/>
      <c r="H23" s="424"/>
      <c r="I23" s="424"/>
      <c r="J23" s="457"/>
      <c r="K23" s="180"/>
      <c r="L23" s="423" t="s">
        <v>249</v>
      </c>
      <c r="M23" s="424"/>
      <c r="N23" s="424"/>
      <c r="O23" s="424"/>
      <c r="P23" s="424"/>
      <c r="Q23" s="424"/>
      <c r="R23" s="424"/>
      <c r="S23" s="424"/>
      <c r="T23" s="425"/>
      <c r="U23" s="200"/>
      <c r="V23" s="424" t="s">
        <v>250</v>
      </c>
      <c r="W23" s="424"/>
      <c r="X23" s="424"/>
      <c r="Y23" s="424"/>
      <c r="Z23" s="424"/>
      <c r="AA23" s="424"/>
      <c r="AB23" s="424"/>
      <c r="AC23" s="424"/>
      <c r="AD23" s="425"/>
      <c r="AE23" s="180"/>
      <c r="AF23" s="456" t="s">
        <v>251</v>
      </c>
      <c r="AG23" s="424"/>
      <c r="AH23" s="424"/>
      <c r="AI23" s="424"/>
      <c r="AJ23" s="424"/>
      <c r="AK23" s="424"/>
      <c r="AL23" s="424"/>
      <c r="AM23" s="424"/>
      <c r="AN23" s="457"/>
      <c r="AO23" s="181"/>
      <c r="AP23" s="424" t="s">
        <v>251</v>
      </c>
      <c r="AQ23" s="424"/>
      <c r="AR23" s="424"/>
      <c r="AS23" s="424"/>
      <c r="AT23" s="424"/>
      <c r="AU23" s="424"/>
      <c r="AV23" s="424"/>
      <c r="AW23" s="424"/>
      <c r="AX23" s="425"/>
      <c r="AY23" s="180"/>
      <c r="AZ23" s="424" t="s">
        <v>252</v>
      </c>
      <c r="BA23" s="424"/>
      <c r="BB23" s="424"/>
      <c r="BC23" s="424"/>
      <c r="BD23" s="424"/>
      <c r="BE23" s="424"/>
      <c r="BF23" s="424"/>
      <c r="BG23" s="424"/>
      <c r="BH23" s="425"/>
      <c r="BI23" s="200"/>
      <c r="BJ23" s="424" t="s">
        <v>253</v>
      </c>
      <c r="BK23" s="424"/>
      <c r="BL23" s="424"/>
      <c r="BM23" s="424"/>
      <c r="BN23" s="424"/>
      <c r="BO23" s="424"/>
      <c r="BP23" s="424"/>
      <c r="BQ23" s="424"/>
      <c r="BR23" s="425"/>
    </row>
    <row r="24" spans="1:70" s="34" customFormat="1" ht="9" customHeight="1" x14ac:dyDescent="0.3">
      <c r="A24" s="178"/>
      <c r="B24" s="198"/>
      <c r="C24" s="180"/>
      <c r="D24" s="180"/>
      <c r="E24" s="180"/>
      <c r="F24" s="180"/>
      <c r="G24" s="180"/>
      <c r="H24" s="180"/>
      <c r="I24" s="180"/>
      <c r="J24" s="199"/>
      <c r="K24" s="180"/>
      <c r="L24" s="179"/>
      <c r="M24" s="180"/>
      <c r="N24" s="180"/>
      <c r="O24" s="180"/>
      <c r="P24" s="180"/>
      <c r="Q24" s="180"/>
      <c r="R24" s="180"/>
      <c r="S24" s="180"/>
      <c r="T24" s="181"/>
      <c r="U24" s="200"/>
      <c r="V24" s="180"/>
      <c r="W24" s="180"/>
      <c r="X24" s="180"/>
      <c r="Y24" s="180"/>
      <c r="Z24" s="180"/>
      <c r="AA24" s="180"/>
      <c r="AB24" s="180"/>
      <c r="AC24" s="180"/>
      <c r="AD24" s="181"/>
      <c r="AE24" s="180"/>
      <c r="AF24" s="198"/>
      <c r="AG24" s="180"/>
      <c r="AH24" s="180"/>
      <c r="AI24" s="180"/>
      <c r="AJ24" s="180"/>
      <c r="AK24" s="180"/>
      <c r="AL24" s="180"/>
      <c r="AM24" s="180"/>
      <c r="AN24" s="199"/>
      <c r="AO24" s="181"/>
      <c r="AP24" s="180"/>
      <c r="AQ24" s="180"/>
      <c r="AR24" s="180"/>
      <c r="AS24" s="180"/>
      <c r="AT24" s="180"/>
      <c r="AU24" s="180"/>
      <c r="AV24" s="180"/>
      <c r="AW24" s="180"/>
      <c r="AX24" s="181"/>
      <c r="AY24" s="180"/>
      <c r="AZ24" s="180"/>
      <c r="BA24" s="180"/>
      <c r="BB24" s="180"/>
      <c r="BC24" s="180"/>
      <c r="BD24" s="180"/>
      <c r="BE24" s="180"/>
      <c r="BF24" s="180"/>
      <c r="BG24" s="180"/>
      <c r="BH24" s="181"/>
      <c r="BI24" s="200"/>
      <c r="BJ24" s="180"/>
      <c r="BK24" s="180"/>
      <c r="BL24" s="180"/>
      <c r="BM24" s="180"/>
      <c r="BN24" s="180"/>
      <c r="BO24" s="180"/>
      <c r="BP24" s="180"/>
      <c r="BQ24" s="180"/>
      <c r="BR24" s="181"/>
    </row>
    <row r="25" spans="1:70" ht="9" customHeight="1" x14ac:dyDescent="0.3">
      <c r="B25" s="201"/>
      <c r="C25" s="175"/>
      <c r="D25" s="175"/>
      <c r="E25" s="175"/>
      <c r="F25" s="175"/>
      <c r="G25" s="175"/>
      <c r="H25" s="175"/>
      <c r="I25" s="175"/>
      <c r="J25" s="202"/>
      <c r="K25" s="175"/>
      <c r="L25" s="176"/>
      <c r="M25" s="175"/>
      <c r="N25" s="175"/>
      <c r="O25" s="175"/>
      <c r="P25" s="175"/>
      <c r="Q25" s="175"/>
      <c r="R25" s="175"/>
      <c r="S25" s="175"/>
      <c r="T25" s="177"/>
      <c r="U25" s="182"/>
      <c r="V25" s="175"/>
      <c r="W25" s="175"/>
      <c r="X25" s="175"/>
      <c r="Y25" s="175"/>
      <c r="Z25" s="175"/>
      <c r="AA25" s="175"/>
      <c r="AB25" s="175"/>
      <c r="AC25" s="175"/>
      <c r="AD25" s="177"/>
      <c r="AE25" s="175"/>
      <c r="AF25" s="201"/>
      <c r="AG25" s="175"/>
      <c r="AH25" s="175"/>
      <c r="AI25" s="175"/>
      <c r="AJ25" s="175"/>
      <c r="AK25" s="175"/>
      <c r="AL25" s="175"/>
      <c r="AM25" s="175"/>
      <c r="AN25" s="202"/>
      <c r="AO25" s="177"/>
      <c r="AP25" s="175"/>
      <c r="AQ25" s="175"/>
      <c r="AR25" s="175"/>
      <c r="AS25" s="175"/>
      <c r="AT25" s="175"/>
      <c r="AU25" s="175"/>
      <c r="AV25" s="175"/>
      <c r="AW25" s="175"/>
      <c r="AX25" s="177"/>
      <c r="AY25" s="175"/>
      <c r="AZ25" s="175"/>
      <c r="BA25" s="175"/>
      <c r="BB25" s="175"/>
      <c r="BC25" s="175"/>
      <c r="BD25" s="175"/>
      <c r="BE25" s="175"/>
      <c r="BF25" s="175"/>
      <c r="BG25" s="175"/>
      <c r="BH25" s="177"/>
      <c r="BI25" s="182"/>
      <c r="BJ25" s="175"/>
      <c r="BK25" s="175"/>
      <c r="BL25" s="175"/>
      <c r="BM25" s="175"/>
      <c r="BN25" s="175"/>
      <c r="BO25" s="175"/>
      <c r="BP25" s="175"/>
      <c r="BQ25" s="175"/>
      <c r="BR25" s="177"/>
    </row>
    <row r="26" spans="1:70" ht="9" customHeight="1" x14ac:dyDescent="0.3">
      <c r="B26" s="201"/>
      <c r="C26" s="175"/>
      <c r="D26" s="175"/>
      <c r="E26" s="175"/>
      <c r="F26" s="175"/>
      <c r="G26" s="175"/>
      <c r="H26" s="175"/>
      <c r="I26" s="175"/>
      <c r="J26" s="202"/>
      <c r="K26" s="175"/>
      <c r="L26" s="176"/>
      <c r="M26" s="175"/>
      <c r="N26" s="175"/>
      <c r="O26" s="175"/>
      <c r="P26" s="175"/>
      <c r="Q26" s="175"/>
      <c r="R26" s="175"/>
      <c r="S26" s="175"/>
      <c r="T26" s="177"/>
      <c r="U26" s="182"/>
      <c r="V26" s="175"/>
      <c r="W26" s="175"/>
      <c r="X26" s="175"/>
      <c r="Y26" s="175"/>
      <c r="Z26" s="175"/>
      <c r="AA26" s="175"/>
      <c r="AB26" s="175"/>
      <c r="AC26" s="175"/>
      <c r="AD26" s="177"/>
      <c r="AE26" s="175"/>
      <c r="AF26" s="201"/>
      <c r="AG26" s="175"/>
      <c r="AH26" s="175"/>
      <c r="AI26" s="175"/>
      <c r="AJ26" s="175"/>
      <c r="AK26" s="175"/>
      <c r="AL26" s="175"/>
      <c r="AM26" s="175"/>
      <c r="AN26" s="202"/>
      <c r="AO26" s="177"/>
      <c r="AP26" s="175"/>
      <c r="AQ26" s="175"/>
      <c r="AR26" s="175"/>
      <c r="AS26" s="175"/>
      <c r="AT26" s="175"/>
      <c r="AU26" s="175"/>
      <c r="AV26" s="175"/>
      <c r="AW26" s="175"/>
      <c r="AX26" s="177"/>
      <c r="AY26" s="175"/>
      <c r="AZ26" s="175"/>
      <c r="BA26" s="175"/>
      <c r="BB26" s="175"/>
      <c r="BC26" s="175"/>
      <c r="BD26" s="175"/>
      <c r="BE26" s="175"/>
      <c r="BF26" s="175"/>
      <c r="BG26" s="175"/>
      <c r="BH26" s="177"/>
      <c r="BI26" s="182"/>
      <c r="BJ26" s="175"/>
      <c r="BK26" s="175"/>
      <c r="BL26" s="175"/>
      <c r="BM26" s="175"/>
      <c r="BN26" s="175"/>
      <c r="BO26" s="175"/>
      <c r="BP26" s="175"/>
      <c r="BQ26" s="175"/>
      <c r="BR26" s="177"/>
    </row>
    <row r="27" spans="1:70" ht="9.75" customHeight="1" x14ac:dyDescent="0.3">
      <c r="B27" s="201"/>
      <c r="C27" s="175"/>
      <c r="D27" s="175"/>
      <c r="E27" s="175"/>
      <c r="F27" s="175"/>
      <c r="G27" s="175"/>
      <c r="H27" s="175"/>
      <c r="I27" s="175"/>
      <c r="J27" s="202"/>
      <c r="K27" s="175"/>
      <c r="L27" s="176"/>
      <c r="M27" s="175"/>
      <c r="N27" s="175"/>
      <c r="O27" s="175"/>
      <c r="P27" s="175"/>
      <c r="Q27" s="175"/>
      <c r="R27" s="175"/>
      <c r="S27" s="175"/>
      <c r="T27" s="177"/>
      <c r="U27" s="182"/>
      <c r="V27" s="175"/>
      <c r="W27" s="175"/>
      <c r="X27" s="175"/>
      <c r="Y27" s="175"/>
      <c r="Z27" s="175"/>
      <c r="AA27" s="175"/>
      <c r="AB27" s="175"/>
      <c r="AC27" s="175"/>
      <c r="AD27" s="177"/>
      <c r="AE27" s="175"/>
      <c r="AF27" s="201"/>
      <c r="AG27" s="175"/>
      <c r="AH27" s="175"/>
      <c r="AI27" s="175"/>
      <c r="AJ27" s="175"/>
      <c r="AK27" s="175"/>
      <c r="AL27" s="175"/>
      <c r="AM27" s="175"/>
      <c r="AN27" s="202"/>
      <c r="AO27" s="177"/>
      <c r="AP27" s="175"/>
      <c r="AQ27" s="175"/>
      <c r="AR27" s="175"/>
      <c r="AS27" s="175"/>
      <c r="AT27" s="175"/>
      <c r="AU27" s="175"/>
      <c r="AV27" s="175"/>
      <c r="AW27" s="175"/>
      <c r="AX27" s="177"/>
      <c r="AY27" s="175"/>
      <c r="AZ27" s="175"/>
      <c r="BA27" s="175"/>
      <c r="BB27" s="175"/>
      <c r="BC27" s="175"/>
      <c r="BD27" s="175"/>
      <c r="BE27" s="175"/>
      <c r="BF27" s="175"/>
      <c r="BG27" s="175"/>
      <c r="BH27" s="177"/>
      <c r="BI27" s="182"/>
      <c r="BJ27" s="175"/>
      <c r="BK27" s="175"/>
      <c r="BL27" s="175"/>
      <c r="BM27" s="175"/>
      <c r="BN27" s="175"/>
      <c r="BO27" s="175"/>
      <c r="BP27" s="175"/>
      <c r="BQ27" s="175"/>
      <c r="BR27" s="177"/>
    </row>
    <row r="28" spans="1:70" ht="9.75" customHeight="1" x14ac:dyDescent="0.3">
      <c r="B28" s="201"/>
      <c r="C28" s="175"/>
      <c r="D28" s="175"/>
      <c r="E28" s="175"/>
      <c r="F28" s="175"/>
      <c r="G28" s="175"/>
      <c r="H28" s="175"/>
      <c r="I28" s="175"/>
      <c r="J28" s="202"/>
      <c r="K28" s="175"/>
      <c r="L28" s="176"/>
      <c r="M28" s="175"/>
      <c r="N28" s="175"/>
      <c r="O28" s="175"/>
      <c r="P28" s="175"/>
      <c r="Q28" s="175"/>
      <c r="R28" s="175"/>
      <c r="S28" s="175"/>
      <c r="T28" s="177"/>
      <c r="U28" s="182"/>
      <c r="V28" s="175"/>
      <c r="W28" s="175"/>
      <c r="X28" s="175"/>
      <c r="Y28" s="175"/>
      <c r="Z28" s="175"/>
      <c r="AA28" s="175"/>
      <c r="AB28" s="175"/>
      <c r="AC28" s="175"/>
      <c r="AD28" s="177"/>
      <c r="AE28" s="175"/>
      <c r="AF28" s="201"/>
      <c r="AG28" s="175"/>
      <c r="AH28" s="175"/>
      <c r="AI28" s="175"/>
      <c r="AJ28" s="175"/>
      <c r="AK28" s="175"/>
      <c r="AL28" s="175"/>
      <c r="AM28" s="175"/>
      <c r="AN28" s="202"/>
      <c r="AO28" s="177"/>
      <c r="AP28" s="175"/>
      <c r="AQ28" s="175"/>
      <c r="AR28" s="175"/>
      <c r="AS28" s="175"/>
      <c r="AT28" s="175"/>
      <c r="AU28" s="175"/>
      <c r="AV28" s="175"/>
      <c r="AW28" s="175"/>
      <c r="AX28" s="177"/>
      <c r="AY28" s="175"/>
      <c r="AZ28" s="175"/>
      <c r="BA28" s="175"/>
      <c r="BB28" s="175"/>
      <c r="BC28" s="175"/>
      <c r="BD28" s="175"/>
      <c r="BE28" s="175"/>
      <c r="BF28" s="175"/>
      <c r="BG28" s="175"/>
      <c r="BH28" s="177"/>
      <c r="BI28" s="182"/>
      <c r="BJ28" s="175"/>
      <c r="BK28" s="175"/>
      <c r="BL28" s="175"/>
      <c r="BM28" s="175"/>
      <c r="BN28" s="175"/>
      <c r="BO28" s="175"/>
      <c r="BP28" s="175"/>
      <c r="BQ28" s="175"/>
      <c r="BR28" s="177"/>
    </row>
    <row r="29" spans="1:70" ht="9.75" customHeight="1" x14ac:dyDescent="0.3">
      <c r="B29" s="201"/>
      <c r="C29" s="175"/>
      <c r="D29" s="175"/>
      <c r="E29" s="175"/>
      <c r="F29" s="175"/>
      <c r="G29" s="175"/>
      <c r="H29" s="175"/>
      <c r="I29" s="175"/>
      <c r="J29" s="202"/>
      <c r="K29" s="175"/>
      <c r="L29" s="176"/>
      <c r="M29" s="175"/>
      <c r="N29" s="175"/>
      <c r="O29" s="175"/>
      <c r="P29" s="175"/>
      <c r="Q29" s="175"/>
      <c r="R29" s="175"/>
      <c r="S29" s="175"/>
      <c r="T29" s="177"/>
      <c r="U29" s="182"/>
      <c r="V29" s="175"/>
      <c r="W29" s="175"/>
      <c r="X29" s="175"/>
      <c r="Y29" s="175"/>
      <c r="Z29" s="175"/>
      <c r="AA29" s="175"/>
      <c r="AB29" s="175"/>
      <c r="AC29" s="175"/>
      <c r="AD29" s="177"/>
      <c r="AE29" s="175"/>
      <c r="AF29" s="201"/>
      <c r="AG29" s="175"/>
      <c r="AH29" s="175"/>
      <c r="AI29" s="175"/>
      <c r="AJ29" s="175"/>
      <c r="AK29" s="175"/>
      <c r="AL29" s="175"/>
      <c r="AM29" s="175"/>
      <c r="AN29" s="202"/>
      <c r="AO29" s="177"/>
      <c r="AP29" s="175"/>
      <c r="AQ29" s="175"/>
      <c r="AR29" s="175"/>
      <c r="AS29" s="175"/>
      <c r="AT29" s="175"/>
      <c r="AU29" s="175"/>
      <c r="AV29" s="175"/>
      <c r="AW29" s="175"/>
      <c r="AX29" s="177"/>
      <c r="AY29" s="175"/>
      <c r="AZ29" s="175"/>
      <c r="BA29" s="175"/>
      <c r="BB29" s="175"/>
      <c r="BC29" s="175"/>
      <c r="BD29" s="175"/>
      <c r="BE29" s="175"/>
      <c r="BF29" s="175"/>
      <c r="BG29" s="175"/>
      <c r="BH29" s="177"/>
      <c r="BI29" s="182"/>
      <c r="BJ29" s="175"/>
      <c r="BK29" s="175"/>
      <c r="BL29" s="175"/>
      <c r="BM29" s="175"/>
      <c r="BN29" s="175"/>
      <c r="BO29" s="175"/>
      <c r="BP29" s="175"/>
      <c r="BQ29" s="175"/>
      <c r="BR29" s="177"/>
    </row>
    <row r="30" spans="1:70" s="41" customFormat="1" ht="9" customHeight="1" x14ac:dyDescent="0.3">
      <c r="A30" s="203"/>
      <c r="B30" s="201"/>
      <c r="C30" s="175"/>
      <c r="D30" s="175"/>
      <c r="E30" s="175"/>
      <c r="F30" s="175"/>
      <c r="G30" s="175"/>
      <c r="H30" s="175"/>
      <c r="I30" s="175"/>
      <c r="J30" s="202"/>
      <c r="K30" s="204"/>
      <c r="L30" s="205"/>
      <c r="M30" s="204"/>
      <c r="N30" s="204"/>
      <c r="O30" s="204"/>
      <c r="P30" s="204"/>
      <c r="Q30" s="204"/>
      <c r="R30" s="204"/>
      <c r="S30" s="204"/>
      <c r="T30" s="206"/>
      <c r="U30" s="207"/>
      <c r="V30" s="204"/>
      <c r="W30" s="204"/>
      <c r="X30" s="204"/>
      <c r="Y30" s="204"/>
      <c r="Z30" s="204"/>
      <c r="AA30" s="204"/>
      <c r="AB30" s="204"/>
      <c r="AC30" s="204"/>
      <c r="AD30" s="206"/>
      <c r="AE30" s="204"/>
      <c r="AF30" s="208"/>
      <c r="AG30" s="204"/>
      <c r="AH30" s="204"/>
      <c r="AI30" s="204"/>
      <c r="AJ30" s="204"/>
      <c r="AK30" s="204"/>
      <c r="AL30" s="204"/>
      <c r="AM30" s="204"/>
      <c r="AN30" s="209"/>
      <c r="AO30" s="206"/>
      <c r="AP30" s="204"/>
      <c r="AQ30" s="204"/>
      <c r="AR30" s="204"/>
      <c r="AS30" s="204"/>
      <c r="AT30" s="204"/>
      <c r="AU30" s="204"/>
      <c r="AV30" s="204"/>
      <c r="AW30" s="204"/>
      <c r="AX30" s="206"/>
      <c r="AY30" s="204"/>
      <c r="AZ30" s="204"/>
      <c r="BA30" s="204"/>
      <c r="BB30" s="204"/>
      <c r="BC30" s="204"/>
      <c r="BD30" s="204"/>
      <c r="BE30" s="204"/>
      <c r="BF30" s="204"/>
      <c r="BG30" s="204"/>
      <c r="BH30" s="206"/>
      <c r="BI30" s="207"/>
      <c r="BJ30" s="175"/>
      <c r="BK30" s="175"/>
      <c r="BL30" s="175"/>
      <c r="BM30" s="175"/>
      <c r="BN30" s="175"/>
      <c r="BO30" s="175"/>
      <c r="BP30" s="175"/>
      <c r="BQ30" s="175"/>
      <c r="BR30" s="177"/>
    </row>
    <row r="31" spans="1:70" s="41" customFormat="1" ht="9" customHeight="1" x14ac:dyDescent="0.3">
      <c r="A31" s="203"/>
      <c r="B31" s="201"/>
      <c r="C31" s="175"/>
      <c r="D31" s="175"/>
      <c r="E31" s="175"/>
      <c r="F31" s="175"/>
      <c r="G31" s="175"/>
      <c r="H31" s="175"/>
      <c r="I31" s="175"/>
      <c r="J31" s="202"/>
      <c r="K31" s="204"/>
      <c r="L31" s="205"/>
      <c r="M31" s="204"/>
      <c r="N31" s="204"/>
      <c r="O31" s="204"/>
      <c r="P31" s="204"/>
      <c r="Q31" s="204"/>
      <c r="R31" s="204"/>
      <c r="S31" s="204"/>
      <c r="T31" s="206"/>
      <c r="U31" s="207"/>
      <c r="V31" s="204"/>
      <c r="W31" s="204"/>
      <c r="X31" s="204"/>
      <c r="Y31" s="204"/>
      <c r="Z31" s="204"/>
      <c r="AA31" s="204"/>
      <c r="AB31" s="204"/>
      <c r="AC31" s="204"/>
      <c r="AD31" s="206"/>
      <c r="AE31" s="204"/>
      <c r="AF31" s="208"/>
      <c r="AG31" s="204"/>
      <c r="AH31" s="204"/>
      <c r="AI31" s="204"/>
      <c r="AJ31" s="204"/>
      <c r="AK31" s="204"/>
      <c r="AL31" s="204"/>
      <c r="AM31" s="204"/>
      <c r="AN31" s="209"/>
      <c r="AO31" s="206"/>
      <c r="AP31" s="204"/>
      <c r="AQ31" s="204"/>
      <c r="AR31" s="204"/>
      <c r="AS31" s="204"/>
      <c r="AT31" s="204"/>
      <c r="AU31" s="204"/>
      <c r="AV31" s="204"/>
      <c r="AW31" s="204"/>
      <c r="AX31" s="206"/>
      <c r="AY31" s="204"/>
      <c r="AZ31" s="204"/>
      <c r="BA31" s="204"/>
      <c r="BB31" s="204"/>
      <c r="BC31" s="204"/>
      <c r="BD31" s="204"/>
      <c r="BE31" s="204"/>
      <c r="BF31" s="204"/>
      <c r="BG31" s="204"/>
      <c r="BH31" s="206"/>
      <c r="BI31" s="207"/>
      <c r="BJ31" s="175"/>
      <c r="BK31" s="175"/>
      <c r="BL31" s="175"/>
      <c r="BM31" s="175"/>
      <c r="BN31" s="175"/>
      <c r="BO31" s="175"/>
      <c r="BP31" s="175"/>
      <c r="BQ31" s="175"/>
      <c r="BR31" s="177"/>
    </row>
    <row r="32" spans="1:70" s="41" customFormat="1" ht="10.050000000000001" customHeight="1" x14ac:dyDescent="0.3">
      <c r="A32" s="203"/>
      <c r="B32" s="432" t="s">
        <v>238</v>
      </c>
      <c r="C32" s="432"/>
      <c r="D32" s="432"/>
      <c r="E32" s="432"/>
      <c r="F32" s="432"/>
      <c r="G32" s="433">
        <f>CEILING(3439*A3,1)</f>
        <v>4815</v>
      </c>
      <c r="H32" s="433"/>
      <c r="I32" s="433"/>
      <c r="J32" s="433"/>
      <c r="K32" s="210"/>
      <c r="L32" s="211"/>
      <c r="M32" s="210"/>
      <c r="N32" s="210"/>
      <c r="O32" s="210"/>
      <c r="P32" s="210"/>
      <c r="Q32" s="453"/>
      <c r="R32" s="453"/>
      <c r="S32" s="453"/>
      <c r="T32" s="454"/>
      <c r="U32" s="212"/>
      <c r="V32" s="210"/>
      <c r="W32" s="210"/>
      <c r="X32" s="210"/>
      <c r="Y32" s="210"/>
      <c r="Z32" s="210"/>
      <c r="AA32" s="210"/>
      <c r="AB32" s="210"/>
      <c r="AC32" s="210"/>
      <c r="AD32" s="213"/>
      <c r="AE32" s="210"/>
      <c r="AF32" s="214"/>
      <c r="AG32" s="210"/>
      <c r="AH32" s="210"/>
      <c r="AI32" s="210"/>
      <c r="AJ32" s="210"/>
      <c r="AK32" s="453"/>
      <c r="AL32" s="453"/>
      <c r="AM32" s="453"/>
      <c r="AN32" s="455"/>
      <c r="AO32" s="213"/>
      <c r="AP32" s="210"/>
      <c r="AQ32" s="210"/>
      <c r="AR32" s="210"/>
      <c r="AS32" s="210"/>
      <c r="AT32" s="210"/>
      <c r="AU32" s="210"/>
      <c r="AV32" s="210"/>
      <c r="AW32" s="210"/>
      <c r="AX32" s="213"/>
      <c r="AY32" s="210"/>
      <c r="AZ32" s="210"/>
      <c r="BA32" s="210"/>
      <c r="BB32" s="210"/>
      <c r="BC32" s="210"/>
      <c r="BD32" s="210"/>
      <c r="BE32" s="210"/>
      <c r="BF32" s="210"/>
      <c r="BG32" s="210"/>
      <c r="BH32" s="213"/>
      <c r="BI32" s="210"/>
      <c r="BJ32" s="432" t="s">
        <v>238</v>
      </c>
      <c r="BK32" s="432"/>
      <c r="BL32" s="432"/>
      <c r="BM32" s="432"/>
      <c r="BN32" s="432"/>
      <c r="BO32" s="433">
        <f>CEILING(3428*A3,1)</f>
        <v>4800</v>
      </c>
      <c r="BP32" s="433"/>
      <c r="BQ32" s="433"/>
      <c r="BR32" s="433"/>
    </row>
    <row r="33" spans="1:70" s="69" customFormat="1" ht="12" customHeight="1" x14ac:dyDescent="0.3">
      <c r="A33" s="215"/>
      <c r="B33" s="432" t="s">
        <v>239</v>
      </c>
      <c r="C33" s="432"/>
      <c r="D33" s="432"/>
      <c r="E33" s="432"/>
      <c r="F33" s="432"/>
      <c r="G33" s="433">
        <f>CEILING(3682*A3,1)</f>
        <v>5155</v>
      </c>
      <c r="H33" s="433"/>
      <c r="I33" s="433"/>
      <c r="J33" s="433"/>
      <c r="K33" s="190"/>
      <c r="L33" s="432" t="s">
        <v>254</v>
      </c>
      <c r="M33" s="432"/>
      <c r="N33" s="432"/>
      <c r="O33" s="432"/>
      <c r="P33" s="432"/>
      <c r="Q33" s="433">
        <f>CEILING(5241*A3,1)</f>
        <v>7338</v>
      </c>
      <c r="R33" s="433"/>
      <c r="S33" s="433"/>
      <c r="T33" s="433"/>
      <c r="U33" s="190"/>
      <c r="V33" s="432" t="s">
        <v>254</v>
      </c>
      <c r="W33" s="432"/>
      <c r="X33" s="432"/>
      <c r="Y33" s="432"/>
      <c r="Z33" s="432"/>
      <c r="AA33" s="433">
        <f>CEILING(4767*A3,1)</f>
        <v>6674</v>
      </c>
      <c r="AB33" s="433"/>
      <c r="AC33" s="433"/>
      <c r="AD33" s="433"/>
      <c r="AE33" s="190"/>
      <c r="AF33" s="432" t="s">
        <v>254</v>
      </c>
      <c r="AG33" s="432"/>
      <c r="AH33" s="432"/>
      <c r="AI33" s="432"/>
      <c r="AJ33" s="432"/>
      <c r="AK33" s="433">
        <f>CEILING(4538*A3,1)</f>
        <v>6354</v>
      </c>
      <c r="AL33" s="433"/>
      <c r="AM33" s="433"/>
      <c r="AN33" s="433"/>
      <c r="AO33" s="190"/>
      <c r="AP33" s="432" t="s">
        <v>254</v>
      </c>
      <c r="AQ33" s="432"/>
      <c r="AR33" s="432"/>
      <c r="AS33" s="432"/>
      <c r="AT33" s="432"/>
      <c r="AU33" s="433">
        <f>CEILING(5204*A3,1)</f>
        <v>7286</v>
      </c>
      <c r="AV33" s="433"/>
      <c r="AW33" s="433"/>
      <c r="AX33" s="433"/>
      <c r="AY33" s="190"/>
      <c r="AZ33" s="432" t="s">
        <v>254</v>
      </c>
      <c r="BA33" s="432"/>
      <c r="BB33" s="432"/>
      <c r="BC33" s="432"/>
      <c r="BD33" s="432"/>
      <c r="BE33" s="433">
        <f>CEILING(4806*A3,1)</f>
        <v>6729</v>
      </c>
      <c r="BF33" s="433"/>
      <c r="BG33" s="433"/>
      <c r="BH33" s="433"/>
      <c r="BI33" s="190"/>
      <c r="BJ33" s="432" t="s">
        <v>239</v>
      </c>
      <c r="BK33" s="432"/>
      <c r="BL33" s="432"/>
      <c r="BM33" s="432"/>
      <c r="BN33" s="432"/>
      <c r="BO33" s="433">
        <f>CEILING(3656*A3,1)</f>
        <v>5119</v>
      </c>
      <c r="BP33" s="433"/>
      <c r="BQ33" s="433"/>
      <c r="BR33" s="433"/>
    </row>
    <row r="34" spans="1:70" s="69" customFormat="1" ht="10.050000000000001" customHeight="1" x14ac:dyDescent="0.3">
      <c r="A34" s="215"/>
      <c r="B34" s="432" t="s">
        <v>240</v>
      </c>
      <c r="C34" s="432"/>
      <c r="D34" s="432"/>
      <c r="E34" s="432"/>
      <c r="F34" s="432"/>
      <c r="G34" s="433">
        <f>CEILING(3926*A3,1)</f>
        <v>5497</v>
      </c>
      <c r="H34" s="433"/>
      <c r="I34" s="433"/>
      <c r="J34" s="433"/>
      <c r="K34" s="190"/>
      <c r="L34" s="432" t="s">
        <v>255</v>
      </c>
      <c r="M34" s="432"/>
      <c r="N34" s="432"/>
      <c r="O34" s="432"/>
      <c r="P34" s="432"/>
      <c r="Q34" s="433">
        <f>CEILING(5497*A3,1)</f>
        <v>7696</v>
      </c>
      <c r="R34" s="433"/>
      <c r="S34" s="433"/>
      <c r="T34" s="433"/>
      <c r="U34" s="190"/>
      <c r="V34" s="432" t="s">
        <v>255</v>
      </c>
      <c r="W34" s="432"/>
      <c r="X34" s="432"/>
      <c r="Y34" s="432"/>
      <c r="Z34" s="432"/>
      <c r="AA34" s="433">
        <f>CEILING(4838*A3,1)</f>
        <v>6774</v>
      </c>
      <c r="AB34" s="433"/>
      <c r="AC34" s="433"/>
      <c r="AD34" s="433"/>
      <c r="AE34" s="190"/>
      <c r="AF34" s="432" t="s">
        <v>255</v>
      </c>
      <c r="AG34" s="432"/>
      <c r="AH34" s="432"/>
      <c r="AI34" s="432"/>
      <c r="AJ34" s="432"/>
      <c r="AK34" s="433">
        <f>CEILING(4755*A3,1)</f>
        <v>6657</v>
      </c>
      <c r="AL34" s="433"/>
      <c r="AM34" s="433"/>
      <c r="AN34" s="433"/>
      <c r="AO34" s="190"/>
      <c r="AP34" s="432" t="s">
        <v>255</v>
      </c>
      <c r="AQ34" s="432"/>
      <c r="AR34" s="432"/>
      <c r="AS34" s="432"/>
      <c r="AT34" s="432"/>
      <c r="AU34" s="433">
        <f>CEILING(5420*A3,1)</f>
        <v>7588</v>
      </c>
      <c r="AV34" s="433"/>
      <c r="AW34" s="433"/>
      <c r="AX34" s="433"/>
      <c r="AY34" s="190"/>
      <c r="AZ34" s="432" t="s">
        <v>255</v>
      </c>
      <c r="BA34" s="432"/>
      <c r="BB34" s="432"/>
      <c r="BC34" s="432"/>
      <c r="BD34" s="432"/>
      <c r="BE34" s="433">
        <f>CEILING(4984*A3,1)</f>
        <v>6978</v>
      </c>
      <c r="BF34" s="433"/>
      <c r="BG34" s="433"/>
      <c r="BH34" s="433"/>
      <c r="BI34" s="190"/>
      <c r="BJ34" s="432" t="s">
        <v>240</v>
      </c>
      <c r="BK34" s="432"/>
      <c r="BL34" s="432"/>
      <c r="BM34" s="432"/>
      <c r="BN34" s="432"/>
      <c r="BO34" s="433">
        <f>CEILING(3874*A3,1)</f>
        <v>5424</v>
      </c>
      <c r="BP34" s="433"/>
      <c r="BQ34" s="433"/>
      <c r="BR34" s="433"/>
    </row>
    <row r="35" spans="1:70" ht="1.5" customHeight="1" x14ac:dyDescent="0.3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216"/>
    </row>
    <row r="36" spans="1:70" s="41" customFormat="1" ht="9" customHeight="1" x14ac:dyDescent="0.3">
      <c r="A36" s="203"/>
      <c r="B36" s="429" t="s">
        <v>256</v>
      </c>
      <c r="C36" s="430"/>
      <c r="D36" s="431"/>
      <c r="E36" s="444" t="s">
        <v>269</v>
      </c>
      <c r="F36" s="445"/>
      <c r="G36" s="445"/>
      <c r="H36" s="445"/>
      <c r="I36" s="445"/>
      <c r="J36" s="446"/>
      <c r="K36" s="204"/>
      <c r="L36" s="429" t="s">
        <v>257</v>
      </c>
      <c r="M36" s="430"/>
      <c r="N36" s="431"/>
      <c r="O36" s="444" t="s">
        <v>269</v>
      </c>
      <c r="P36" s="445"/>
      <c r="Q36" s="445"/>
      <c r="R36" s="445"/>
      <c r="S36" s="445"/>
      <c r="T36" s="446"/>
      <c r="U36" s="204"/>
      <c r="V36" s="429" t="s">
        <v>258</v>
      </c>
      <c r="W36" s="430"/>
      <c r="X36" s="431"/>
      <c r="Y36" s="444" t="s">
        <v>269</v>
      </c>
      <c r="Z36" s="445"/>
      <c r="AA36" s="445"/>
      <c r="AB36" s="445"/>
      <c r="AC36" s="445"/>
      <c r="AD36" s="446"/>
      <c r="AE36" s="204"/>
      <c r="AF36" s="429" t="s">
        <v>259</v>
      </c>
      <c r="AG36" s="430"/>
      <c r="AH36" s="431"/>
      <c r="AI36" s="444" t="s">
        <v>269</v>
      </c>
      <c r="AJ36" s="445"/>
      <c r="AK36" s="445"/>
      <c r="AL36" s="445"/>
      <c r="AM36" s="445"/>
      <c r="AN36" s="446"/>
      <c r="AO36" s="204"/>
      <c r="AP36" s="447" t="s">
        <v>260</v>
      </c>
      <c r="AQ36" s="448"/>
      <c r="AR36" s="449"/>
      <c r="AS36" s="450" t="s">
        <v>269</v>
      </c>
      <c r="AT36" s="451"/>
      <c r="AU36" s="451"/>
      <c r="AV36" s="451"/>
      <c r="AW36" s="451"/>
      <c r="AX36" s="452"/>
      <c r="AY36" s="206"/>
      <c r="AZ36" s="429" t="s">
        <v>261</v>
      </c>
      <c r="BA36" s="430"/>
      <c r="BB36" s="431"/>
      <c r="BC36" s="444" t="s">
        <v>269</v>
      </c>
      <c r="BD36" s="445"/>
      <c r="BE36" s="445"/>
      <c r="BF36" s="445"/>
      <c r="BG36" s="445"/>
      <c r="BH36" s="446"/>
      <c r="BI36" s="204"/>
      <c r="BJ36" s="429" t="s">
        <v>262</v>
      </c>
      <c r="BK36" s="430"/>
      <c r="BL36" s="431"/>
      <c r="BM36" s="444" t="s">
        <v>269</v>
      </c>
      <c r="BN36" s="445"/>
      <c r="BO36" s="445"/>
      <c r="BP36" s="445"/>
      <c r="BQ36" s="445"/>
      <c r="BR36" s="446"/>
    </row>
    <row r="37" spans="1:70" s="34" customFormat="1" ht="9" customHeight="1" x14ac:dyDescent="0.3">
      <c r="A37" s="178"/>
      <c r="B37" s="423" t="s">
        <v>631</v>
      </c>
      <c r="C37" s="424"/>
      <c r="D37" s="424"/>
      <c r="E37" s="424"/>
      <c r="F37" s="424"/>
      <c r="G37" s="424"/>
      <c r="H37" s="424"/>
      <c r="I37" s="424"/>
      <c r="J37" s="425"/>
      <c r="K37" s="180"/>
      <c r="L37" s="423" t="s">
        <v>631</v>
      </c>
      <c r="M37" s="424"/>
      <c r="N37" s="424"/>
      <c r="O37" s="424"/>
      <c r="P37" s="424"/>
      <c r="Q37" s="424"/>
      <c r="R37" s="424"/>
      <c r="S37" s="424"/>
      <c r="T37" s="425"/>
      <c r="U37" s="180"/>
      <c r="V37" s="423" t="s">
        <v>631</v>
      </c>
      <c r="W37" s="424"/>
      <c r="X37" s="424"/>
      <c r="Y37" s="424"/>
      <c r="Z37" s="424"/>
      <c r="AA37" s="424"/>
      <c r="AB37" s="424"/>
      <c r="AC37" s="424"/>
      <c r="AD37" s="425"/>
      <c r="AE37" s="180"/>
      <c r="AF37" s="423" t="s">
        <v>631</v>
      </c>
      <c r="AG37" s="424"/>
      <c r="AH37" s="424"/>
      <c r="AI37" s="424"/>
      <c r="AJ37" s="424"/>
      <c r="AK37" s="424"/>
      <c r="AL37" s="424"/>
      <c r="AM37" s="424"/>
      <c r="AN37" s="425"/>
      <c r="AO37" s="180"/>
      <c r="AP37" s="456" t="s">
        <v>631</v>
      </c>
      <c r="AQ37" s="424"/>
      <c r="AR37" s="424"/>
      <c r="AS37" s="424"/>
      <c r="AT37" s="424"/>
      <c r="AU37" s="424"/>
      <c r="AV37" s="424"/>
      <c r="AW37" s="424"/>
      <c r="AX37" s="457"/>
      <c r="AY37" s="181"/>
      <c r="AZ37" s="423" t="s">
        <v>631</v>
      </c>
      <c r="BA37" s="424"/>
      <c r="BB37" s="424"/>
      <c r="BC37" s="424"/>
      <c r="BD37" s="424"/>
      <c r="BE37" s="424"/>
      <c r="BF37" s="424"/>
      <c r="BG37" s="424"/>
      <c r="BH37" s="425"/>
      <c r="BI37" s="180"/>
      <c r="BJ37" s="423" t="s">
        <v>632</v>
      </c>
      <c r="BK37" s="424"/>
      <c r="BL37" s="424"/>
      <c r="BM37" s="424"/>
      <c r="BN37" s="424"/>
      <c r="BO37" s="424"/>
      <c r="BP37" s="424"/>
      <c r="BQ37" s="424"/>
      <c r="BR37" s="425"/>
    </row>
    <row r="38" spans="1:70" s="34" customFormat="1" ht="9" customHeight="1" x14ac:dyDescent="0.3">
      <c r="A38" s="178"/>
      <c r="B38" s="423" t="s">
        <v>263</v>
      </c>
      <c r="C38" s="424"/>
      <c r="D38" s="424"/>
      <c r="E38" s="424"/>
      <c r="F38" s="424"/>
      <c r="G38" s="424"/>
      <c r="H38" s="424"/>
      <c r="I38" s="424"/>
      <c r="J38" s="425"/>
      <c r="K38" s="180"/>
      <c r="L38" s="423" t="s">
        <v>264</v>
      </c>
      <c r="M38" s="424"/>
      <c r="N38" s="424"/>
      <c r="O38" s="424"/>
      <c r="P38" s="424"/>
      <c r="Q38" s="424"/>
      <c r="R38" s="424"/>
      <c r="S38" s="424"/>
      <c r="T38" s="425"/>
      <c r="U38" s="180"/>
      <c r="V38" s="423" t="s">
        <v>265</v>
      </c>
      <c r="W38" s="424"/>
      <c r="X38" s="424"/>
      <c r="Y38" s="424"/>
      <c r="Z38" s="424"/>
      <c r="AA38" s="424"/>
      <c r="AB38" s="424"/>
      <c r="AC38" s="424"/>
      <c r="AD38" s="425"/>
      <c r="AE38" s="180"/>
      <c r="AF38" s="423" t="s">
        <v>266</v>
      </c>
      <c r="AG38" s="424"/>
      <c r="AH38" s="424"/>
      <c r="AI38" s="424"/>
      <c r="AJ38" s="424"/>
      <c r="AK38" s="424"/>
      <c r="AL38" s="424"/>
      <c r="AM38" s="424"/>
      <c r="AN38" s="425"/>
      <c r="AO38" s="180"/>
      <c r="AP38" s="456" t="s">
        <v>823</v>
      </c>
      <c r="AQ38" s="424"/>
      <c r="AR38" s="424"/>
      <c r="AS38" s="424"/>
      <c r="AT38" s="424"/>
      <c r="AU38" s="424"/>
      <c r="AV38" s="424"/>
      <c r="AW38" s="424"/>
      <c r="AX38" s="457"/>
      <c r="AY38" s="181"/>
      <c r="AZ38" s="424" t="s">
        <v>267</v>
      </c>
      <c r="BA38" s="424"/>
      <c r="BB38" s="424"/>
      <c r="BC38" s="424"/>
      <c r="BD38" s="424"/>
      <c r="BE38" s="424"/>
      <c r="BF38" s="424"/>
      <c r="BG38" s="424"/>
      <c r="BH38" s="425"/>
      <c r="BI38" s="180"/>
      <c r="BJ38" s="423" t="s">
        <v>264</v>
      </c>
      <c r="BK38" s="424"/>
      <c r="BL38" s="424"/>
      <c r="BM38" s="424"/>
      <c r="BN38" s="424"/>
      <c r="BO38" s="424"/>
      <c r="BP38" s="424"/>
      <c r="BQ38" s="424"/>
      <c r="BR38" s="425"/>
    </row>
    <row r="39" spans="1:70" s="34" customFormat="1" ht="9" customHeight="1" x14ac:dyDescent="0.3">
      <c r="A39" s="178"/>
      <c r="B39" s="179"/>
      <c r="C39" s="180"/>
      <c r="D39" s="180"/>
      <c r="E39" s="180"/>
      <c r="F39" s="180"/>
      <c r="G39" s="180"/>
      <c r="H39" s="180"/>
      <c r="I39" s="180"/>
      <c r="J39" s="181"/>
      <c r="K39" s="180"/>
      <c r="L39" s="179"/>
      <c r="M39" s="180"/>
      <c r="N39" s="180"/>
      <c r="O39" s="180"/>
      <c r="P39" s="180"/>
      <c r="Q39" s="180"/>
      <c r="R39" s="180"/>
      <c r="S39" s="180"/>
      <c r="T39" s="181"/>
      <c r="U39" s="180"/>
      <c r="V39" s="179"/>
      <c r="W39" s="180"/>
      <c r="X39" s="180"/>
      <c r="Y39" s="180"/>
      <c r="Z39" s="180"/>
      <c r="AA39" s="180"/>
      <c r="AB39" s="180"/>
      <c r="AC39" s="180"/>
      <c r="AD39" s="181"/>
      <c r="AE39" s="180"/>
      <c r="AF39" s="179"/>
      <c r="AG39" s="180"/>
      <c r="AH39" s="180"/>
      <c r="AI39" s="180"/>
      <c r="AJ39" s="180"/>
      <c r="AK39" s="180"/>
      <c r="AL39" s="180"/>
      <c r="AM39" s="180"/>
      <c r="AN39" s="181"/>
      <c r="AO39" s="180"/>
      <c r="AP39" s="198"/>
      <c r="AQ39" s="180"/>
      <c r="AR39" s="180"/>
      <c r="AS39" s="180"/>
      <c r="AT39" s="180"/>
      <c r="AU39" s="180"/>
      <c r="AV39" s="180"/>
      <c r="AW39" s="180"/>
      <c r="AX39" s="199"/>
      <c r="AY39" s="181"/>
      <c r="AZ39" s="180"/>
      <c r="BA39" s="180"/>
      <c r="BB39" s="180"/>
      <c r="BC39" s="180"/>
      <c r="BD39" s="180"/>
      <c r="BE39" s="180"/>
      <c r="BF39" s="180"/>
      <c r="BG39" s="180"/>
      <c r="BH39" s="181"/>
      <c r="BI39" s="180"/>
      <c r="BJ39" s="179"/>
      <c r="BK39" s="180"/>
      <c r="BL39" s="180"/>
      <c r="BM39" s="180"/>
      <c r="BN39" s="180"/>
      <c r="BO39" s="180"/>
      <c r="BP39" s="180"/>
      <c r="BQ39" s="180"/>
      <c r="BR39" s="181"/>
    </row>
    <row r="40" spans="1:70" ht="9" customHeight="1" x14ac:dyDescent="0.3">
      <c r="B40" s="176"/>
      <c r="C40" s="175"/>
      <c r="D40" s="175"/>
      <c r="E40" s="175"/>
      <c r="F40" s="175"/>
      <c r="G40" s="175"/>
      <c r="H40" s="175"/>
      <c r="I40" s="175"/>
      <c r="J40" s="177"/>
      <c r="K40" s="175"/>
      <c r="L40" s="176"/>
      <c r="M40" s="175"/>
      <c r="N40" s="175"/>
      <c r="O40" s="175"/>
      <c r="P40" s="175"/>
      <c r="Q40" s="175"/>
      <c r="R40" s="175"/>
      <c r="S40" s="175"/>
      <c r="T40" s="177"/>
      <c r="U40" s="175"/>
      <c r="V40" s="176"/>
      <c r="W40" s="175"/>
      <c r="X40" s="175"/>
      <c r="Y40" s="175"/>
      <c r="Z40" s="175"/>
      <c r="AA40" s="175"/>
      <c r="AB40" s="175"/>
      <c r="AC40" s="175"/>
      <c r="AD40" s="177"/>
      <c r="AE40" s="175"/>
      <c r="AF40" s="176"/>
      <c r="AG40" s="175"/>
      <c r="AH40" s="175"/>
      <c r="AI40" s="175"/>
      <c r="AJ40" s="175"/>
      <c r="AK40" s="175"/>
      <c r="AL40" s="175"/>
      <c r="AM40" s="175"/>
      <c r="AN40" s="177"/>
      <c r="AO40" s="175"/>
      <c r="AP40" s="201"/>
      <c r="AQ40" s="175"/>
      <c r="AR40" s="175"/>
      <c r="AS40" s="175"/>
      <c r="AT40" s="175"/>
      <c r="AU40" s="175"/>
      <c r="AV40" s="175"/>
      <c r="AW40" s="175"/>
      <c r="AX40" s="202"/>
      <c r="AY40" s="177"/>
      <c r="AZ40" s="175"/>
      <c r="BA40" s="175"/>
      <c r="BB40" s="175"/>
      <c r="BC40" s="175"/>
      <c r="BD40" s="175"/>
      <c r="BE40" s="175"/>
      <c r="BF40" s="175"/>
      <c r="BG40" s="175"/>
      <c r="BH40" s="177"/>
      <c r="BI40" s="175"/>
      <c r="BJ40" s="176"/>
      <c r="BK40" s="175"/>
      <c r="BL40" s="175"/>
      <c r="BM40" s="175"/>
      <c r="BN40" s="175"/>
      <c r="BO40" s="175"/>
      <c r="BP40" s="175"/>
      <c r="BQ40" s="175"/>
      <c r="BR40" s="177"/>
    </row>
    <row r="41" spans="1:70" ht="9" customHeight="1" x14ac:dyDescent="0.3">
      <c r="B41" s="176"/>
      <c r="C41" s="175"/>
      <c r="D41" s="175"/>
      <c r="E41" s="175"/>
      <c r="F41" s="175"/>
      <c r="G41" s="175"/>
      <c r="H41" s="175"/>
      <c r="I41" s="175"/>
      <c r="J41" s="177"/>
      <c r="K41" s="175"/>
      <c r="L41" s="176"/>
      <c r="M41" s="175"/>
      <c r="N41" s="175"/>
      <c r="O41" s="175"/>
      <c r="P41" s="175"/>
      <c r="Q41" s="175"/>
      <c r="R41" s="175"/>
      <c r="S41" s="175"/>
      <c r="T41" s="177"/>
      <c r="U41" s="175"/>
      <c r="V41" s="176"/>
      <c r="W41" s="175"/>
      <c r="X41" s="175"/>
      <c r="Y41" s="175"/>
      <c r="Z41" s="175"/>
      <c r="AA41" s="175"/>
      <c r="AB41" s="175"/>
      <c r="AC41" s="175"/>
      <c r="AD41" s="177"/>
      <c r="AE41" s="175"/>
      <c r="AF41" s="176"/>
      <c r="AG41" s="175"/>
      <c r="AH41" s="175"/>
      <c r="AI41" s="175"/>
      <c r="AJ41" s="175"/>
      <c r="AK41" s="175"/>
      <c r="AL41" s="175"/>
      <c r="AM41" s="175"/>
      <c r="AN41" s="177"/>
      <c r="AO41" s="175"/>
      <c r="AP41" s="201"/>
      <c r="AQ41" s="175"/>
      <c r="AR41" s="175"/>
      <c r="AS41" s="175"/>
      <c r="AT41" s="175"/>
      <c r="AU41" s="175"/>
      <c r="AV41" s="175"/>
      <c r="AW41" s="175"/>
      <c r="AX41" s="202"/>
      <c r="AY41" s="177"/>
      <c r="AZ41" s="175"/>
      <c r="BA41" s="175"/>
      <c r="BB41" s="175"/>
      <c r="BC41" s="175"/>
      <c r="BD41" s="175"/>
      <c r="BE41" s="175"/>
      <c r="BF41" s="175"/>
      <c r="BG41" s="175"/>
      <c r="BH41" s="177"/>
      <c r="BI41" s="175"/>
      <c r="BJ41" s="176"/>
      <c r="BK41" s="175"/>
      <c r="BL41" s="175"/>
      <c r="BM41" s="175"/>
      <c r="BN41" s="175"/>
      <c r="BO41" s="175"/>
      <c r="BP41" s="175"/>
      <c r="BQ41" s="175"/>
      <c r="BR41" s="177"/>
    </row>
    <row r="42" spans="1:70" ht="9.75" customHeight="1" x14ac:dyDescent="0.3">
      <c r="B42" s="176"/>
      <c r="C42" s="175"/>
      <c r="D42" s="175"/>
      <c r="E42" s="175"/>
      <c r="F42" s="175"/>
      <c r="G42" s="175"/>
      <c r="H42" s="175"/>
      <c r="I42" s="175"/>
      <c r="J42" s="177"/>
      <c r="K42" s="175"/>
      <c r="L42" s="176"/>
      <c r="M42" s="175"/>
      <c r="N42" s="175"/>
      <c r="O42" s="175"/>
      <c r="P42" s="175"/>
      <c r="Q42" s="175"/>
      <c r="R42" s="175"/>
      <c r="S42" s="175"/>
      <c r="T42" s="177"/>
      <c r="U42" s="175"/>
      <c r="V42" s="176"/>
      <c r="W42" s="175"/>
      <c r="X42" s="175"/>
      <c r="Y42" s="175"/>
      <c r="Z42" s="175"/>
      <c r="AA42" s="175"/>
      <c r="AB42" s="175"/>
      <c r="AC42" s="175"/>
      <c r="AD42" s="177"/>
      <c r="AE42" s="175"/>
      <c r="AF42" s="176"/>
      <c r="AG42" s="175"/>
      <c r="AH42" s="175"/>
      <c r="AI42" s="175"/>
      <c r="AJ42" s="175"/>
      <c r="AK42" s="175"/>
      <c r="AL42" s="175"/>
      <c r="AM42" s="175"/>
      <c r="AN42" s="177"/>
      <c r="AO42" s="175"/>
      <c r="AP42" s="201"/>
      <c r="AQ42" s="175"/>
      <c r="AR42" s="175"/>
      <c r="AS42" s="175"/>
      <c r="AT42" s="175"/>
      <c r="AU42" s="175"/>
      <c r="AV42" s="175"/>
      <c r="AW42" s="175"/>
      <c r="AX42" s="202"/>
      <c r="AY42" s="177"/>
      <c r="AZ42" s="175"/>
      <c r="BA42" s="175"/>
      <c r="BB42" s="175"/>
      <c r="BC42" s="175"/>
      <c r="BD42" s="175"/>
      <c r="BE42" s="175"/>
      <c r="BF42" s="175"/>
      <c r="BG42" s="175"/>
      <c r="BH42" s="177"/>
      <c r="BI42" s="175"/>
      <c r="BJ42" s="176"/>
      <c r="BK42" s="175"/>
      <c r="BL42" s="175"/>
      <c r="BM42" s="175"/>
      <c r="BN42" s="175"/>
      <c r="BO42" s="175"/>
      <c r="BP42" s="175"/>
      <c r="BQ42" s="175"/>
      <c r="BR42" s="177"/>
    </row>
    <row r="43" spans="1:70" ht="9.75" customHeight="1" x14ac:dyDescent="0.3">
      <c r="B43" s="176"/>
      <c r="C43" s="175"/>
      <c r="D43" s="175"/>
      <c r="E43" s="175"/>
      <c r="F43" s="175"/>
      <c r="G43" s="175"/>
      <c r="H43" s="175"/>
      <c r="I43" s="175"/>
      <c r="J43" s="177"/>
      <c r="K43" s="175"/>
      <c r="L43" s="176"/>
      <c r="M43" s="175"/>
      <c r="N43" s="175"/>
      <c r="O43" s="175"/>
      <c r="P43" s="175"/>
      <c r="Q43" s="175"/>
      <c r="R43" s="175"/>
      <c r="S43" s="175"/>
      <c r="T43" s="177"/>
      <c r="U43" s="175"/>
      <c r="V43" s="176"/>
      <c r="W43" s="175"/>
      <c r="X43" s="175"/>
      <c r="Y43" s="175"/>
      <c r="Z43" s="175"/>
      <c r="AA43" s="175"/>
      <c r="AB43" s="175"/>
      <c r="AC43" s="175"/>
      <c r="AD43" s="177"/>
      <c r="AE43" s="175"/>
      <c r="AF43" s="176"/>
      <c r="AG43" s="175"/>
      <c r="AH43" s="175"/>
      <c r="AI43" s="175"/>
      <c r="AJ43" s="175"/>
      <c r="AK43" s="175"/>
      <c r="AL43" s="175"/>
      <c r="AM43" s="175"/>
      <c r="AN43" s="177"/>
      <c r="AO43" s="175"/>
      <c r="AP43" s="201"/>
      <c r="AQ43" s="175"/>
      <c r="AR43" s="175"/>
      <c r="AS43" s="175"/>
      <c r="AT43" s="175"/>
      <c r="AU43" s="175"/>
      <c r="AV43" s="175"/>
      <c r="AW43" s="175"/>
      <c r="AX43" s="202"/>
      <c r="AY43" s="177"/>
      <c r="AZ43" s="175"/>
      <c r="BA43" s="175"/>
      <c r="BB43" s="175"/>
      <c r="BC43" s="175"/>
      <c r="BD43" s="175"/>
      <c r="BE43" s="175"/>
      <c r="BF43" s="175"/>
      <c r="BG43" s="175"/>
      <c r="BH43" s="177"/>
      <c r="BI43" s="175"/>
      <c r="BJ43" s="176"/>
      <c r="BK43" s="175"/>
      <c r="BL43" s="175"/>
      <c r="BM43" s="175"/>
      <c r="BN43" s="175"/>
      <c r="BO43" s="175"/>
      <c r="BP43" s="175"/>
      <c r="BQ43" s="175"/>
      <c r="BR43" s="177"/>
    </row>
    <row r="44" spans="1:70" ht="9.75" customHeight="1" x14ac:dyDescent="0.3">
      <c r="B44" s="176"/>
      <c r="C44" s="175"/>
      <c r="D44" s="175"/>
      <c r="E44" s="175"/>
      <c r="F44" s="175"/>
      <c r="G44" s="175"/>
      <c r="H44" s="175"/>
      <c r="I44" s="175"/>
      <c r="J44" s="177"/>
      <c r="K44" s="175"/>
      <c r="L44" s="176"/>
      <c r="M44" s="175"/>
      <c r="N44" s="175"/>
      <c r="O44" s="175"/>
      <c r="P44" s="175"/>
      <c r="Q44" s="175"/>
      <c r="R44" s="175"/>
      <c r="S44" s="175"/>
      <c r="T44" s="177"/>
      <c r="U44" s="175"/>
      <c r="V44" s="176"/>
      <c r="W44" s="175"/>
      <c r="X44" s="175"/>
      <c r="Y44" s="175"/>
      <c r="Z44" s="175"/>
      <c r="AA44" s="175"/>
      <c r="AB44" s="175"/>
      <c r="AC44" s="175"/>
      <c r="AD44" s="177"/>
      <c r="AE44" s="175"/>
      <c r="AF44" s="176"/>
      <c r="AG44" s="175"/>
      <c r="AH44" s="175"/>
      <c r="AI44" s="175"/>
      <c r="AJ44" s="175"/>
      <c r="AK44" s="175"/>
      <c r="AL44" s="175"/>
      <c r="AM44" s="175"/>
      <c r="AN44" s="177"/>
      <c r="AO44" s="175"/>
      <c r="AP44" s="201"/>
      <c r="AQ44" s="175"/>
      <c r="AR44" s="175"/>
      <c r="AS44" s="175"/>
      <c r="AT44" s="175"/>
      <c r="AU44" s="175"/>
      <c r="AV44" s="175"/>
      <c r="AW44" s="175"/>
      <c r="AX44" s="202"/>
      <c r="AY44" s="177"/>
      <c r="AZ44" s="175"/>
      <c r="BA44" s="175"/>
      <c r="BB44" s="175"/>
      <c r="BC44" s="175"/>
      <c r="BD44" s="175"/>
      <c r="BE44" s="175"/>
      <c r="BF44" s="175"/>
      <c r="BG44" s="175"/>
      <c r="BH44" s="177"/>
      <c r="BI44" s="175"/>
      <c r="BJ44" s="176"/>
      <c r="BK44" s="175"/>
      <c r="BL44" s="175"/>
      <c r="BM44" s="175"/>
      <c r="BN44" s="175"/>
      <c r="BO44" s="175"/>
      <c r="BP44" s="175"/>
      <c r="BQ44" s="175"/>
      <c r="BR44" s="177"/>
    </row>
    <row r="45" spans="1:70" s="41" customFormat="1" ht="9" customHeight="1" x14ac:dyDescent="0.3">
      <c r="A45" s="203"/>
      <c r="B45" s="205"/>
      <c r="C45" s="204"/>
      <c r="D45" s="204"/>
      <c r="E45" s="204"/>
      <c r="F45" s="204"/>
      <c r="G45" s="204"/>
      <c r="H45" s="204"/>
      <c r="I45" s="204"/>
      <c r="J45" s="206"/>
      <c r="K45" s="204"/>
      <c r="L45" s="205"/>
      <c r="M45" s="204"/>
      <c r="N45" s="204"/>
      <c r="O45" s="204"/>
      <c r="P45" s="204"/>
      <c r="Q45" s="204"/>
      <c r="R45" s="204"/>
      <c r="S45" s="204"/>
      <c r="T45" s="206"/>
      <c r="U45" s="204"/>
      <c r="V45" s="205"/>
      <c r="W45" s="204"/>
      <c r="X45" s="204"/>
      <c r="Y45" s="204"/>
      <c r="Z45" s="204"/>
      <c r="AA45" s="204"/>
      <c r="AB45" s="204"/>
      <c r="AC45" s="204"/>
      <c r="AD45" s="206"/>
      <c r="AE45" s="204"/>
      <c r="AF45" s="205"/>
      <c r="AG45" s="204"/>
      <c r="AH45" s="204"/>
      <c r="AI45" s="204"/>
      <c r="AJ45" s="204"/>
      <c r="AK45" s="204"/>
      <c r="AL45" s="204"/>
      <c r="AM45" s="204"/>
      <c r="AN45" s="206"/>
      <c r="AO45" s="204"/>
      <c r="AP45" s="208"/>
      <c r="AQ45" s="204"/>
      <c r="AR45" s="204"/>
      <c r="AS45" s="204"/>
      <c r="AT45" s="204"/>
      <c r="AU45" s="204"/>
      <c r="AV45" s="204"/>
      <c r="AW45" s="204"/>
      <c r="AX45" s="209"/>
      <c r="AY45" s="206"/>
      <c r="AZ45" s="204"/>
      <c r="BA45" s="204"/>
      <c r="BB45" s="204"/>
      <c r="BC45" s="204"/>
      <c r="BD45" s="204"/>
      <c r="BE45" s="204"/>
      <c r="BF45" s="204"/>
      <c r="BG45" s="204"/>
      <c r="BH45" s="206"/>
      <c r="BI45" s="204"/>
      <c r="BJ45" s="205"/>
      <c r="BK45" s="204"/>
      <c r="BL45" s="204"/>
      <c r="BM45" s="204"/>
      <c r="BN45" s="204"/>
      <c r="BO45" s="204"/>
      <c r="BP45" s="204"/>
      <c r="BQ45" s="204"/>
      <c r="BR45" s="206"/>
    </row>
    <row r="46" spans="1:70" s="41" customFormat="1" ht="9" customHeight="1" x14ac:dyDescent="0.3">
      <c r="A46" s="203"/>
      <c r="B46" s="205"/>
      <c r="C46" s="204"/>
      <c r="D46" s="204"/>
      <c r="E46" s="204"/>
      <c r="F46" s="204"/>
      <c r="G46" s="204"/>
      <c r="H46" s="204"/>
      <c r="I46" s="204"/>
      <c r="J46" s="206"/>
      <c r="K46" s="204"/>
      <c r="L46" s="205"/>
      <c r="M46" s="204"/>
      <c r="N46" s="204"/>
      <c r="O46" s="204"/>
      <c r="P46" s="204"/>
      <c r="Q46" s="204"/>
      <c r="R46" s="204"/>
      <c r="S46" s="204"/>
      <c r="T46" s="206"/>
      <c r="U46" s="204"/>
      <c r="V46" s="205"/>
      <c r="W46" s="204"/>
      <c r="X46" s="204"/>
      <c r="Y46" s="204"/>
      <c r="Z46" s="204"/>
      <c r="AA46" s="204"/>
      <c r="AB46" s="204"/>
      <c r="AC46" s="204"/>
      <c r="AD46" s="206"/>
      <c r="AE46" s="204"/>
      <c r="AF46" s="205"/>
      <c r="AG46" s="204"/>
      <c r="AH46" s="204"/>
      <c r="AI46" s="204"/>
      <c r="AJ46" s="204"/>
      <c r="AK46" s="204"/>
      <c r="AL46" s="204"/>
      <c r="AM46" s="204"/>
      <c r="AN46" s="206"/>
      <c r="AO46" s="204"/>
      <c r="AP46" s="208"/>
      <c r="AQ46" s="204"/>
      <c r="AR46" s="204"/>
      <c r="AS46" s="204"/>
      <c r="AT46" s="204"/>
      <c r="AU46" s="204"/>
      <c r="AV46" s="204"/>
      <c r="AW46" s="204"/>
      <c r="AX46" s="209"/>
      <c r="AY46" s="206"/>
      <c r="AZ46" s="204"/>
      <c r="BA46" s="204"/>
      <c r="BB46" s="204"/>
      <c r="BC46" s="204"/>
      <c r="BD46" s="204"/>
      <c r="BE46" s="204"/>
      <c r="BF46" s="204"/>
      <c r="BG46" s="204"/>
      <c r="BH46" s="206"/>
      <c r="BI46" s="204"/>
      <c r="BJ46" s="205"/>
      <c r="BK46" s="204"/>
      <c r="BL46" s="204"/>
      <c r="BM46" s="204"/>
      <c r="BN46" s="204"/>
      <c r="BO46" s="204"/>
      <c r="BP46" s="204"/>
      <c r="BQ46" s="204"/>
      <c r="BR46" s="206"/>
    </row>
    <row r="47" spans="1:70" s="41" customFormat="1" ht="12" customHeight="1" x14ac:dyDescent="0.3">
      <c r="A47" s="203"/>
      <c r="B47" s="432" t="s">
        <v>238</v>
      </c>
      <c r="C47" s="432"/>
      <c r="D47" s="432"/>
      <c r="E47" s="432"/>
      <c r="F47" s="432"/>
      <c r="G47" s="433">
        <f>CEILING(4028*A3,1)</f>
        <v>5640</v>
      </c>
      <c r="H47" s="433"/>
      <c r="I47" s="433"/>
      <c r="J47" s="433"/>
      <c r="K47" s="190"/>
      <c r="L47" s="432" t="s">
        <v>238</v>
      </c>
      <c r="M47" s="432"/>
      <c r="N47" s="432"/>
      <c r="O47" s="432"/>
      <c r="P47" s="432"/>
      <c r="Q47" s="433">
        <f>CEILING(4283*A3,1)</f>
        <v>5997</v>
      </c>
      <c r="R47" s="433"/>
      <c r="S47" s="433"/>
      <c r="T47" s="433"/>
      <c r="U47" s="190"/>
      <c r="V47" s="432" t="s">
        <v>238</v>
      </c>
      <c r="W47" s="432"/>
      <c r="X47" s="432"/>
      <c r="Y47" s="432"/>
      <c r="Z47" s="432"/>
      <c r="AA47" s="433">
        <f>CEILING(3950*A3,1)</f>
        <v>5530</v>
      </c>
      <c r="AB47" s="433"/>
      <c r="AC47" s="433"/>
      <c r="AD47" s="433"/>
      <c r="AE47" s="190"/>
      <c r="AF47" s="432" t="s">
        <v>238</v>
      </c>
      <c r="AG47" s="432"/>
      <c r="AH47" s="432"/>
      <c r="AI47" s="432"/>
      <c r="AJ47" s="432"/>
      <c r="AK47" s="433">
        <f>CEILING(4347*A3,1)</f>
        <v>6086</v>
      </c>
      <c r="AL47" s="433"/>
      <c r="AM47" s="433"/>
      <c r="AN47" s="433"/>
      <c r="AO47" s="190"/>
      <c r="AP47" s="432" t="s">
        <v>238</v>
      </c>
      <c r="AQ47" s="432"/>
      <c r="AR47" s="432"/>
      <c r="AS47" s="432"/>
      <c r="AT47" s="432"/>
      <c r="AU47" s="433">
        <f>CEILING(4372*A3,1)</f>
        <v>6121</v>
      </c>
      <c r="AV47" s="433"/>
      <c r="AW47" s="433"/>
      <c r="AX47" s="433"/>
      <c r="AY47" s="190"/>
      <c r="AZ47" s="432" t="s">
        <v>238</v>
      </c>
      <c r="BA47" s="432"/>
      <c r="BB47" s="432"/>
      <c r="BC47" s="432"/>
      <c r="BD47" s="432"/>
      <c r="BE47" s="433">
        <f>CEILING(3504*A3,1)</f>
        <v>4906</v>
      </c>
      <c r="BF47" s="433"/>
      <c r="BG47" s="433"/>
      <c r="BH47" s="433"/>
      <c r="BI47" s="210"/>
      <c r="BJ47" s="211"/>
      <c r="BK47" s="210"/>
      <c r="BL47" s="210"/>
      <c r="BM47" s="210"/>
      <c r="BN47" s="210"/>
      <c r="BO47" s="210"/>
      <c r="BP47" s="210"/>
      <c r="BQ47" s="210"/>
      <c r="BR47" s="213"/>
    </row>
    <row r="48" spans="1:70" s="69" customFormat="1" ht="10.95" customHeight="1" x14ac:dyDescent="0.3">
      <c r="A48" s="215"/>
      <c r="B48" s="432" t="s">
        <v>239</v>
      </c>
      <c r="C48" s="432"/>
      <c r="D48" s="432"/>
      <c r="E48" s="432"/>
      <c r="F48" s="432"/>
      <c r="G48" s="433">
        <f>CEILING(4256*A3,1)</f>
        <v>5959</v>
      </c>
      <c r="H48" s="433"/>
      <c r="I48" s="433"/>
      <c r="J48" s="433"/>
      <c r="K48" s="190"/>
      <c r="L48" s="432" t="s">
        <v>239</v>
      </c>
      <c r="M48" s="432"/>
      <c r="N48" s="432"/>
      <c r="O48" s="432"/>
      <c r="P48" s="432"/>
      <c r="Q48" s="433">
        <f>CEILING(4513*A3,1)</f>
        <v>6319</v>
      </c>
      <c r="R48" s="433"/>
      <c r="S48" s="433"/>
      <c r="T48" s="433"/>
      <c r="U48" s="190"/>
      <c r="V48" s="432" t="s">
        <v>239</v>
      </c>
      <c r="W48" s="432"/>
      <c r="X48" s="432"/>
      <c r="Y48" s="432"/>
      <c r="Z48" s="432"/>
      <c r="AA48" s="433">
        <f>CEILING(4141*A3,1)</f>
        <v>5798</v>
      </c>
      <c r="AB48" s="433"/>
      <c r="AC48" s="433"/>
      <c r="AD48" s="433"/>
      <c r="AE48" s="190"/>
      <c r="AF48" s="432" t="s">
        <v>239</v>
      </c>
      <c r="AG48" s="432"/>
      <c r="AH48" s="432"/>
      <c r="AI48" s="432"/>
      <c r="AJ48" s="432"/>
      <c r="AK48" s="433">
        <f>CEILING(4513*A3,1)</f>
        <v>6319</v>
      </c>
      <c r="AL48" s="433"/>
      <c r="AM48" s="433"/>
      <c r="AN48" s="433"/>
      <c r="AO48" s="190"/>
      <c r="AP48" s="432" t="s">
        <v>239</v>
      </c>
      <c r="AQ48" s="432"/>
      <c r="AR48" s="432"/>
      <c r="AS48" s="432"/>
      <c r="AT48" s="432"/>
      <c r="AU48" s="433">
        <f>CEILING(4602*A3,1)</f>
        <v>6443</v>
      </c>
      <c r="AV48" s="433"/>
      <c r="AW48" s="433"/>
      <c r="AX48" s="433"/>
      <c r="AY48" s="190"/>
      <c r="AZ48" s="432" t="s">
        <v>239</v>
      </c>
      <c r="BA48" s="432"/>
      <c r="BB48" s="432"/>
      <c r="BC48" s="432"/>
      <c r="BD48" s="432"/>
      <c r="BE48" s="433">
        <f>CEILING(3707*A3,1)</f>
        <v>5190</v>
      </c>
      <c r="BF48" s="433"/>
      <c r="BG48" s="433"/>
      <c r="BH48" s="433"/>
      <c r="BI48" s="217"/>
      <c r="BJ48" s="432" t="s">
        <v>254</v>
      </c>
      <c r="BK48" s="432"/>
      <c r="BL48" s="432"/>
      <c r="BM48" s="432"/>
      <c r="BN48" s="432"/>
      <c r="BO48" s="433">
        <f>CEILING(5995*A3,1)</f>
        <v>8393</v>
      </c>
      <c r="BP48" s="433"/>
      <c r="BQ48" s="433"/>
      <c r="BR48" s="433"/>
    </row>
    <row r="49" spans="1:70" s="69" customFormat="1" ht="10.95" customHeight="1" x14ac:dyDescent="0.3">
      <c r="A49" s="215"/>
      <c r="B49" s="432" t="s">
        <v>240</v>
      </c>
      <c r="C49" s="432"/>
      <c r="D49" s="432"/>
      <c r="E49" s="432"/>
      <c r="F49" s="432"/>
      <c r="G49" s="433">
        <f>CEILING(4487*A3,1)</f>
        <v>6282</v>
      </c>
      <c r="H49" s="433"/>
      <c r="I49" s="433"/>
      <c r="J49" s="433"/>
      <c r="K49" s="190"/>
      <c r="L49" s="432" t="s">
        <v>240</v>
      </c>
      <c r="M49" s="432"/>
      <c r="N49" s="432"/>
      <c r="O49" s="432"/>
      <c r="P49" s="432"/>
      <c r="Q49" s="433">
        <f>CEILING(4731*A3,1)</f>
        <v>6624</v>
      </c>
      <c r="R49" s="433"/>
      <c r="S49" s="433"/>
      <c r="T49" s="433"/>
      <c r="U49" s="190"/>
      <c r="V49" s="432" t="s">
        <v>240</v>
      </c>
      <c r="W49" s="432"/>
      <c r="X49" s="432"/>
      <c r="Y49" s="432"/>
      <c r="Z49" s="432"/>
      <c r="AA49" s="433">
        <f>CEILING(4347*A3,1)</f>
        <v>6086</v>
      </c>
      <c r="AB49" s="433"/>
      <c r="AC49" s="433"/>
      <c r="AD49" s="433"/>
      <c r="AE49" s="190"/>
      <c r="AF49" s="432" t="s">
        <v>240</v>
      </c>
      <c r="AG49" s="432"/>
      <c r="AH49" s="432"/>
      <c r="AI49" s="432"/>
      <c r="AJ49" s="432"/>
      <c r="AK49" s="433">
        <f>CEILING(4706*A3,1)</f>
        <v>6589</v>
      </c>
      <c r="AL49" s="433"/>
      <c r="AM49" s="433"/>
      <c r="AN49" s="433"/>
      <c r="AO49" s="190"/>
      <c r="AP49" s="432" t="s">
        <v>240</v>
      </c>
      <c r="AQ49" s="432"/>
      <c r="AR49" s="432"/>
      <c r="AS49" s="432"/>
      <c r="AT49" s="432"/>
      <c r="AU49" s="433">
        <f>CEILING(4806*A3,1)</f>
        <v>6729</v>
      </c>
      <c r="AV49" s="433"/>
      <c r="AW49" s="433"/>
      <c r="AX49" s="433"/>
      <c r="AY49" s="190"/>
      <c r="AZ49" s="432" t="s">
        <v>240</v>
      </c>
      <c r="BA49" s="432"/>
      <c r="BB49" s="432"/>
      <c r="BC49" s="432"/>
      <c r="BD49" s="432"/>
      <c r="BE49" s="433">
        <f>CEILING(3940*A3,1)</f>
        <v>5516</v>
      </c>
      <c r="BF49" s="433"/>
      <c r="BG49" s="433"/>
      <c r="BH49" s="433"/>
      <c r="BI49" s="217"/>
      <c r="BJ49" s="432" t="s">
        <v>255</v>
      </c>
      <c r="BK49" s="432"/>
      <c r="BL49" s="432"/>
      <c r="BM49" s="432"/>
      <c r="BN49" s="432"/>
      <c r="BO49" s="433">
        <f>CEILING(6210*A3,1)</f>
        <v>8694</v>
      </c>
      <c r="BP49" s="433"/>
      <c r="BQ49" s="433"/>
      <c r="BR49" s="433"/>
    </row>
    <row r="50" spans="1:70" ht="1.5" customHeight="1" x14ac:dyDescent="0.3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218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97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</row>
    <row r="51" spans="1:70" ht="9" customHeight="1" x14ac:dyDescent="0.3">
      <c r="B51" s="429" t="s">
        <v>268</v>
      </c>
      <c r="C51" s="430"/>
      <c r="D51" s="431"/>
      <c r="E51" s="445" t="s">
        <v>269</v>
      </c>
      <c r="F51" s="445"/>
      <c r="G51" s="445"/>
      <c r="H51" s="445"/>
      <c r="I51" s="445"/>
      <c r="J51" s="446"/>
      <c r="K51" s="175"/>
      <c r="L51" s="219" t="s">
        <v>807</v>
      </c>
      <c r="M51" s="220"/>
      <c r="N51" s="220"/>
      <c r="O51" s="221"/>
      <c r="P51" s="222"/>
      <c r="Q51" s="223"/>
      <c r="R51" s="223"/>
      <c r="S51" s="223"/>
      <c r="T51" s="223"/>
      <c r="U51" s="218"/>
      <c r="V51" s="223" t="s">
        <v>808</v>
      </c>
      <c r="W51" s="223"/>
      <c r="X51" s="223"/>
      <c r="Y51" s="223"/>
      <c r="Z51" s="223"/>
      <c r="AA51" s="223"/>
      <c r="AB51" s="223"/>
      <c r="AC51" s="223"/>
      <c r="AD51" s="224"/>
      <c r="AE51" s="175"/>
      <c r="AF51" s="447" t="s">
        <v>270</v>
      </c>
      <c r="AG51" s="448"/>
      <c r="AH51" s="449"/>
      <c r="AI51" s="451" t="s">
        <v>271</v>
      </c>
      <c r="AJ51" s="451"/>
      <c r="AK51" s="451"/>
      <c r="AL51" s="451"/>
      <c r="AM51" s="451"/>
      <c r="AN51" s="452"/>
      <c r="AO51" s="175"/>
      <c r="AP51" s="429" t="s">
        <v>272</v>
      </c>
      <c r="AQ51" s="430"/>
      <c r="AR51" s="431"/>
      <c r="AS51" s="445" t="s">
        <v>273</v>
      </c>
      <c r="AT51" s="445"/>
      <c r="AU51" s="445"/>
      <c r="AV51" s="445"/>
      <c r="AW51" s="445"/>
      <c r="AX51" s="446"/>
      <c r="AY51" s="175"/>
      <c r="AZ51" s="429" t="s">
        <v>274</v>
      </c>
      <c r="BA51" s="430"/>
      <c r="BB51" s="431"/>
      <c r="BC51" s="445" t="s">
        <v>275</v>
      </c>
      <c r="BD51" s="445"/>
      <c r="BE51" s="445"/>
      <c r="BF51" s="445"/>
      <c r="BG51" s="445"/>
      <c r="BH51" s="446"/>
      <c r="BI51" s="175"/>
      <c r="BJ51" s="429" t="s">
        <v>276</v>
      </c>
      <c r="BK51" s="430"/>
      <c r="BL51" s="431"/>
      <c r="BM51" s="445" t="s">
        <v>277</v>
      </c>
      <c r="BN51" s="445"/>
      <c r="BO51" s="445"/>
      <c r="BP51" s="445"/>
      <c r="BQ51" s="445"/>
      <c r="BR51" s="446"/>
    </row>
    <row r="52" spans="1:70" s="34" customFormat="1" ht="9" customHeight="1" x14ac:dyDescent="0.3">
      <c r="A52" s="178"/>
      <c r="B52" s="423" t="s">
        <v>278</v>
      </c>
      <c r="C52" s="424"/>
      <c r="D52" s="424"/>
      <c r="E52" s="424"/>
      <c r="F52" s="424"/>
      <c r="G52" s="424"/>
      <c r="H52" s="424"/>
      <c r="I52" s="424"/>
      <c r="J52" s="425"/>
      <c r="K52" s="180"/>
      <c r="L52" s="458" t="s">
        <v>809</v>
      </c>
      <c r="M52" s="459"/>
      <c r="N52" s="459"/>
      <c r="O52" s="459"/>
      <c r="P52" s="459"/>
      <c r="Q52" s="459"/>
      <c r="R52" s="459"/>
      <c r="S52" s="459"/>
      <c r="T52" s="460"/>
      <c r="U52" s="218"/>
      <c r="V52" s="461" t="s">
        <v>809</v>
      </c>
      <c r="W52" s="462"/>
      <c r="X52" s="462"/>
      <c r="Y52" s="462"/>
      <c r="Z52" s="462"/>
      <c r="AA52" s="462"/>
      <c r="AB52" s="462"/>
      <c r="AC52" s="462"/>
      <c r="AD52" s="463"/>
      <c r="AE52" s="180"/>
      <c r="AF52" s="198"/>
      <c r="AG52" s="180"/>
      <c r="AH52" s="180"/>
      <c r="AI52" s="180"/>
      <c r="AJ52" s="180"/>
      <c r="AK52" s="180"/>
      <c r="AL52" s="180"/>
      <c r="AM52" s="180"/>
      <c r="AN52" s="199"/>
      <c r="AO52" s="180"/>
      <c r="AP52" s="423" t="s">
        <v>279</v>
      </c>
      <c r="AQ52" s="424"/>
      <c r="AR52" s="424"/>
      <c r="AS52" s="424"/>
      <c r="AT52" s="424"/>
      <c r="AU52" s="424"/>
      <c r="AV52" s="424"/>
      <c r="AW52" s="424"/>
      <c r="AX52" s="425"/>
      <c r="AY52" s="180"/>
      <c r="AZ52" s="423" t="s">
        <v>280</v>
      </c>
      <c r="BA52" s="424"/>
      <c r="BB52" s="424"/>
      <c r="BC52" s="424"/>
      <c r="BD52" s="424"/>
      <c r="BE52" s="424"/>
      <c r="BF52" s="424"/>
      <c r="BG52" s="424"/>
      <c r="BH52" s="425"/>
      <c r="BI52" s="180"/>
      <c r="BJ52" s="179"/>
      <c r="BK52" s="180"/>
      <c r="BL52" s="180"/>
      <c r="BM52" s="180"/>
      <c r="BN52" s="180"/>
      <c r="BO52" s="180"/>
      <c r="BP52" s="180"/>
      <c r="BQ52" s="180"/>
      <c r="BR52" s="181"/>
    </row>
    <row r="53" spans="1:70" s="34" customFormat="1" ht="9" customHeight="1" x14ac:dyDescent="0.3">
      <c r="A53" s="178"/>
      <c r="B53" s="179"/>
      <c r="C53" s="180"/>
      <c r="D53" s="180"/>
      <c r="E53" s="180"/>
      <c r="F53" s="180"/>
      <c r="G53" s="180"/>
      <c r="H53" s="180"/>
      <c r="I53" s="180"/>
      <c r="J53" s="181"/>
      <c r="K53" s="180"/>
      <c r="L53" s="225"/>
      <c r="M53" s="226"/>
      <c r="N53" s="226"/>
      <c r="O53" s="226"/>
      <c r="P53" s="226"/>
      <c r="Q53" s="226"/>
      <c r="R53" s="226"/>
      <c r="S53" s="226"/>
      <c r="T53" s="226"/>
      <c r="U53" s="218"/>
      <c r="V53" s="223"/>
      <c r="W53" s="223"/>
      <c r="X53" s="223"/>
      <c r="Y53" s="223"/>
      <c r="Z53" s="223"/>
      <c r="AA53" s="223"/>
      <c r="AB53" s="223"/>
      <c r="AC53" s="223"/>
      <c r="AD53" s="224"/>
      <c r="AE53" s="180"/>
      <c r="AF53" s="198"/>
      <c r="AG53" s="180"/>
      <c r="AH53" s="180"/>
      <c r="AI53" s="180"/>
      <c r="AJ53" s="180"/>
      <c r="AK53" s="180"/>
      <c r="AL53" s="180"/>
      <c r="AM53" s="180"/>
      <c r="AN53" s="199"/>
      <c r="AO53" s="180"/>
      <c r="AP53" s="179"/>
      <c r="AQ53" s="180"/>
      <c r="AR53" s="180"/>
      <c r="AS53" s="180"/>
      <c r="AT53" s="180"/>
      <c r="AU53" s="180"/>
      <c r="AV53" s="180"/>
      <c r="AW53" s="180"/>
      <c r="AX53" s="181"/>
      <c r="AY53" s="180"/>
      <c r="AZ53" s="179"/>
      <c r="BA53" s="180"/>
      <c r="BB53" s="180"/>
      <c r="BC53" s="180"/>
      <c r="BD53" s="180"/>
      <c r="BE53" s="180"/>
      <c r="BF53" s="180"/>
      <c r="BG53" s="180"/>
      <c r="BH53" s="181"/>
      <c r="BI53" s="180"/>
      <c r="BJ53" s="179"/>
      <c r="BK53" s="180"/>
      <c r="BL53" s="180"/>
      <c r="BM53" s="180"/>
      <c r="BN53" s="180"/>
      <c r="BO53" s="180"/>
      <c r="BP53" s="180"/>
      <c r="BQ53" s="180"/>
      <c r="BR53" s="181"/>
    </row>
    <row r="54" spans="1:70" s="34" customFormat="1" ht="9" customHeight="1" x14ac:dyDescent="0.3">
      <c r="A54" s="178"/>
      <c r="B54" s="179"/>
      <c r="C54" s="180"/>
      <c r="D54" s="180"/>
      <c r="E54" s="180"/>
      <c r="F54" s="180"/>
      <c r="G54" s="180"/>
      <c r="H54" s="180"/>
      <c r="I54" s="180"/>
      <c r="J54" s="181"/>
      <c r="K54" s="180"/>
      <c r="L54" s="179"/>
      <c r="M54" s="180"/>
      <c r="N54" s="180"/>
      <c r="O54" s="180"/>
      <c r="P54" s="180"/>
      <c r="Q54" s="223"/>
      <c r="R54" s="223"/>
      <c r="S54" s="223"/>
      <c r="T54" s="223"/>
      <c r="U54" s="218"/>
      <c r="V54" s="223"/>
      <c r="W54" s="223"/>
      <c r="X54" s="223"/>
      <c r="Y54" s="223"/>
      <c r="Z54" s="223"/>
      <c r="AA54" s="223"/>
      <c r="AB54" s="223"/>
      <c r="AC54" s="223"/>
      <c r="AD54" s="224"/>
      <c r="AE54" s="180"/>
      <c r="AF54" s="198"/>
      <c r="AG54" s="180"/>
      <c r="AH54" s="180"/>
      <c r="AI54" s="180"/>
      <c r="AJ54" s="180"/>
      <c r="AK54" s="180"/>
      <c r="AL54" s="180"/>
      <c r="AM54" s="180"/>
      <c r="AN54" s="199"/>
      <c r="AO54" s="180"/>
      <c r="AP54" s="179"/>
      <c r="AQ54" s="180"/>
      <c r="AR54" s="180"/>
      <c r="AS54" s="180"/>
      <c r="AT54" s="180"/>
      <c r="AU54" s="180"/>
      <c r="AV54" s="180"/>
      <c r="AW54" s="180"/>
      <c r="AX54" s="181"/>
      <c r="AY54" s="180"/>
      <c r="AZ54" s="179"/>
      <c r="BA54" s="180"/>
      <c r="BB54" s="180"/>
      <c r="BC54" s="180"/>
      <c r="BD54" s="180"/>
      <c r="BE54" s="180"/>
      <c r="BF54" s="180"/>
      <c r="BG54" s="180"/>
      <c r="BH54" s="181"/>
      <c r="BI54" s="180"/>
      <c r="BJ54" s="179"/>
      <c r="BK54" s="180"/>
      <c r="BL54" s="180"/>
      <c r="BM54" s="180"/>
      <c r="BN54" s="180"/>
      <c r="BO54" s="180"/>
      <c r="BP54" s="180"/>
      <c r="BQ54" s="180"/>
      <c r="BR54" s="181"/>
    </row>
    <row r="55" spans="1:70" ht="9" customHeight="1" x14ac:dyDescent="0.3">
      <c r="B55" s="176"/>
      <c r="C55" s="175"/>
      <c r="D55" s="175"/>
      <c r="E55" s="175"/>
      <c r="F55" s="175"/>
      <c r="G55" s="175"/>
      <c r="H55" s="175"/>
      <c r="I55" s="175"/>
      <c r="J55" s="177"/>
      <c r="K55" s="175"/>
      <c r="L55" s="176"/>
      <c r="M55" s="175"/>
      <c r="N55" s="175"/>
      <c r="O55" s="175"/>
      <c r="P55" s="175"/>
      <c r="Q55" s="223"/>
      <c r="R55" s="223"/>
      <c r="S55" s="223"/>
      <c r="T55" s="223"/>
      <c r="U55" s="218"/>
      <c r="V55" s="223"/>
      <c r="W55" s="223"/>
      <c r="X55" s="223"/>
      <c r="Y55" s="223"/>
      <c r="Z55" s="223"/>
      <c r="AA55" s="223"/>
      <c r="AB55" s="223"/>
      <c r="AC55" s="223"/>
      <c r="AD55" s="224"/>
      <c r="AE55" s="175"/>
      <c r="AF55" s="201"/>
      <c r="AG55" s="175"/>
      <c r="AH55" s="175"/>
      <c r="AI55" s="175"/>
      <c r="AJ55" s="175"/>
      <c r="AK55" s="175"/>
      <c r="AL55" s="175"/>
      <c r="AM55" s="175"/>
      <c r="AN55" s="202"/>
      <c r="AO55" s="175"/>
      <c r="AP55" s="176"/>
      <c r="AQ55" s="175"/>
      <c r="AR55" s="175"/>
      <c r="AS55" s="175"/>
      <c r="AT55" s="175"/>
      <c r="AU55" s="175"/>
      <c r="AV55" s="175"/>
      <c r="AW55" s="175"/>
      <c r="AX55" s="177"/>
      <c r="AY55" s="175"/>
      <c r="AZ55" s="176"/>
      <c r="BA55" s="175"/>
      <c r="BB55" s="175"/>
      <c r="BC55" s="175"/>
      <c r="BD55" s="175"/>
      <c r="BE55" s="175"/>
      <c r="BF55" s="175"/>
      <c r="BG55" s="175"/>
      <c r="BH55" s="177"/>
      <c r="BI55" s="175"/>
      <c r="BJ55" s="176"/>
      <c r="BK55" s="175"/>
      <c r="BL55" s="175"/>
      <c r="BM55" s="175"/>
      <c r="BN55" s="175"/>
      <c r="BO55" s="175"/>
      <c r="BP55" s="175"/>
      <c r="BQ55" s="175"/>
      <c r="BR55" s="177"/>
    </row>
    <row r="56" spans="1:70" ht="9" customHeight="1" x14ac:dyDescent="0.3">
      <c r="B56" s="176"/>
      <c r="C56" s="175"/>
      <c r="D56" s="175"/>
      <c r="E56" s="175"/>
      <c r="F56" s="175"/>
      <c r="G56" s="175"/>
      <c r="H56" s="175"/>
      <c r="I56" s="175"/>
      <c r="J56" s="177"/>
      <c r="K56" s="175"/>
      <c r="L56" s="176"/>
      <c r="M56" s="175"/>
      <c r="N56" s="175"/>
      <c r="O56" s="175"/>
      <c r="P56" s="175"/>
      <c r="Q56" s="223"/>
      <c r="R56" s="223"/>
      <c r="S56" s="223"/>
      <c r="T56" s="223"/>
      <c r="U56" s="218"/>
      <c r="V56" s="223"/>
      <c r="W56" s="223"/>
      <c r="X56" s="223"/>
      <c r="Y56" s="223"/>
      <c r="Z56" s="223"/>
      <c r="AA56" s="223"/>
      <c r="AB56" s="223"/>
      <c r="AC56" s="223"/>
      <c r="AD56" s="224"/>
      <c r="AE56" s="175"/>
      <c r="AF56" s="201"/>
      <c r="AG56" s="175"/>
      <c r="AH56" s="175"/>
      <c r="AI56" s="175"/>
      <c r="AJ56" s="175"/>
      <c r="AK56" s="175"/>
      <c r="AL56" s="175"/>
      <c r="AM56" s="175"/>
      <c r="AN56" s="202"/>
      <c r="AO56" s="175"/>
      <c r="AP56" s="176"/>
      <c r="AQ56" s="175"/>
      <c r="AR56" s="175"/>
      <c r="AS56" s="175"/>
      <c r="AT56" s="175"/>
      <c r="AU56" s="175"/>
      <c r="AV56" s="175"/>
      <c r="AW56" s="175"/>
      <c r="AX56" s="177"/>
      <c r="AY56" s="175"/>
      <c r="AZ56" s="176"/>
      <c r="BA56" s="175"/>
      <c r="BB56" s="175"/>
      <c r="BC56" s="175"/>
      <c r="BD56" s="175"/>
      <c r="BE56" s="175"/>
      <c r="BF56" s="175"/>
      <c r="BG56" s="175"/>
      <c r="BH56" s="177"/>
      <c r="BI56" s="175"/>
      <c r="BJ56" s="176"/>
      <c r="BK56" s="175"/>
      <c r="BL56" s="175"/>
      <c r="BM56" s="175"/>
      <c r="BN56" s="175"/>
      <c r="BO56" s="175"/>
      <c r="BP56" s="175"/>
      <c r="BQ56" s="175"/>
      <c r="BR56" s="177"/>
    </row>
    <row r="57" spans="1:70" ht="9" customHeight="1" x14ac:dyDescent="0.3">
      <c r="B57" s="176"/>
      <c r="C57" s="175"/>
      <c r="D57" s="175"/>
      <c r="E57" s="175"/>
      <c r="F57" s="175"/>
      <c r="G57" s="175"/>
      <c r="H57" s="175"/>
      <c r="I57" s="175"/>
      <c r="J57" s="177"/>
      <c r="K57" s="175"/>
      <c r="L57" s="176"/>
      <c r="M57" s="175"/>
      <c r="N57" s="175"/>
      <c r="O57" s="175"/>
      <c r="P57" s="175"/>
      <c r="Q57" s="223"/>
      <c r="R57" s="223"/>
      <c r="S57" s="223"/>
      <c r="T57" s="223"/>
      <c r="U57" s="218"/>
      <c r="V57" s="223"/>
      <c r="W57" s="223"/>
      <c r="X57" s="223"/>
      <c r="Y57" s="223"/>
      <c r="Z57" s="223"/>
      <c r="AA57" s="223"/>
      <c r="AB57" s="223"/>
      <c r="AC57" s="223"/>
      <c r="AD57" s="224"/>
      <c r="AE57" s="175"/>
      <c r="AF57" s="201"/>
      <c r="AG57" s="175"/>
      <c r="AH57" s="175"/>
      <c r="AI57" s="175"/>
      <c r="AJ57" s="175"/>
      <c r="AK57" s="175"/>
      <c r="AL57" s="175"/>
      <c r="AM57" s="175"/>
      <c r="AN57" s="202"/>
      <c r="AO57" s="175"/>
      <c r="AP57" s="176"/>
      <c r="AQ57" s="175"/>
      <c r="AR57" s="175"/>
      <c r="AS57" s="175"/>
      <c r="AT57" s="175"/>
      <c r="AU57" s="175"/>
      <c r="AV57" s="175"/>
      <c r="AW57" s="175"/>
      <c r="AX57" s="177"/>
      <c r="AY57" s="175"/>
      <c r="AZ57" s="176"/>
      <c r="BA57" s="175"/>
      <c r="BB57" s="175"/>
      <c r="BC57" s="175"/>
      <c r="BD57" s="175"/>
      <c r="BE57" s="175"/>
      <c r="BF57" s="175"/>
      <c r="BG57" s="175"/>
      <c r="BH57" s="177"/>
      <c r="BI57" s="175"/>
      <c r="BJ57" s="176"/>
      <c r="BK57" s="175"/>
      <c r="BL57" s="175"/>
      <c r="BM57" s="175"/>
      <c r="BN57" s="175"/>
      <c r="BO57" s="175"/>
      <c r="BP57" s="175"/>
      <c r="BQ57" s="175"/>
      <c r="BR57" s="177"/>
    </row>
    <row r="58" spans="1:70" s="41" customFormat="1" ht="9" customHeight="1" x14ac:dyDescent="0.3">
      <c r="A58" s="203"/>
      <c r="B58" s="205"/>
      <c r="C58" s="204"/>
      <c r="D58" s="204"/>
      <c r="E58" s="204"/>
      <c r="F58" s="204"/>
      <c r="G58" s="204"/>
      <c r="H58" s="204"/>
      <c r="I58" s="204"/>
      <c r="J58" s="206"/>
      <c r="K58" s="204"/>
      <c r="L58" s="205"/>
      <c r="M58" s="204"/>
      <c r="N58" s="204"/>
      <c r="O58" s="204"/>
      <c r="P58" s="204"/>
      <c r="Q58" s="223"/>
      <c r="R58" s="223"/>
      <c r="S58" s="223"/>
      <c r="T58" s="223"/>
      <c r="U58" s="218"/>
      <c r="V58" s="223"/>
      <c r="W58" s="223"/>
      <c r="X58" s="223"/>
      <c r="Y58" s="223"/>
      <c r="Z58" s="223"/>
      <c r="AA58" s="223"/>
      <c r="AB58" s="223"/>
      <c r="AC58" s="223"/>
      <c r="AD58" s="224"/>
      <c r="AE58" s="204"/>
      <c r="AF58" s="208"/>
      <c r="AG58" s="204"/>
      <c r="AH58" s="204"/>
      <c r="AI58" s="204"/>
      <c r="AJ58" s="204"/>
      <c r="AK58" s="204"/>
      <c r="AL58" s="204"/>
      <c r="AM58" s="204"/>
      <c r="AN58" s="209"/>
      <c r="AO58" s="204"/>
      <c r="AP58" s="205"/>
      <c r="AQ58" s="204"/>
      <c r="AR58" s="204"/>
      <c r="AS58" s="204"/>
      <c r="AT58" s="204"/>
      <c r="AU58" s="204"/>
      <c r="AV58" s="204"/>
      <c r="AW58" s="204"/>
      <c r="AX58" s="206"/>
      <c r="AY58" s="204"/>
      <c r="AZ58" s="205"/>
      <c r="BA58" s="204"/>
      <c r="BB58" s="204"/>
      <c r="BC58" s="204"/>
      <c r="BD58" s="204"/>
      <c r="BE58" s="204"/>
      <c r="BF58" s="204"/>
      <c r="BG58" s="204"/>
      <c r="BH58" s="206"/>
      <c r="BI58" s="204"/>
      <c r="BJ58" s="205"/>
      <c r="BK58" s="204"/>
      <c r="BL58" s="204"/>
      <c r="BM58" s="204"/>
      <c r="BN58" s="204"/>
      <c r="BO58" s="204"/>
      <c r="BP58" s="204"/>
      <c r="BQ58" s="204"/>
      <c r="BR58" s="206"/>
    </row>
    <row r="59" spans="1:70" s="41" customFormat="1" ht="9" customHeight="1" x14ac:dyDescent="0.3">
      <c r="A59" s="203"/>
      <c r="B59" s="205"/>
      <c r="C59" s="204"/>
      <c r="D59" s="204"/>
      <c r="E59" s="204"/>
      <c r="F59" s="204"/>
      <c r="G59" s="204"/>
      <c r="H59" s="204"/>
      <c r="I59" s="204"/>
      <c r="J59" s="206"/>
      <c r="K59" s="204"/>
      <c r="L59" s="205"/>
      <c r="M59" s="204"/>
      <c r="N59" s="204"/>
      <c r="O59" s="204"/>
      <c r="P59" s="204"/>
      <c r="Q59" s="223"/>
      <c r="R59" s="223"/>
      <c r="S59" s="223"/>
      <c r="T59" s="223"/>
      <c r="U59" s="218"/>
      <c r="V59" s="223"/>
      <c r="W59" s="223"/>
      <c r="X59" s="223"/>
      <c r="Y59" s="223"/>
      <c r="Z59" s="223"/>
      <c r="AA59" s="223"/>
      <c r="AB59" s="223"/>
      <c r="AC59" s="223"/>
      <c r="AD59" s="224"/>
      <c r="AE59" s="204"/>
      <c r="AF59" s="208"/>
      <c r="AG59" s="204"/>
      <c r="AH59" s="204"/>
      <c r="AI59" s="204"/>
      <c r="AJ59" s="204"/>
      <c r="AK59" s="204"/>
      <c r="AL59" s="204"/>
      <c r="AM59" s="204"/>
      <c r="AN59" s="209"/>
      <c r="AO59" s="204"/>
      <c r="AP59" s="205"/>
      <c r="AQ59" s="204"/>
      <c r="AR59" s="204"/>
      <c r="AS59" s="204"/>
      <c r="AT59" s="204"/>
      <c r="AU59" s="204"/>
      <c r="AV59" s="204"/>
      <c r="AW59" s="204"/>
      <c r="AX59" s="206"/>
      <c r="AY59" s="204"/>
      <c r="AZ59" s="205"/>
      <c r="BA59" s="204"/>
      <c r="BB59" s="204"/>
      <c r="BC59" s="204"/>
      <c r="BD59" s="204"/>
      <c r="BE59" s="204"/>
      <c r="BF59" s="204"/>
      <c r="BG59" s="204"/>
      <c r="BH59" s="206"/>
      <c r="BI59" s="204"/>
      <c r="BJ59" s="205"/>
      <c r="BK59" s="204"/>
      <c r="BL59" s="204"/>
      <c r="BM59" s="204"/>
      <c r="BN59" s="204"/>
      <c r="BO59" s="204"/>
      <c r="BP59" s="204"/>
      <c r="BQ59" s="204"/>
      <c r="BR59" s="206"/>
    </row>
    <row r="60" spans="1:70" s="41" customFormat="1" ht="9" customHeight="1" x14ac:dyDescent="0.3">
      <c r="A60" s="203"/>
      <c r="B60" s="205"/>
      <c r="C60" s="204"/>
      <c r="D60" s="204"/>
      <c r="E60" s="204"/>
      <c r="F60" s="204"/>
      <c r="G60" s="204"/>
      <c r="H60" s="204"/>
      <c r="I60" s="204"/>
      <c r="J60" s="206"/>
      <c r="K60" s="204"/>
      <c r="L60" s="205"/>
      <c r="M60" s="204"/>
      <c r="N60" s="204"/>
      <c r="O60" s="204"/>
      <c r="P60" s="204"/>
      <c r="Q60" s="223"/>
      <c r="R60" s="223"/>
      <c r="S60" s="223"/>
      <c r="T60" s="223"/>
      <c r="U60" s="218"/>
      <c r="V60" s="223"/>
      <c r="W60" s="223"/>
      <c r="X60" s="223"/>
      <c r="Y60" s="223"/>
      <c r="Z60" s="223"/>
      <c r="AA60" s="223"/>
      <c r="AB60" s="223"/>
      <c r="AC60" s="223"/>
      <c r="AD60" s="224"/>
      <c r="AE60" s="204"/>
      <c r="AF60" s="208"/>
      <c r="AG60" s="204"/>
      <c r="AH60" s="204"/>
      <c r="AI60" s="204"/>
      <c r="AJ60" s="204"/>
      <c r="AK60" s="204"/>
      <c r="AL60" s="204"/>
      <c r="AM60" s="204"/>
      <c r="AN60" s="209"/>
      <c r="AO60" s="204"/>
      <c r="AP60" s="205"/>
      <c r="AQ60" s="204"/>
      <c r="AR60" s="204"/>
      <c r="AS60" s="204"/>
      <c r="AT60" s="204"/>
      <c r="AU60" s="204"/>
      <c r="AV60" s="204"/>
      <c r="AW60" s="204"/>
      <c r="AX60" s="206"/>
      <c r="AY60" s="204"/>
      <c r="AZ60" s="205"/>
      <c r="BA60" s="204"/>
      <c r="BB60" s="204"/>
      <c r="BC60" s="204"/>
      <c r="BD60" s="204"/>
      <c r="BE60" s="204"/>
      <c r="BF60" s="204"/>
      <c r="BG60" s="204"/>
      <c r="BH60" s="206"/>
      <c r="BI60" s="204"/>
      <c r="BJ60" s="205"/>
      <c r="BK60" s="204"/>
      <c r="BL60" s="204"/>
      <c r="BM60" s="204"/>
      <c r="BN60" s="204"/>
      <c r="BO60" s="204"/>
      <c r="BP60" s="204"/>
      <c r="BQ60" s="204"/>
      <c r="BR60" s="206"/>
    </row>
    <row r="61" spans="1:70" s="41" customFormat="1" ht="9" customHeight="1" x14ac:dyDescent="0.3">
      <c r="A61" s="203"/>
      <c r="B61" s="205"/>
      <c r="C61" s="204"/>
      <c r="D61" s="204"/>
      <c r="E61" s="204"/>
      <c r="F61" s="204"/>
      <c r="G61" s="204"/>
      <c r="H61" s="204"/>
      <c r="I61" s="204"/>
      <c r="J61" s="206"/>
      <c r="K61" s="204"/>
      <c r="L61" s="205" t="s">
        <v>810</v>
      </c>
      <c r="M61" s="204"/>
      <c r="N61" s="204"/>
      <c r="O61" s="204"/>
      <c r="P61" s="204"/>
      <c r="Q61" s="223"/>
      <c r="R61" s="223"/>
      <c r="S61" s="223"/>
      <c r="T61" s="223"/>
      <c r="U61" s="218"/>
      <c r="V61" s="223" t="s">
        <v>810</v>
      </c>
      <c r="W61" s="223"/>
      <c r="X61" s="223"/>
      <c r="Y61" s="223"/>
      <c r="Z61" s="223"/>
      <c r="AA61" s="223"/>
      <c r="AB61" s="223"/>
      <c r="AC61" s="223"/>
      <c r="AD61" s="224"/>
      <c r="AE61" s="204"/>
      <c r="AF61" s="208"/>
      <c r="AG61" s="204"/>
      <c r="AH61" s="204"/>
      <c r="AI61" s="204"/>
      <c r="AJ61" s="204"/>
      <c r="AK61" s="204"/>
      <c r="AL61" s="204"/>
      <c r="AM61" s="204"/>
      <c r="AN61" s="209"/>
      <c r="AO61" s="204"/>
      <c r="AP61" s="205"/>
      <c r="AQ61" s="204"/>
      <c r="AR61" s="204"/>
      <c r="AS61" s="204"/>
      <c r="AT61" s="204"/>
      <c r="AU61" s="204"/>
      <c r="AV61" s="204"/>
      <c r="AW61" s="204"/>
      <c r="AX61" s="206"/>
      <c r="AY61" s="204"/>
      <c r="AZ61" s="205"/>
      <c r="BA61" s="204"/>
      <c r="BB61" s="204"/>
      <c r="BC61" s="204"/>
      <c r="BD61" s="204"/>
      <c r="BE61" s="204"/>
      <c r="BF61" s="204"/>
      <c r="BG61" s="204"/>
      <c r="BH61" s="206"/>
      <c r="BI61" s="204"/>
      <c r="BJ61" s="205"/>
      <c r="BK61" s="204"/>
      <c r="BL61" s="204"/>
      <c r="BM61" s="204"/>
      <c r="BN61" s="204"/>
      <c r="BO61" s="204"/>
      <c r="BP61" s="204"/>
      <c r="BQ61" s="204"/>
      <c r="BR61" s="206"/>
    </row>
    <row r="62" spans="1:70" ht="12" customHeight="1" x14ac:dyDescent="0.3">
      <c r="B62" s="432" t="s">
        <v>281</v>
      </c>
      <c r="C62" s="432"/>
      <c r="D62" s="432"/>
      <c r="E62" s="432"/>
      <c r="F62" s="432"/>
      <c r="G62" s="433">
        <f>CEILING(2509*A3,1)</f>
        <v>3513</v>
      </c>
      <c r="H62" s="433"/>
      <c r="I62" s="433"/>
      <c r="J62" s="433"/>
      <c r="K62" s="186"/>
      <c r="L62" s="227"/>
      <c r="M62" s="191"/>
      <c r="N62" s="191"/>
      <c r="O62" s="191"/>
      <c r="P62" s="191"/>
      <c r="Q62" s="228"/>
      <c r="R62" s="228"/>
      <c r="S62" s="228"/>
      <c r="T62" s="228"/>
      <c r="U62" s="218"/>
      <c r="V62" s="229" t="s">
        <v>813</v>
      </c>
      <c r="W62" s="228"/>
      <c r="X62" s="228"/>
      <c r="Y62" s="228"/>
      <c r="Z62" s="228"/>
      <c r="AA62" s="228"/>
      <c r="AB62" s="228"/>
      <c r="AC62" s="228"/>
      <c r="AD62" s="230"/>
      <c r="AE62" s="186"/>
      <c r="AF62" s="432" t="s">
        <v>282</v>
      </c>
      <c r="AG62" s="432"/>
      <c r="AH62" s="432"/>
      <c r="AI62" s="432"/>
      <c r="AJ62" s="432"/>
      <c r="AK62" s="433">
        <f>CEILING(1436*A3,1)</f>
        <v>2011</v>
      </c>
      <c r="AL62" s="433"/>
      <c r="AM62" s="433"/>
      <c r="AN62" s="433"/>
      <c r="AO62" s="183"/>
      <c r="AP62" s="432" t="s">
        <v>282</v>
      </c>
      <c r="AQ62" s="432"/>
      <c r="AR62" s="432"/>
      <c r="AS62" s="432"/>
      <c r="AT62" s="432"/>
      <c r="AU62" s="433">
        <f>CEILING(1908*A3,1)</f>
        <v>2672</v>
      </c>
      <c r="AV62" s="433"/>
      <c r="AW62" s="433"/>
      <c r="AX62" s="433"/>
      <c r="AY62" s="186"/>
      <c r="AZ62" s="185"/>
      <c r="BA62" s="186"/>
      <c r="BB62" s="186"/>
      <c r="BC62" s="186"/>
      <c r="BD62" s="186"/>
      <c r="BE62" s="186"/>
      <c r="BF62" s="186"/>
      <c r="BG62" s="186"/>
      <c r="BH62" s="187"/>
      <c r="BI62" s="186"/>
      <c r="BJ62" s="185"/>
      <c r="BK62" s="186"/>
      <c r="BL62" s="186"/>
      <c r="BM62" s="186"/>
      <c r="BN62" s="186"/>
      <c r="BO62" s="186"/>
      <c r="BP62" s="186"/>
      <c r="BQ62" s="186"/>
      <c r="BR62" s="187"/>
    </row>
    <row r="63" spans="1:70" ht="10.95" customHeight="1" x14ac:dyDescent="0.3">
      <c r="B63" s="432" t="s">
        <v>283</v>
      </c>
      <c r="C63" s="432"/>
      <c r="D63" s="432"/>
      <c r="E63" s="432"/>
      <c r="F63" s="432"/>
      <c r="G63" s="433">
        <f>CEILING(2711*A3,1)</f>
        <v>3796</v>
      </c>
      <c r="H63" s="433"/>
      <c r="I63" s="433"/>
      <c r="J63" s="433"/>
      <c r="K63" s="183"/>
      <c r="L63" s="467" t="s">
        <v>811</v>
      </c>
      <c r="M63" s="468"/>
      <c r="N63" s="468"/>
      <c r="O63" s="468"/>
      <c r="P63" s="468"/>
      <c r="Q63" s="433">
        <f>CEILING(2566*A3,1)</f>
        <v>3593</v>
      </c>
      <c r="R63" s="433"/>
      <c r="S63" s="433"/>
      <c r="T63" s="433"/>
      <c r="U63" s="190"/>
      <c r="V63" s="464" t="s">
        <v>835</v>
      </c>
      <c r="W63" s="465"/>
      <c r="X63" s="465"/>
      <c r="Y63" s="465"/>
      <c r="Z63" s="465"/>
      <c r="AA63" s="465"/>
      <c r="AB63" s="465"/>
      <c r="AC63" s="465"/>
      <c r="AD63" s="466"/>
      <c r="AE63" s="183"/>
      <c r="AF63" s="432" t="s">
        <v>284</v>
      </c>
      <c r="AG63" s="432"/>
      <c r="AH63" s="432"/>
      <c r="AI63" s="432"/>
      <c r="AJ63" s="432"/>
      <c r="AK63" s="433">
        <f>CEILING(1728*A3,1)</f>
        <v>2420</v>
      </c>
      <c r="AL63" s="433"/>
      <c r="AM63" s="433"/>
      <c r="AN63" s="433"/>
      <c r="AO63" s="183"/>
      <c r="AP63" s="432" t="s">
        <v>284</v>
      </c>
      <c r="AQ63" s="432"/>
      <c r="AR63" s="432"/>
      <c r="AS63" s="432"/>
      <c r="AT63" s="432"/>
      <c r="AU63" s="433">
        <f>CEILING(2101*A3,1)</f>
        <v>2942</v>
      </c>
      <c r="AV63" s="433"/>
      <c r="AW63" s="433"/>
      <c r="AX63" s="433"/>
      <c r="AY63" s="186"/>
      <c r="AZ63" s="227"/>
      <c r="BA63" s="191"/>
      <c r="BB63" s="191"/>
      <c r="BC63" s="191"/>
      <c r="BD63" s="191"/>
      <c r="BE63" s="191"/>
      <c r="BF63" s="191"/>
      <c r="BG63" s="191"/>
      <c r="BH63" s="192"/>
      <c r="BI63" s="186"/>
      <c r="BJ63" s="227"/>
      <c r="BK63" s="191"/>
      <c r="BL63" s="191"/>
      <c r="BM63" s="191"/>
      <c r="BN63" s="191"/>
      <c r="BO63" s="191"/>
      <c r="BP63" s="191"/>
      <c r="BQ63" s="191"/>
      <c r="BR63" s="192"/>
    </row>
    <row r="64" spans="1:70" s="66" customFormat="1" ht="12" customHeight="1" x14ac:dyDescent="0.3">
      <c r="A64" s="196"/>
      <c r="B64" s="432" t="s">
        <v>285</v>
      </c>
      <c r="C64" s="432"/>
      <c r="D64" s="432"/>
      <c r="E64" s="432"/>
      <c r="F64" s="432"/>
      <c r="G64" s="433">
        <f>CEILING(2840*A3,1)</f>
        <v>3976</v>
      </c>
      <c r="H64" s="433"/>
      <c r="I64" s="433"/>
      <c r="J64" s="433"/>
      <c r="K64" s="183"/>
      <c r="L64" s="467" t="s">
        <v>812</v>
      </c>
      <c r="M64" s="468"/>
      <c r="N64" s="468"/>
      <c r="O64" s="468"/>
      <c r="P64" s="468"/>
      <c r="Q64" s="433">
        <f>CEILING(2842*A3,1)</f>
        <v>3979</v>
      </c>
      <c r="R64" s="433"/>
      <c r="S64" s="433"/>
      <c r="T64" s="433"/>
      <c r="U64" s="183"/>
      <c r="V64" s="464" t="s">
        <v>836</v>
      </c>
      <c r="W64" s="465"/>
      <c r="X64" s="465"/>
      <c r="Y64" s="465"/>
      <c r="Z64" s="465"/>
      <c r="AA64" s="465"/>
      <c r="AB64" s="465"/>
      <c r="AC64" s="465"/>
      <c r="AD64" s="466"/>
      <c r="AE64" s="183"/>
      <c r="AF64" s="432" t="s">
        <v>85</v>
      </c>
      <c r="AG64" s="432"/>
      <c r="AH64" s="432"/>
      <c r="AI64" s="432"/>
      <c r="AJ64" s="432"/>
      <c r="AK64" s="433">
        <f>CEILING(20600*A3,1)</f>
        <v>28840</v>
      </c>
      <c r="AL64" s="433"/>
      <c r="AM64" s="433"/>
      <c r="AN64" s="433"/>
      <c r="AO64" s="183"/>
      <c r="AP64" s="432" t="s">
        <v>85</v>
      </c>
      <c r="AQ64" s="432"/>
      <c r="AR64" s="432"/>
      <c r="AS64" s="432"/>
      <c r="AT64" s="432"/>
      <c r="AU64" s="433">
        <f>CEILING(2303*A3,1)</f>
        <v>3225</v>
      </c>
      <c r="AV64" s="433"/>
      <c r="AW64" s="433"/>
      <c r="AX64" s="433"/>
      <c r="AY64" s="231"/>
      <c r="AZ64" s="433" t="s">
        <v>286</v>
      </c>
      <c r="BA64" s="433"/>
      <c r="BB64" s="433"/>
      <c r="BC64" s="433"/>
      <c r="BD64" s="433"/>
      <c r="BE64" s="433">
        <f>CEILING(2213*A3,1)</f>
        <v>3099</v>
      </c>
      <c r="BF64" s="433"/>
      <c r="BG64" s="433"/>
      <c r="BH64" s="433"/>
      <c r="BI64" s="183"/>
      <c r="BJ64" s="433" t="s">
        <v>287</v>
      </c>
      <c r="BK64" s="433"/>
      <c r="BL64" s="433"/>
      <c r="BM64" s="433"/>
      <c r="BN64" s="433"/>
      <c r="BO64" s="433">
        <f>CEILING(1587*A3,1)</f>
        <v>2222</v>
      </c>
      <c r="BP64" s="433"/>
      <c r="BQ64" s="433"/>
      <c r="BR64" s="433"/>
    </row>
    <row r="65" spans="1:70" ht="1.5" customHeight="1" x14ac:dyDescent="0.3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</row>
    <row r="66" spans="1:70" ht="9" customHeight="1" x14ac:dyDescent="0.3">
      <c r="B66" s="429" t="s">
        <v>288</v>
      </c>
      <c r="C66" s="430"/>
      <c r="D66" s="431"/>
      <c r="E66" s="445" t="s">
        <v>269</v>
      </c>
      <c r="F66" s="445"/>
      <c r="G66" s="445"/>
      <c r="H66" s="445"/>
      <c r="I66" s="445"/>
      <c r="J66" s="446"/>
      <c r="K66" s="175"/>
      <c r="L66" s="429" t="s">
        <v>289</v>
      </c>
      <c r="M66" s="430"/>
      <c r="N66" s="431"/>
      <c r="O66" s="445" t="s">
        <v>269</v>
      </c>
      <c r="P66" s="445"/>
      <c r="Q66" s="445"/>
      <c r="R66" s="445"/>
      <c r="S66" s="445"/>
      <c r="T66" s="446"/>
      <c r="U66" s="175"/>
      <c r="V66" s="429" t="s">
        <v>290</v>
      </c>
      <c r="W66" s="430"/>
      <c r="X66" s="431"/>
      <c r="Y66" s="445" t="s">
        <v>269</v>
      </c>
      <c r="Z66" s="445"/>
      <c r="AA66" s="445"/>
      <c r="AB66" s="445"/>
      <c r="AC66" s="445"/>
      <c r="AD66" s="446"/>
      <c r="AE66" s="175"/>
      <c r="AF66" s="429" t="s">
        <v>291</v>
      </c>
      <c r="AG66" s="430"/>
      <c r="AH66" s="431"/>
      <c r="AI66" s="445" t="s">
        <v>269</v>
      </c>
      <c r="AJ66" s="445"/>
      <c r="AK66" s="445"/>
      <c r="AL66" s="445"/>
      <c r="AM66" s="445"/>
      <c r="AN66" s="446"/>
      <c r="AO66" s="175"/>
      <c r="AP66" s="429" t="s">
        <v>292</v>
      </c>
      <c r="AQ66" s="430"/>
      <c r="AR66" s="431"/>
      <c r="AS66" s="445" t="s">
        <v>269</v>
      </c>
      <c r="AT66" s="445"/>
      <c r="AU66" s="445"/>
      <c r="AV66" s="445"/>
      <c r="AW66" s="445"/>
      <c r="AX66" s="446"/>
      <c r="AY66" s="175"/>
      <c r="AZ66" s="429" t="s">
        <v>293</v>
      </c>
      <c r="BA66" s="430"/>
      <c r="BB66" s="431"/>
      <c r="BC66" s="427" t="s">
        <v>294</v>
      </c>
      <c r="BD66" s="427"/>
      <c r="BE66" s="427"/>
      <c r="BF66" s="427"/>
      <c r="BG66" s="427"/>
      <c r="BH66" s="428"/>
      <c r="BI66" s="204"/>
      <c r="BJ66" s="429" t="s">
        <v>295</v>
      </c>
      <c r="BK66" s="430"/>
      <c r="BL66" s="431"/>
      <c r="BM66" s="427" t="s">
        <v>296</v>
      </c>
      <c r="BN66" s="427"/>
      <c r="BO66" s="427"/>
      <c r="BP66" s="427"/>
      <c r="BQ66" s="427"/>
      <c r="BR66" s="428"/>
    </row>
    <row r="67" spans="1:70" ht="9" customHeight="1" x14ac:dyDescent="0.3">
      <c r="B67" s="423" t="s">
        <v>595</v>
      </c>
      <c r="C67" s="424"/>
      <c r="D67" s="424"/>
      <c r="E67" s="424"/>
      <c r="F67" s="424"/>
      <c r="G67" s="424"/>
      <c r="H67" s="424"/>
      <c r="I67" s="424"/>
      <c r="J67" s="425"/>
      <c r="K67" s="180"/>
      <c r="L67" s="423" t="s">
        <v>595</v>
      </c>
      <c r="M67" s="424"/>
      <c r="N67" s="424"/>
      <c r="O67" s="424"/>
      <c r="P67" s="424"/>
      <c r="Q67" s="424"/>
      <c r="R67" s="424"/>
      <c r="S67" s="424"/>
      <c r="T67" s="425"/>
      <c r="U67" s="180"/>
      <c r="V67" s="423" t="s">
        <v>595</v>
      </c>
      <c r="W67" s="424"/>
      <c r="X67" s="424"/>
      <c r="Y67" s="424"/>
      <c r="Z67" s="424"/>
      <c r="AA67" s="424"/>
      <c r="AB67" s="424"/>
      <c r="AC67" s="424"/>
      <c r="AD67" s="425"/>
      <c r="AE67" s="180"/>
      <c r="AF67" s="423" t="s">
        <v>595</v>
      </c>
      <c r="AG67" s="424"/>
      <c r="AH67" s="424"/>
      <c r="AI67" s="424"/>
      <c r="AJ67" s="424"/>
      <c r="AK67" s="424"/>
      <c r="AL67" s="424"/>
      <c r="AM67" s="424"/>
      <c r="AN67" s="425"/>
      <c r="AO67" s="180"/>
      <c r="AP67" s="423" t="s">
        <v>595</v>
      </c>
      <c r="AQ67" s="424"/>
      <c r="AR67" s="424"/>
      <c r="AS67" s="424"/>
      <c r="AT67" s="424"/>
      <c r="AU67" s="424"/>
      <c r="AV67" s="424"/>
      <c r="AW67" s="424"/>
      <c r="AX67" s="425"/>
      <c r="AY67" s="175"/>
      <c r="AZ67" s="232"/>
      <c r="BA67" s="223"/>
      <c r="BB67" s="223"/>
      <c r="BC67" s="223"/>
      <c r="BD67" s="223"/>
      <c r="BE67" s="223"/>
      <c r="BF67" s="223"/>
      <c r="BG67" s="223"/>
      <c r="BH67" s="224"/>
      <c r="BI67" s="204"/>
      <c r="BJ67" s="232"/>
      <c r="BK67" s="223"/>
      <c r="BL67" s="223"/>
      <c r="BM67" s="223"/>
      <c r="BN67" s="223"/>
      <c r="BO67" s="223"/>
      <c r="BP67" s="223"/>
      <c r="BQ67" s="223"/>
      <c r="BR67" s="224"/>
    </row>
    <row r="68" spans="1:70" ht="9" customHeight="1" x14ac:dyDescent="0.3">
      <c r="B68" s="423" t="s">
        <v>297</v>
      </c>
      <c r="C68" s="424"/>
      <c r="D68" s="424"/>
      <c r="E68" s="424"/>
      <c r="F68" s="424"/>
      <c r="G68" s="424"/>
      <c r="H68" s="424"/>
      <c r="I68" s="424"/>
      <c r="J68" s="425"/>
      <c r="K68" s="180"/>
      <c r="L68" s="423" t="s">
        <v>298</v>
      </c>
      <c r="M68" s="424"/>
      <c r="N68" s="424"/>
      <c r="O68" s="424"/>
      <c r="P68" s="424"/>
      <c r="Q68" s="424"/>
      <c r="R68" s="424"/>
      <c r="S68" s="424"/>
      <c r="T68" s="425"/>
      <c r="U68" s="180"/>
      <c r="V68" s="423" t="s">
        <v>596</v>
      </c>
      <c r="W68" s="424"/>
      <c r="X68" s="424"/>
      <c r="Y68" s="424"/>
      <c r="Z68" s="424"/>
      <c r="AA68" s="424"/>
      <c r="AB68" s="424"/>
      <c r="AC68" s="424"/>
      <c r="AD68" s="425"/>
      <c r="AE68" s="180"/>
      <c r="AF68" s="423" t="s">
        <v>596</v>
      </c>
      <c r="AG68" s="424"/>
      <c r="AH68" s="424"/>
      <c r="AI68" s="424"/>
      <c r="AJ68" s="424"/>
      <c r="AK68" s="424"/>
      <c r="AL68" s="424"/>
      <c r="AM68" s="424"/>
      <c r="AN68" s="425"/>
      <c r="AO68" s="180"/>
      <c r="AP68" s="423" t="s">
        <v>599</v>
      </c>
      <c r="AQ68" s="424"/>
      <c r="AR68" s="424"/>
      <c r="AS68" s="424"/>
      <c r="AT68" s="424"/>
      <c r="AU68" s="424"/>
      <c r="AV68" s="424"/>
      <c r="AW68" s="424"/>
      <c r="AX68" s="425"/>
      <c r="AY68" s="175"/>
      <c r="AZ68" s="232"/>
      <c r="BA68" s="223"/>
      <c r="BB68" s="223"/>
      <c r="BC68" s="180"/>
      <c r="BD68" s="180"/>
      <c r="BE68" s="180"/>
      <c r="BF68" s="180"/>
      <c r="BG68" s="180"/>
      <c r="BH68" s="181"/>
      <c r="BI68" s="204"/>
      <c r="BJ68" s="232"/>
      <c r="BK68" s="223"/>
      <c r="BL68" s="223"/>
      <c r="BM68" s="180"/>
      <c r="BN68" s="180"/>
      <c r="BO68" s="180"/>
      <c r="BP68" s="180"/>
      <c r="BQ68" s="180"/>
      <c r="BR68" s="181"/>
    </row>
    <row r="69" spans="1:70" ht="9" customHeight="1" x14ac:dyDescent="0.3">
      <c r="B69" s="179"/>
      <c r="C69" s="180"/>
      <c r="D69" s="180"/>
      <c r="E69" s="180"/>
      <c r="F69" s="180"/>
      <c r="G69" s="180"/>
      <c r="H69" s="180"/>
      <c r="I69" s="180"/>
      <c r="J69" s="181"/>
      <c r="K69" s="180"/>
      <c r="L69" s="179"/>
      <c r="M69" s="180"/>
      <c r="N69" s="180"/>
      <c r="O69" s="180"/>
      <c r="P69" s="180"/>
      <c r="Q69" s="180"/>
      <c r="R69" s="180"/>
      <c r="S69" s="180"/>
      <c r="T69" s="181"/>
      <c r="U69" s="180"/>
      <c r="V69" s="423" t="s">
        <v>597</v>
      </c>
      <c r="W69" s="424"/>
      <c r="X69" s="424"/>
      <c r="Y69" s="424"/>
      <c r="Z69" s="424"/>
      <c r="AA69" s="424"/>
      <c r="AB69" s="424"/>
      <c r="AC69" s="424"/>
      <c r="AD69" s="425"/>
      <c r="AE69" s="180"/>
      <c r="AF69" s="423" t="s">
        <v>598</v>
      </c>
      <c r="AG69" s="424"/>
      <c r="AH69" s="424"/>
      <c r="AI69" s="424"/>
      <c r="AJ69" s="424"/>
      <c r="AK69" s="424"/>
      <c r="AL69" s="424"/>
      <c r="AM69" s="424"/>
      <c r="AN69" s="425"/>
      <c r="AO69" s="180"/>
      <c r="AP69" s="423" t="s">
        <v>600</v>
      </c>
      <c r="AQ69" s="424"/>
      <c r="AR69" s="424"/>
      <c r="AS69" s="424"/>
      <c r="AT69" s="424"/>
      <c r="AU69" s="424"/>
      <c r="AV69" s="424"/>
      <c r="AW69" s="424"/>
      <c r="AX69" s="425"/>
      <c r="AY69" s="175"/>
      <c r="AZ69" s="232"/>
      <c r="BA69" s="223"/>
      <c r="BB69" s="223"/>
      <c r="BC69" s="223"/>
      <c r="BD69" s="223"/>
      <c r="BE69" s="223"/>
      <c r="BF69" s="223"/>
      <c r="BG69" s="223"/>
      <c r="BH69" s="224"/>
      <c r="BI69" s="204"/>
      <c r="BJ69" s="179"/>
      <c r="BK69" s="180"/>
      <c r="BL69" s="180"/>
      <c r="BM69" s="180"/>
      <c r="BN69" s="180"/>
      <c r="BO69" s="180"/>
      <c r="BP69" s="180"/>
      <c r="BQ69" s="180"/>
      <c r="BR69" s="181"/>
    </row>
    <row r="70" spans="1:70" ht="9" customHeight="1" x14ac:dyDescent="0.3">
      <c r="B70" s="176"/>
      <c r="C70" s="175"/>
      <c r="D70" s="175"/>
      <c r="E70" s="175"/>
      <c r="F70" s="175"/>
      <c r="G70" s="175"/>
      <c r="H70" s="175"/>
      <c r="I70" s="175"/>
      <c r="J70" s="177"/>
      <c r="K70" s="175"/>
      <c r="L70" s="176"/>
      <c r="M70" s="175"/>
      <c r="N70" s="175"/>
      <c r="O70" s="175"/>
      <c r="P70" s="175"/>
      <c r="Q70" s="175"/>
      <c r="R70" s="175"/>
      <c r="S70" s="175"/>
      <c r="T70" s="177"/>
      <c r="U70" s="175"/>
      <c r="V70" s="176"/>
      <c r="W70" s="175"/>
      <c r="X70" s="175"/>
      <c r="Y70" s="175"/>
      <c r="Z70" s="175"/>
      <c r="AA70" s="175"/>
      <c r="AB70" s="175"/>
      <c r="AC70" s="175"/>
      <c r="AD70" s="177"/>
      <c r="AE70" s="175"/>
      <c r="AF70" s="176"/>
      <c r="AG70" s="175"/>
      <c r="AH70" s="175"/>
      <c r="AI70" s="175"/>
      <c r="AJ70" s="175"/>
      <c r="AK70" s="175"/>
      <c r="AL70" s="175"/>
      <c r="AM70" s="175"/>
      <c r="AN70" s="177"/>
      <c r="AO70" s="175"/>
      <c r="AP70" s="176"/>
      <c r="AQ70" s="175"/>
      <c r="AR70" s="175"/>
      <c r="AS70" s="175"/>
      <c r="AT70" s="175"/>
      <c r="AU70" s="175"/>
      <c r="AV70" s="175"/>
      <c r="AW70" s="175"/>
      <c r="AX70" s="177"/>
      <c r="AY70" s="175"/>
      <c r="AZ70" s="232"/>
      <c r="BA70" s="223"/>
      <c r="BB70" s="223"/>
      <c r="BC70" s="223"/>
      <c r="BD70" s="223"/>
      <c r="BE70" s="223"/>
      <c r="BF70" s="223"/>
      <c r="BG70" s="223"/>
      <c r="BH70" s="224"/>
      <c r="BI70" s="204"/>
      <c r="BJ70" s="232"/>
      <c r="BK70" s="223"/>
      <c r="BL70" s="223"/>
      <c r="BM70" s="223"/>
      <c r="BN70" s="223"/>
      <c r="BO70" s="223"/>
      <c r="BP70" s="223"/>
      <c r="BQ70" s="223"/>
      <c r="BR70" s="224"/>
    </row>
    <row r="71" spans="1:70" ht="9" customHeight="1" x14ac:dyDescent="0.3">
      <c r="B71" s="176"/>
      <c r="C71" s="175"/>
      <c r="D71" s="175"/>
      <c r="E71" s="175"/>
      <c r="F71" s="175"/>
      <c r="G71" s="175"/>
      <c r="H71" s="175"/>
      <c r="I71" s="175"/>
      <c r="J71" s="177"/>
      <c r="K71" s="175"/>
      <c r="L71" s="176"/>
      <c r="M71" s="175"/>
      <c r="N71" s="175"/>
      <c r="O71" s="175"/>
      <c r="P71" s="175"/>
      <c r="Q71" s="175"/>
      <c r="R71" s="175"/>
      <c r="S71" s="175"/>
      <c r="T71" s="177"/>
      <c r="U71" s="175"/>
      <c r="V71" s="176"/>
      <c r="W71" s="175"/>
      <c r="X71" s="175"/>
      <c r="Y71" s="175"/>
      <c r="Z71" s="175"/>
      <c r="AA71" s="175"/>
      <c r="AB71" s="175"/>
      <c r="AC71" s="175"/>
      <c r="AD71" s="177"/>
      <c r="AE71" s="175"/>
      <c r="AF71" s="176"/>
      <c r="AG71" s="175"/>
      <c r="AH71" s="175"/>
      <c r="AI71" s="175"/>
      <c r="AJ71" s="175"/>
      <c r="AK71" s="175"/>
      <c r="AL71" s="175"/>
      <c r="AM71" s="175"/>
      <c r="AN71" s="177"/>
      <c r="AO71" s="175"/>
      <c r="AP71" s="176"/>
      <c r="AQ71" s="175"/>
      <c r="AR71" s="175"/>
      <c r="AS71" s="175"/>
      <c r="AT71" s="175"/>
      <c r="AU71" s="175"/>
      <c r="AV71" s="175"/>
      <c r="AW71" s="175"/>
      <c r="AX71" s="177"/>
      <c r="AY71" s="175"/>
      <c r="AZ71" s="232"/>
      <c r="BA71" s="223"/>
      <c r="BB71" s="223"/>
      <c r="BC71" s="223"/>
      <c r="BD71" s="223"/>
      <c r="BE71" s="223"/>
      <c r="BF71" s="223"/>
      <c r="BG71" s="223"/>
      <c r="BH71" s="224"/>
      <c r="BI71" s="204"/>
      <c r="BJ71" s="232"/>
      <c r="BK71" s="223"/>
      <c r="BL71" s="223"/>
      <c r="BM71" s="223"/>
      <c r="BN71" s="223"/>
      <c r="BO71" s="223"/>
      <c r="BP71" s="223"/>
      <c r="BQ71" s="223"/>
      <c r="BR71" s="224"/>
    </row>
    <row r="72" spans="1:70" ht="9" customHeight="1" x14ac:dyDescent="0.3">
      <c r="B72" s="176"/>
      <c r="C72" s="175"/>
      <c r="D72" s="175"/>
      <c r="E72" s="175"/>
      <c r="F72" s="175"/>
      <c r="G72" s="175"/>
      <c r="H72" s="175"/>
      <c r="I72" s="175"/>
      <c r="J72" s="177"/>
      <c r="K72" s="175"/>
      <c r="L72" s="176"/>
      <c r="M72" s="175"/>
      <c r="N72" s="175"/>
      <c r="O72" s="175"/>
      <c r="P72" s="175"/>
      <c r="Q72" s="175"/>
      <c r="R72" s="175"/>
      <c r="S72" s="175"/>
      <c r="T72" s="177"/>
      <c r="U72" s="175"/>
      <c r="V72" s="176"/>
      <c r="W72" s="175"/>
      <c r="X72" s="175"/>
      <c r="Y72" s="175"/>
      <c r="Z72" s="175"/>
      <c r="AA72" s="175"/>
      <c r="AB72" s="175"/>
      <c r="AC72" s="175"/>
      <c r="AD72" s="177"/>
      <c r="AE72" s="175"/>
      <c r="AF72" s="176"/>
      <c r="AG72" s="175"/>
      <c r="AH72" s="175"/>
      <c r="AI72" s="175"/>
      <c r="AJ72" s="175"/>
      <c r="AK72" s="175"/>
      <c r="AL72" s="175"/>
      <c r="AM72" s="175"/>
      <c r="AN72" s="177"/>
      <c r="AO72" s="175"/>
      <c r="AP72" s="176"/>
      <c r="AQ72" s="175"/>
      <c r="AR72" s="175"/>
      <c r="AS72" s="175"/>
      <c r="AT72" s="175"/>
      <c r="AU72" s="175"/>
      <c r="AV72" s="175"/>
      <c r="AW72" s="175"/>
      <c r="AX72" s="177"/>
      <c r="AY72" s="175"/>
      <c r="AZ72" s="232"/>
      <c r="BA72" s="223"/>
      <c r="BB72" s="223"/>
      <c r="BC72" s="223"/>
      <c r="BD72" s="223"/>
      <c r="BE72" s="223"/>
      <c r="BF72" s="223"/>
      <c r="BG72" s="223"/>
      <c r="BH72" s="224"/>
      <c r="BI72" s="204"/>
      <c r="BJ72" s="232"/>
      <c r="BK72" s="223"/>
      <c r="BL72" s="223"/>
      <c r="BM72" s="223"/>
      <c r="BN72" s="223"/>
      <c r="BO72" s="223"/>
      <c r="BP72" s="223"/>
      <c r="BQ72" s="223"/>
      <c r="BR72" s="224"/>
    </row>
    <row r="73" spans="1:70" ht="9" customHeight="1" x14ac:dyDescent="0.3">
      <c r="B73" s="176"/>
      <c r="C73" s="175"/>
      <c r="D73" s="175"/>
      <c r="E73" s="175"/>
      <c r="F73" s="175"/>
      <c r="G73" s="175"/>
      <c r="H73" s="175"/>
      <c r="I73" s="175"/>
      <c r="J73" s="177"/>
      <c r="K73" s="175"/>
      <c r="L73" s="176"/>
      <c r="M73" s="175"/>
      <c r="N73" s="175"/>
      <c r="O73" s="175"/>
      <c r="P73" s="175"/>
      <c r="Q73" s="175"/>
      <c r="R73" s="175"/>
      <c r="S73" s="175"/>
      <c r="T73" s="177"/>
      <c r="U73" s="175"/>
      <c r="V73" s="176"/>
      <c r="W73" s="175"/>
      <c r="X73" s="175"/>
      <c r="Y73" s="175"/>
      <c r="Z73" s="175"/>
      <c r="AA73" s="175"/>
      <c r="AB73" s="175"/>
      <c r="AC73" s="175"/>
      <c r="AD73" s="177"/>
      <c r="AE73" s="175"/>
      <c r="AF73" s="176"/>
      <c r="AG73" s="175"/>
      <c r="AH73" s="175"/>
      <c r="AI73" s="175"/>
      <c r="AJ73" s="175"/>
      <c r="AK73" s="175"/>
      <c r="AL73" s="175"/>
      <c r="AM73" s="175"/>
      <c r="AN73" s="177"/>
      <c r="AO73" s="175"/>
      <c r="AP73" s="176"/>
      <c r="AQ73" s="175"/>
      <c r="AR73" s="175"/>
      <c r="AS73" s="175"/>
      <c r="AT73" s="175"/>
      <c r="AU73" s="175"/>
      <c r="AV73" s="175"/>
      <c r="AW73" s="175"/>
      <c r="AX73" s="177"/>
      <c r="AY73" s="175"/>
      <c r="AZ73" s="232"/>
      <c r="BA73" s="223"/>
      <c r="BB73" s="223"/>
      <c r="BC73" s="223"/>
      <c r="BD73" s="223"/>
      <c r="BE73" s="223"/>
      <c r="BF73" s="223"/>
      <c r="BG73" s="223"/>
      <c r="BH73" s="224"/>
      <c r="BI73" s="204"/>
      <c r="BJ73" s="232"/>
      <c r="BK73" s="223"/>
      <c r="BL73" s="223"/>
      <c r="BM73" s="223"/>
      <c r="BN73" s="223"/>
      <c r="BO73" s="223"/>
      <c r="BP73" s="223"/>
      <c r="BQ73" s="223"/>
      <c r="BR73" s="224"/>
    </row>
    <row r="74" spans="1:70" ht="9" customHeight="1" x14ac:dyDescent="0.3">
      <c r="B74" s="176"/>
      <c r="C74" s="175"/>
      <c r="D74" s="175"/>
      <c r="E74" s="175"/>
      <c r="F74" s="175"/>
      <c r="G74" s="175"/>
      <c r="H74" s="175"/>
      <c r="I74" s="175"/>
      <c r="J74" s="177"/>
      <c r="K74" s="175"/>
      <c r="L74" s="176"/>
      <c r="M74" s="175"/>
      <c r="N74" s="175"/>
      <c r="O74" s="175"/>
      <c r="P74" s="175"/>
      <c r="Q74" s="175"/>
      <c r="R74" s="175"/>
      <c r="S74" s="175"/>
      <c r="T74" s="177"/>
      <c r="U74" s="175"/>
      <c r="V74" s="176"/>
      <c r="W74" s="175"/>
      <c r="X74" s="175"/>
      <c r="Y74" s="175"/>
      <c r="Z74" s="175"/>
      <c r="AA74" s="175"/>
      <c r="AB74" s="175"/>
      <c r="AC74" s="175"/>
      <c r="AD74" s="177"/>
      <c r="AE74" s="175"/>
      <c r="AF74" s="176"/>
      <c r="AG74" s="175"/>
      <c r="AH74" s="175"/>
      <c r="AI74" s="175"/>
      <c r="AJ74" s="175"/>
      <c r="AK74" s="175"/>
      <c r="AL74" s="175"/>
      <c r="AM74" s="175"/>
      <c r="AN74" s="177"/>
      <c r="AO74" s="175"/>
      <c r="AP74" s="176"/>
      <c r="AQ74" s="175"/>
      <c r="AR74" s="175"/>
      <c r="AS74" s="175"/>
      <c r="AT74" s="175"/>
      <c r="AU74" s="175"/>
      <c r="AV74" s="175"/>
      <c r="AW74" s="175"/>
      <c r="AX74" s="177"/>
      <c r="AY74" s="175"/>
      <c r="AZ74" s="232"/>
      <c r="BA74" s="223"/>
      <c r="BB74" s="223"/>
      <c r="BC74" s="223"/>
      <c r="BD74" s="223"/>
      <c r="BE74" s="223"/>
      <c r="BF74" s="223"/>
      <c r="BG74" s="223"/>
      <c r="BH74" s="224"/>
      <c r="BI74" s="204"/>
      <c r="BJ74" s="232"/>
      <c r="BK74" s="223"/>
      <c r="BL74" s="223"/>
      <c r="BM74" s="223"/>
      <c r="BN74" s="223"/>
      <c r="BO74" s="223"/>
      <c r="BP74" s="223"/>
      <c r="BQ74" s="223"/>
      <c r="BR74" s="224"/>
    </row>
    <row r="75" spans="1:70" ht="9" customHeight="1" x14ac:dyDescent="0.3">
      <c r="B75" s="176"/>
      <c r="C75" s="175"/>
      <c r="D75" s="175"/>
      <c r="E75" s="175"/>
      <c r="F75" s="175"/>
      <c r="G75" s="175"/>
      <c r="H75" s="175"/>
      <c r="I75" s="175"/>
      <c r="J75" s="177"/>
      <c r="K75" s="175"/>
      <c r="L75" s="176"/>
      <c r="M75" s="175"/>
      <c r="N75" s="175"/>
      <c r="O75" s="175"/>
      <c r="P75" s="175"/>
      <c r="Q75" s="175"/>
      <c r="R75" s="175"/>
      <c r="S75" s="175"/>
      <c r="T75" s="177"/>
      <c r="U75" s="175"/>
      <c r="V75" s="176"/>
      <c r="W75" s="175"/>
      <c r="X75" s="175"/>
      <c r="Y75" s="175"/>
      <c r="Z75" s="175"/>
      <c r="AA75" s="175"/>
      <c r="AB75" s="175"/>
      <c r="AC75" s="175"/>
      <c r="AD75" s="177"/>
      <c r="AE75" s="175"/>
      <c r="AF75" s="176"/>
      <c r="AG75" s="175"/>
      <c r="AH75" s="175"/>
      <c r="AI75" s="175"/>
      <c r="AJ75" s="175"/>
      <c r="AK75" s="175"/>
      <c r="AL75" s="175"/>
      <c r="AM75" s="175"/>
      <c r="AN75" s="177"/>
      <c r="AO75" s="175"/>
      <c r="AP75" s="176"/>
      <c r="AQ75" s="175"/>
      <c r="AR75" s="175"/>
      <c r="AS75" s="175"/>
      <c r="AT75" s="175"/>
      <c r="AU75" s="175"/>
      <c r="AV75" s="175"/>
      <c r="AW75" s="175"/>
      <c r="AX75" s="177"/>
      <c r="AY75" s="175"/>
      <c r="AZ75" s="232"/>
      <c r="BA75" s="223"/>
      <c r="BB75" s="223"/>
      <c r="BC75" s="223"/>
      <c r="BD75" s="223"/>
      <c r="BE75" s="223"/>
      <c r="BF75" s="223"/>
      <c r="BG75" s="223"/>
      <c r="BH75" s="224"/>
      <c r="BI75" s="204"/>
      <c r="BJ75" s="232"/>
      <c r="BK75" s="223"/>
      <c r="BL75" s="223"/>
      <c r="BM75" s="223"/>
      <c r="BN75" s="223"/>
      <c r="BO75" s="223"/>
      <c r="BP75" s="223"/>
      <c r="BQ75" s="223"/>
      <c r="BR75" s="224"/>
    </row>
    <row r="76" spans="1:70" s="41" customFormat="1" ht="9" customHeight="1" x14ac:dyDescent="0.3">
      <c r="A76" s="203"/>
      <c r="B76" s="205"/>
      <c r="C76" s="204"/>
      <c r="D76" s="204"/>
      <c r="E76" s="204"/>
      <c r="F76" s="204"/>
      <c r="G76" s="204"/>
      <c r="H76" s="204"/>
      <c r="I76" s="204"/>
      <c r="J76" s="206"/>
      <c r="K76" s="204"/>
      <c r="L76" s="205"/>
      <c r="M76" s="204"/>
      <c r="N76" s="204"/>
      <c r="O76" s="204"/>
      <c r="P76" s="204"/>
      <c r="Q76" s="204"/>
      <c r="R76" s="204"/>
      <c r="S76" s="204"/>
      <c r="T76" s="206"/>
      <c r="U76" s="204"/>
      <c r="V76" s="205"/>
      <c r="W76" s="204"/>
      <c r="X76" s="204"/>
      <c r="Y76" s="204"/>
      <c r="Z76" s="204"/>
      <c r="AA76" s="204"/>
      <c r="AB76" s="204"/>
      <c r="AC76" s="204"/>
      <c r="AD76" s="206"/>
      <c r="AE76" s="204"/>
      <c r="AF76" s="205"/>
      <c r="AG76" s="204"/>
      <c r="AH76" s="204"/>
      <c r="AI76" s="204"/>
      <c r="AJ76" s="204"/>
      <c r="AK76" s="204"/>
      <c r="AL76" s="204"/>
      <c r="AM76" s="204"/>
      <c r="AN76" s="206"/>
      <c r="AO76" s="204"/>
      <c r="AP76" s="205"/>
      <c r="AQ76" s="204"/>
      <c r="AR76" s="204"/>
      <c r="AS76" s="204"/>
      <c r="AT76" s="204"/>
      <c r="AU76" s="204"/>
      <c r="AV76" s="204"/>
      <c r="AW76" s="204"/>
      <c r="AX76" s="206"/>
      <c r="AY76" s="204"/>
      <c r="AZ76" s="232"/>
      <c r="BA76" s="223"/>
      <c r="BB76" s="223"/>
      <c r="BC76" s="223"/>
      <c r="BD76" s="223"/>
      <c r="BE76" s="223"/>
      <c r="BF76" s="223"/>
      <c r="BG76" s="223"/>
      <c r="BH76" s="224"/>
      <c r="BI76" s="175"/>
      <c r="BJ76" s="232"/>
      <c r="BK76" s="223"/>
      <c r="BL76" s="223"/>
      <c r="BM76" s="223"/>
      <c r="BN76" s="223"/>
      <c r="BO76" s="223"/>
      <c r="BP76" s="223"/>
      <c r="BQ76" s="223"/>
      <c r="BR76" s="224"/>
    </row>
    <row r="77" spans="1:70" ht="10.050000000000001" customHeight="1" x14ac:dyDescent="0.3">
      <c r="B77" s="432" t="s">
        <v>299</v>
      </c>
      <c r="C77" s="432"/>
      <c r="D77" s="432"/>
      <c r="E77" s="432"/>
      <c r="F77" s="432"/>
      <c r="G77" s="433">
        <f>CEILING(2229*A3,1)</f>
        <v>3121</v>
      </c>
      <c r="H77" s="433"/>
      <c r="I77" s="433"/>
      <c r="J77" s="433"/>
      <c r="K77" s="186"/>
      <c r="L77" s="185"/>
      <c r="M77" s="186"/>
      <c r="N77" s="186"/>
      <c r="O77" s="186"/>
      <c r="P77" s="186"/>
      <c r="Q77" s="186"/>
      <c r="R77" s="186"/>
      <c r="S77" s="186"/>
      <c r="T77" s="187"/>
      <c r="U77" s="186"/>
      <c r="V77" s="185"/>
      <c r="W77" s="186"/>
      <c r="X77" s="186"/>
      <c r="Y77" s="186"/>
      <c r="Z77" s="186"/>
      <c r="AA77" s="186"/>
      <c r="AB77" s="186"/>
      <c r="AC77" s="186"/>
      <c r="AD77" s="187"/>
      <c r="AE77" s="186"/>
      <c r="AF77" s="185"/>
      <c r="AG77" s="186"/>
      <c r="AH77" s="186"/>
      <c r="AI77" s="186"/>
      <c r="AJ77" s="186"/>
      <c r="AK77" s="186"/>
      <c r="AL77" s="186"/>
      <c r="AM77" s="186"/>
      <c r="AN77" s="187"/>
      <c r="AO77" s="186"/>
      <c r="AP77" s="185"/>
      <c r="AQ77" s="186"/>
      <c r="AR77" s="186"/>
      <c r="AS77" s="186"/>
      <c r="AT77" s="186"/>
      <c r="AU77" s="186"/>
      <c r="AV77" s="186"/>
      <c r="AW77" s="186"/>
      <c r="AX77" s="187"/>
      <c r="AY77" s="186"/>
      <c r="AZ77" s="227"/>
      <c r="BA77" s="191"/>
      <c r="BB77" s="191"/>
      <c r="BC77" s="191"/>
      <c r="BD77" s="191"/>
      <c r="BE77" s="191"/>
      <c r="BF77" s="191"/>
      <c r="BG77" s="191"/>
      <c r="BH77" s="192"/>
      <c r="BI77" s="210"/>
      <c r="BJ77" s="432" t="s">
        <v>300</v>
      </c>
      <c r="BK77" s="432"/>
      <c r="BL77" s="432"/>
      <c r="BM77" s="432"/>
      <c r="BN77" s="432"/>
      <c r="BO77" s="433">
        <f>CEILING(414*A3,1)</f>
        <v>580</v>
      </c>
      <c r="BP77" s="433"/>
      <c r="BQ77" s="433"/>
      <c r="BR77" s="433"/>
    </row>
    <row r="78" spans="1:70" s="66" customFormat="1" ht="10.95" customHeight="1" x14ac:dyDescent="0.3">
      <c r="A78" s="196"/>
      <c r="B78" s="432" t="s">
        <v>238</v>
      </c>
      <c r="C78" s="432"/>
      <c r="D78" s="432"/>
      <c r="E78" s="432"/>
      <c r="F78" s="432"/>
      <c r="G78" s="433">
        <f>CEILING(2368*A3,1)</f>
        <v>3316</v>
      </c>
      <c r="H78" s="433"/>
      <c r="I78" s="433"/>
      <c r="J78" s="433"/>
      <c r="K78" s="183"/>
      <c r="L78" s="432" t="s">
        <v>238</v>
      </c>
      <c r="M78" s="432"/>
      <c r="N78" s="432"/>
      <c r="O78" s="432"/>
      <c r="P78" s="432"/>
      <c r="Q78" s="433">
        <f>CEILING(3184*A3,1)</f>
        <v>4458</v>
      </c>
      <c r="R78" s="433"/>
      <c r="S78" s="433"/>
      <c r="T78" s="433"/>
      <c r="U78" s="183"/>
      <c r="V78" s="432" t="s">
        <v>238</v>
      </c>
      <c r="W78" s="432"/>
      <c r="X78" s="432"/>
      <c r="Y78" s="432"/>
      <c r="Z78" s="432"/>
      <c r="AA78" s="433">
        <f>CEILING(3504*A3,1)</f>
        <v>4906</v>
      </c>
      <c r="AB78" s="433"/>
      <c r="AC78" s="433"/>
      <c r="AD78" s="433"/>
      <c r="AE78" s="183"/>
      <c r="AF78" s="432" t="s">
        <v>238</v>
      </c>
      <c r="AG78" s="432"/>
      <c r="AH78" s="432"/>
      <c r="AI78" s="432"/>
      <c r="AJ78" s="432"/>
      <c r="AK78" s="433">
        <f>CEILING(4246*A3,1)</f>
        <v>5945</v>
      </c>
      <c r="AL78" s="433"/>
      <c r="AM78" s="433"/>
      <c r="AN78" s="433"/>
      <c r="AO78" s="183"/>
      <c r="AP78" s="432" t="s">
        <v>238</v>
      </c>
      <c r="AQ78" s="432"/>
      <c r="AR78" s="432"/>
      <c r="AS78" s="432"/>
      <c r="AT78" s="432"/>
      <c r="AU78" s="433">
        <f>CEILING(4475*A3,1)</f>
        <v>6265</v>
      </c>
      <c r="AV78" s="433"/>
      <c r="AW78" s="433"/>
      <c r="AX78" s="433"/>
      <c r="AY78" s="183"/>
      <c r="AZ78" s="432" t="s">
        <v>301</v>
      </c>
      <c r="BA78" s="432"/>
      <c r="BB78" s="432"/>
      <c r="BC78" s="432"/>
      <c r="BD78" s="432"/>
      <c r="BE78" s="433">
        <f>CEILING(535*A3,1)</f>
        <v>749</v>
      </c>
      <c r="BF78" s="433"/>
      <c r="BG78" s="433"/>
      <c r="BH78" s="433"/>
      <c r="BI78" s="183"/>
      <c r="BJ78" s="432" t="s">
        <v>818</v>
      </c>
      <c r="BK78" s="432"/>
      <c r="BL78" s="432"/>
      <c r="BM78" s="432"/>
      <c r="BN78" s="432"/>
      <c r="BO78" s="433">
        <f>CEILING(809*A3,1)</f>
        <v>1133</v>
      </c>
      <c r="BP78" s="433"/>
      <c r="BQ78" s="433"/>
      <c r="BR78" s="433"/>
    </row>
    <row r="79" spans="1:70" s="66" customFormat="1" ht="12" customHeight="1" x14ac:dyDescent="0.3">
      <c r="A79" s="196"/>
      <c r="B79" s="432" t="s">
        <v>239</v>
      </c>
      <c r="C79" s="432"/>
      <c r="D79" s="432"/>
      <c r="E79" s="432"/>
      <c r="F79" s="432"/>
      <c r="G79" s="433">
        <f>CEILING(2560*A3,1)</f>
        <v>3584</v>
      </c>
      <c r="H79" s="433"/>
      <c r="I79" s="433"/>
      <c r="J79" s="433"/>
      <c r="K79" s="183"/>
      <c r="L79" s="432" t="s">
        <v>239</v>
      </c>
      <c r="M79" s="432"/>
      <c r="N79" s="432"/>
      <c r="O79" s="432"/>
      <c r="P79" s="432"/>
      <c r="Q79" s="433">
        <f>CEILING(3428*A3,1)</f>
        <v>4800</v>
      </c>
      <c r="R79" s="433"/>
      <c r="S79" s="433"/>
      <c r="T79" s="433"/>
      <c r="U79" s="183"/>
      <c r="V79" s="432" t="s">
        <v>239</v>
      </c>
      <c r="W79" s="432"/>
      <c r="X79" s="432"/>
      <c r="Y79" s="432"/>
      <c r="Z79" s="432"/>
      <c r="AA79" s="433">
        <f>CEILING(3824*A3,1)</f>
        <v>5354</v>
      </c>
      <c r="AB79" s="433"/>
      <c r="AC79" s="433"/>
      <c r="AD79" s="433"/>
      <c r="AE79" s="183"/>
      <c r="AF79" s="432" t="s">
        <v>239</v>
      </c>
      <c r="AG79" s="432"/>
      <c r="AH79" s="432"/>
      <c r="AI79" s="432"/>
      <c r="AJ79" s="432"/>
      <c r="AK79" s="433">
        <f>CEILING(4641*A3,1)</f>
        <v>6498</v>
      </c>
      <c r="AL79" s="433"/>
      <c r="AM79" s="433"/>
      <c r="AN79" s="433"/>
      <c r="AO79" s="183"/>
      <c r="AP79" s="432" t="s">
        <v>239</v>
      </c>
      <c r="AQ79" s="432"/>
      <c r="AR79" s="432"/>
      <c r="AS79" s="432"/>
      <c r="AT79" s="432"/>
      <c r="AU79" s="433">
        <f>CEILING(4715*A3,1)</f>
        <v>6601</v>
      </c>
      <c r="AV79" s="433"/>
      <c r="AW79" s="433"/>
      <c r="AX79" s="433"/>
      <c r="AY79" s="183"/>
      <c r="AZ79" s="432" t="s">
        <v>302</v>
      </c>
      <c r="BA79" s="432"/>
      <c r="BB79" s="432"/>
      <c r="BC79" s="432"/>
      <c r="BD79" s="432"/>
      <c r="BE79" s="469">
        <v>575</v>
      </c>
      <c r="BF79" s="469"/>
      <c r="BG79" s="469"/>
      <c r="BH79" s="469"/>
      <c r="BI79" s="183"/>
      <c r="BJ79" s="432" t="s">
        <v>302</v>
      </c>
      <c r="BK79" s="432"/>
      <c r="BL79" s="432"/>
      <c r="BM79" s="432"/>
      <c r="BN79" s="432"/>
      <c r="BO79" s="469">
        <v>575</v>
      </c>
      <c r="BP79" s="469"/>
      <c r="BQ79" s="469"/>
      <c r="BR79" s="469"/>
    </row>
    <row r="80" spans="1:70" ht="1.5" customHeight="1" x14ac:dyDescent="0.3"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</row>
    <row r="81" spans="1:80" ht="9" customHeight="1" x14ac:dyDescent="0.3">
      <c r="B81" s="429" t="s">
        <v>303</v>
      </c>
      <c r="C81" s="430"/>
      <c r="D81" s="431"/>
      <c r="E81" s="427" t="s">
        <v>59</v>
      </c>
      <c r="F81" s="427"/>
      <c r="G81" s="427"/>
      <c r="H81" s="427"/>
      <c r="I81" s="427"/>
      <c r="J81" s="428"/>
      <c r="K81" s="175"/>
      <c r="L81" s="429" t="s">
        <v>304</v>
      </c>
      <c r="M81" s="430"/>
      <c r="N81" s="431"/>
      <c r="O81" s="445" t="s">
        <v>601</v>
      </c>
      <c r="P81" s="445"/>
      <c r="Q81" s="445"/>
      <c r="R81" s="445"/>
      <c r="S81" s="445"/>
      <c r="T81" s="446"/>
      <c r="U81" s="175"/>
      <c r="V81" s="429" t="s">
        <v>305</v>
      </c>
      <c r="W81" s="430"/>
      <c r="X81" s="431"/>
      <c r="Y81" s="445" t="s">
        <v>601</v>
      </c>
      <c r="Z81" s="445"/>
      <c r="AA81" s="445"/>
      <c r="AB81" s="445"/>
      <c r="AC81" s="445"/>
      <c r="AD81" s="446"/>
      <c r="AE81" s="175"/>
      <c r="AF81" s="429" t="s">
        <v>306</v>
      </c>
      <c r="AG81" s="430"/>
      <c r="AH81" s="431"/>
      <c r="AI81" s="445" t="s">
        <v>601</v>
      </c>
      <c r="AJ81" s="445"/>
      <c r="AK81" s="445"/>
      <c r="AL81" s="445"/>
      <c r="AM81" s="445"/>
      <c r="AN81" s="446"/>
      <c r="AO81" s="175"/>
      <c r="AP81" s="429" t="s">
        <v>307</v>
      </c>
      <c r="AQ81" s="430"/>
      <c r="AR81" s="431"/>
      <c r="AS81" s="445" t="s">
        <v>601</v>
      </c>
      <c r="AT81" s="445"/>
      <c r="AU81" s="445"/>
      <c r="AV81" s="445"/>
      <c r="AW81" s="445"/>
      <c r="AX81" s="446"/>
      <c r="AY81" s="175"/>
      <c r="AZ81" s="429" t="s">
        <v>308</v>
      </c>
      <c r="BA81" s="430"/>
      <c r="BB81" s="431"/>
      <c r="BC81" s="445" t="s">
        <v>309</v>
      </c>
      <c r="BD81" s="445"/>
      <c r="BE81" s="445"/>
      <c r="BF81" s="445"/>
      <c r="BG81" s="445"/>
      <c r="BH81" s="446"/>
      <c r="BI81" s="204"/>
      <c r="BJ81" s="429" t="s">
        <v>310</v>
      </c>
      <c r="BK81" s="430"/>
      <c r="BL81" s="431"/>
      <c r="BM81" s="444" t="s">
        <v>311</v>
      </c>
      <c r="BN81" s="445"/>
      <c r="BO81" s="445"/>
      <c r="BP81" s="445"/>
      <c r="BQ81" s="445"/>
      <c r="BR81" s="446"/>
      <c r="BT81" s="470"/>
      <c r="BU81" s="470"/>
      <c r="BV81" s="470"/>
      <c r="BW81" s="470"/>
      <c r="BX81" s="470"/>
      <c r="BY81" s="470"/>
      <c r="BZ81" s="470"/>
      <c r="CA81" s="470"/>
      <c r="CB81" s="470"/>
    </row>
    <row r="82" spans="1:80" ht="9" customHeight="1" x14ac:dyDescent="0.3">
      <c r="B82" s="423" t="s">
        <v>59</v>
      </c>
      <c r="C82" s="424"/>
      <c r="D82" s="424"/>
      <c r="E82" s="424"/>
      <c r="F82" s="424"/>
      <c r="G82" s="424"/>
      <c r="H82" s="424"/>
      <c r="I82" s="424"/>
      <c r="J82" s="425"/>
      <c r="K82" s="175"/>
      <c r="L82" s="423" t="s">
        <v>602</v>
      </c>
      <c r="M82" s="424"/>
      <c r="N82" s="424"/>
      <c r="O82" s="424"/>
      <c r="P82" s="424"/>
      <c r="Q82" s="424"/>
      <c r="R82" s="424"/>
      <c r="S82" s="424"/>
      <c r="T82" s="425"/>
      <c r="U82" s="175"/>
      <c r="V82" s="423" t="s">
        <v>602</v>
      </c>
      <c r="W82" s="424"/>
      <c r="X82" s="424"/>
      <c r="Y82" s="424"/>
      <c r="Z82" s="424"/>
      <c r="AA82" s="424"/>
      <c r="AB82" s="424"/>
      <c r="AC82" s="424"/>
      <c r="AD82" s="425"/>
      <c r="AE82" s="175"/>
      <c r="AF82" s="423" t="s">
        <v>602</v>
      </c>
      <c r="AG82" s="424"/>
      <c r="AH82" s="424"/>
      <c r="AI82" s="424"/>
      <c r="AJ82" s="424"/>
      <c r="AK82" s="424"/>
      <c r="AL82" s="424"/>
      <c r="AM82" s="424"/>
      <c r="AN82" s="425"/>
      <c r="AO82" s="175"/>
      <c r="AP82" s="423" t="s">
        <v>602</v>
      </c>
      <c r="AQ82" s="424"/>
      <c r="AR82" s="424"/>
      <c r="AS82" s="424"/>
      <c r="AT82" s="424"/>
      <c r="AU82" s="424"/>
      <c r="AV82" s="424"/>
      <c r="AW82" s="424"/>
      <c r="AX82" s="425"/>
      <c r="AY82" s="175"/>
      <c r="AZ82" s="423" t="s">
        <v>313</v>
      </c>
      <c r="BA82" s="424"/>
      <c r="BB82" s="424"/>
      <c r="BC82" s="424"/>
      <c r="BD82" s="424"/>
      <c r="BE82" s="424"/>
      <c r="BF82" s="424"/>
      <c r="BG82" s="424"/>
      <c r="BH82" s="425"/>
      <c r="BI82" s="206"/>
      <c r="BJ82" s="424" t="s">
        <v>314</v>
      </c>
      <c r="BK82" s="424"/>
      <c r="BL82" s="424"/>
      <c r="BM82" s="424"/>
      <c r="BN82" s="424"/>
      <c r="BO82" s="424"/>
      <c r="BP82" s="424"/>
      <c r="BQ82" s="424"/>
      <c r="BR82" s="425"/>
      <c r="BT82" s="50"/>
      <c r="BU82" s="50"/>
      <c r="BV82" s="50"/>
      <c r="BW82" s="50"/>
      <c r="BX82" s="50"/>
      <c r="BY82" s="50"/>
      <c r="BZ82" s="50"/>
      <c r="CA82" s="50"/>
      <c r="CB82" s="50"/>
    </row>
    <row r="83" spans="1:80" ht="9" customHeight="1" x14ac:dyDescent="0.3">
      <c r="B83" s="423" t="s">
        <v>312</v>
      </c>
      <c r="C83" s="424"/>
      <c r="D83" s="424"/>
      <c r="E83" s="424"/>
      <c r="F83" s="424"/>
      <c r="G83" s="424"/>
      <c r="H83" s="424"/>
      <c r="I83" s="424"/>
      <c r="J83" s="425"/>
      <c r="K83" s="175"/>
      <c r="L83" s="176"/>
      <c r="M83" s="175"/>
      <c r="N83" s="175"/>
      <c r="O83" s="175"/>
      <c r="P83" s="175"/>
      <c r="Q83" s="175"/>
      <c r="R83" s="175"/>
      <c r="S83" s="175"/>
      <c r="T83" s="177"/>
      <c r="U83" s="175"/>
      <c r="V83" s="176"/>
      <c r="W83" s="175"/>
      <c r="X83" s="175"/>
      <c r="Y83" s="175"/>
      <c r="Z83" s="175"/>
      <c r="AA83" s="175"/>
      <c r="AB83" s="175"/>
      <c r="AC83" s="175"/>
      <c r="AD83" s="177"/>
      <c r="AE83" s="175"/>
      <c r="AF83" s="176"/>
      <c r="AG83" s="175"/>
      <c r="AH83" s="175"/>
      <c r="AI83" s="175"/>
      <c r="AJ83" s="175"/>
      <c r="AK83" s="175"/>
      <c r="AL83" s="175"/>
      <c r="AM83" s="175"/>
      <c r="AN83" s="177"/>
      <c r="AO83" s="175"/>
      <c r="AP83" s="176"/>
      <c r="AQ83" s="175"/>
      <c r="AR83" s="175"/>
      <c r="AS83" s="175"/>
      <c r="AT83" s="175"/>
      <c r="AU83" s="175"/>
      <c r="AV83" s="175"/>
      <c r="AW83" s="175"/>
      <c r="AX83" s="177"/>
      <c r="AY83" s="175"/>
      <c r="AZ83" s="232"/>
      <c r="BA83" s="223"/>
      <c r="BB83" s="223"/>
      <c r="BC83" s="180"/>
      <c r="BD83" s="180"/>
      <c r="BE83" s="180"/>
      <c r="BF83" s="180"/>
      <c r="BG83" s="180"/>
      <c r="BH83" s="181"/>
      <c r="BI83" s="206"/>
      <c r="BJ83" s="223"/>
      <c r="BK83" s="223"/>
      <c r="BL83" s="223"/>
      <c r="BM83" s="180"/>
      <c r="BN83" s="180"/>
      <c r="BO83" s="180"/>
      <c r="BP83" s="180"/>
      <c r="BQ83" s="180"/>
      <c r="BR83" s="181"/>
      <c r="BT83" s="50"/>
      <c r="BU83" s="50"/>
      <c r="BV83" s="50"/>
      <c r="BW83" s="34"/>
      <c r="BX83" s="34"/>
      <c r="BY83" s="34"/>
      <c r="BZ83" s="34"/>
      <c r="CA83" s="34"/>
      <c r="CB83" s="34"/>
    </row>
    <row r="84" spans="1:80" ht="9" customHeight="1" x14ac:dyDescent="0.3">
      <c r="B84" s="176"/>
      <c r="C84" s="175"/>
      <c r="D84" s="175"/>
      <c r="E84" s="175"/>
      <c r="F84" s="175"/>
      <c r="G84" s="175"/>
      <c r="H84" s="175"/>
      <c r="I84" s="175"/>
      <c r="J84" s="177"/>
      <c r="K84" s="175"/>
      <c r="L84" s="176"/>
      <c r="M84" s="175"/>
      <c r="N84" s="175"/>
      <c r="O84" s="175"/>
      <c r="P84" s="175"/>
      <c r="Q84" s="175"/>
      <c r="R84" s="175"/>
      <c r="S84" s="175"/>
      <c r="T84" s="177"/>
      <c r="U84" s="175"/>
      <c r="V84" s="176"/>
      <c r="W84" s="175"/>
      <c r="X84" s="175"/>
      <c r="Y84" s="175"/>
      <c r="Z84" s="175"/>
      <c r="AA84" s="175"/>
      <c r="AB84" s="175"/>
      <c r="AC84" s="175"/>
      <c r="AD84" s="177"/>
      <c r="AE84" s="175"/>
      <c r="AF84" s="176"/>
      <c r="AG84" s="175"/>
      <c r="AH84" s="175"/>
      <c r="AI84" s="175"/>
      <c r="AJ84" s="175"/>
      <c r="AK84" s="175"/>
      <c r="AL84" s="175"/>
      <c r="AM84" s="175"/>
      <c r="AN84" s="177"/>
      <c r="AO84" s="175"/>
      <c r="AP84" s="176"/>
      <c r="AQ84" s="175"/>
      <c r="AR84" s="175"/>
      <c r="AS84" s="175"/>
      <c r="AT84" s="175"/>
      <c r="AU84" s="175"/>
      <c r="AV84" s="175"/>
      <c r="AW84" s="175"/>
      <c r="AX84" s="177"/>
      <c r="AY84" s="175"/>
      <c r="AZ84" s="232"/>
      <c r="BA84" s="223"/>
      <c r="BB84" s="223"/>
      <c r="BC84" s="180"/>
      <c r="BD84" s="180"/>
      <c r="BE84" s="180"/>
      <c r="BF84" s="180"/>
      <c r="BG84" s="180"/>
      <c r="BH84" s="181"/>
      <c r="BI84" s="206"/>
      <c r="BJ84" s="223"/>
      <c r="BK84" s="223"/>
      <c r="BL84" s="223"/>
      <c r="BM84" s="180"/>
      <c r="BN84" s="180"/>
      <c r="BO84" s="180"/>
      <c r="BP84" s="180"/>
      <c r="BQ84" s="180"/>
      <c r="BR84" s="181"/>
      <c r="BT84" s="50"/>
      <c r="BU84" s="50"/>
      <c r="BV84" s="50"/>
      <c r="BW84" s="34"/>
      <c r="BX84" s="34"/>
      <c r="BY84" s="34"/>
      <c r="BZ84" s="34"/>
      <c r="CA84" s="34"/>
      <c r="CB84" s="34"/>
    </row>
    <row r="85" spans="1:80" ht="9" customHeight="1" x14ac:dyDescent="0.3">
      <c r="B85" s="176"/>
      <c r="C85" s="175"/>
      <c r="D85" s="175"/>
      <c r="E85" s="175"/>
      <c r="F85" s="175"/>
      <c r="G85" s="175"/>
      <c r="H85" s="175"/>
      <c r="I85" s="175"/>
      <c r="J85" s="177"/>
      <c r="K85" s="175"/>
      <c r="L85" s="176"/>
      <c r="M85" s="175"/>
      <c r="N85" s="175"/>
      <c r="O85" s="175"/>
      <c r="P85" s="175"/>
      <c r="Q85" s="175"/>
      <c r="R85" s="175"/>
      <c r="S85" s="175"/>
      <c r="T85" s="177"/>
      <c r="U85" s="175"/>
      <c r="V85" s="176"/>
      <c r="W85" s="175"/>
      <c r="X85" s="175"/>
      <c r="Y85" s="175"/>
      <c r="Z85" s="175"/>
      <c r="AA85" s="175"/>
      <c r="AB85" s="175"/>
      <c r="AC85" s="175"/>
      <c r="AD85" s="177"/>
      <c r="AE85" s="175"/>
      <c r="AF85" s="176"/>
      <c r="AG85" s="175"/>
      <c r="AH85" s="175"/>
      <c r="AI85" s="175"/>
      <c r="AJ85" s="175"/>
      <c r="AK85" s="175"/>
      <c r="AL85" s="175"/>
      <c r="AM85" s="175"/>
      <c r="AN85" s="177"/>
      <c r="AO85" s="175"/>
      <c r="AP85" s="176"/>
      <c r="AQ85" s="175"/>
      <c r="AR85" s="175"/>
      <c r="AS85" s="175"/>
      <c r="AT85" s="175"/>
      <c r="AU85" s="175"/>
      <c r="AV85" s="175"/>
      <c r="AW85" s="175"/>
      <c r="AX85" s="177"/>
      <c r="AY85" s="175"/>
      <c r="AZ85" s="232"/>
      <c r="BA85" s="223"/>
      <c r="BB85" s="223"/>
      <c r="BC85" s="180"/>
      <c r="BD85" s="180"/>
      <c r="BE85" s="180"/>
      <c r="BF85" s="180"/>
      <c r="BG85" s="180"/>
      <c r="BH85" s="181"/>
      <c r="BI85" s="206"/>
      <c r="BJ85" s="223"/>
      <c r="BK85" s="223"/>
      <c r="BL85" s="223"/>
      <c r="BM85" s="180"/>
      <c r="BN85" s="180"/>
      <c r="BO85" s="180"/>
      <c r="BP85" s="180"/>
      <c r="BQ85" s="180"/>
      <c r="BR85" s="181"/>
      <c r="BT85" s="50"/>
      <c r="BU85" s="50"/>
      <c r="BV85" s="50"/>
      <c r="BW85" s="34"/>
      <c r="BX85" s="34"/>
      <c r="BY85" s="34"/>
      <c r="BZ85" s="34"/>
      <c r="CA85" s="34"/>
      <c r="CB85" s="34"/>
    </row>
    <row r="86" spans="1:80" ht="9" customHeight="1" x14ac:dyDescent="0.3">
      <c r="B86" s="176"/>
      <c r="C86" s="175"/>
      <c r="D86" s="175"/>
      <c r="E86" s="175"/>
      <c r="F86" s="175"/>
      <c r="G86" s="175"/>
      <c r="H86" s="175"/>
      <c r="I86" s="175"/>
      <c r="J86" s="177"/>
      <c r="K86" s="175"/>
      <c r="L86" s="176"/>
      <c r="M86" s="175"/>
      <c r="N86" s="175"/>
      <c r="O86" s="175"/>
      <c r="P86" s="175"/>
      <c r="Q86" s="175"/>
      <c r="R86" s="175"/>
      <c r="S86" s="175"/>
      <c r="T86" s="177"/>
      <c r="U86" s="175"/>
      <c r="V86" s="176"/>
      <c r="W86" s="175"/>
      <c r="X86" s="175"/>
      <c r="Y86" s="175"/>
      <c r="Z86" s="175"/>
      <c r="AA86" s="175"/>
      <c r="AB86" s="175"/>
      <c r="AC86" s="175"/>
      <c r="AD86" s="177"/>
      <c r="AE86" s="175"/>
      <c r="AF86" s="176"/>
      <c r="AG86" s="175"/>
      <c r="AH86" s="175"/>
      <c r="AI86" s="175"/>
      <c r="AJ86" s="175"/>
      <c r="AK86" s="175"/>
      <c r="AL86" s="175"/>
      <c r="AM86" s="175"/>
      <c r="AN86" s="177"/>
      <c r="AO86" s="175"/>
      <c r="AP86" s="176"/>
      <c r="AQ86" s="175"/>
      <c r="AR86" s="175"/>
      <c r="AS86" s="175"/>
      <c r="AT86" s="175"/>
      <c r="AU86" s="175"/>
      <c r="AV86" s="175"/>
      <c r="AW86" s="175"/>
      <c r="AX86" s="177"/>
      <c r="AY86" s="175"/>
      <c r="AZ86" s="179"/>
      <c r="BA86" s="180"/>
      <c r="BB86" s="180"/>
      <c r="BC86" s="180"/>
      <c r="BD86" s="180"/>
      <c r="BE86" s="180"/>
      <c r="BF86" s="180"/>
      <c r="BG86" s="180"/>
      <c r="BH86" s="181"/>
      <c r="BI86" s="206"/>
      <c r="BJ86" s="223"/>
      <c r="BK86" s="223"/>
      <c r="BL86" s="223"/>
      <c r="BM86" s="223"/>
      <c r="BN86" s="223"/>
      <c r="BO86" s="223"/>
      <c r="BP86" s="223"/>
      <c r="BQ86" s="223"/>
      <c r="BR86" s="224"/>
      <c r="BT86" s="50"/>
      <c r="BU86" s="50"/>
      <c r="BV86" s="50"/>
      <c r="BW86" s="50"/>
      <c r="BX86" s="50"/>
      <c r="BY86" s="50"/>
      <c r="BZ86" s="50"/>
      <c r="CA86" s="50"/>
      <c r="CB86" s="50"/>
    </row>
    <row r="87" spans="1:80" ht="10.050000000000001" customHeight="1" x14ac:dyDescent="0.3">
      <c r="B87" s="176"/>
      <c r="C87" s="175"/>
      <c r="D87" s="175"/>
      <c r="E87" s="175"/>
      <c r="F87" s="175"/>
      <c r="G87" s="175"/>
      <c r="H87" s="175"/>
      <c r="I87" s="175"/>
      <c r="J87" s="177"/>
      <c r="K87" s="175"/>
      <c r="L87" s="176"/>
      <c r="M87" s="175"/>
      <c r="N87" s="175"/>
      <c r="O87" s="175"/>
      <c r="P87" s="175"/>
      <c r="Q87" s="175"/>
      <c r="R87" s="175"/>
      <c r="S87" s="175"/>
      <c r="T87" s="177"/>
      <c r="U87" s="175"/>
      <c r="V87" s="176"/>
      <c r="W87" s="175"/>
      <c r="X87" s="175"/>
      <c r="Y87" s="175"/>
      <c r="Z87" s="175"/>
      <c r="AA87" s="175"/>
      <c r="AB87" s="175"/>
      <c r="AC87" s="175"/>
      <c r="AD87" s="177"/>
      <c r="AE87" s="175"/>
      <c r="AF87" s="176"/>
      <c r="AG87" s="175"/>
      <c r="AH87" s="175"/>
      <c r="AI87" s="175"/>
      <c r="AJ87" s="175"/>
      <c r="AK87" s="175"/>
      <c r="AL87" s="175"/>
      <c r="AM87" s="175"/>
      <c r="AN87" s="177"/>
      <c r="AO87" s="175"/>
      <c r="AP87" s="176"/>
      <c r="AQ87" s="175"/>
      <c r="AR87" s="175"/>
      <c r="AS87" s="175"/>
      <c r="AT87" s="175"/>
      <c r="AU87" s="175"/>
      <c r="AV87" s="175"/>
      <c r="AW87" s="175"/>
      <c r="AX87" s="177"/>
      <c r="AY87" s="175"/>
      <c r="AZ87" s="232"/>
      <c r="BA87" s="223"/>
      <c r="BB87" s="223"/>
      <c r="BC87" s="223"/>
      <c r="BD87" s="223"/>
      <c r="BE87" s="223"/>
      <c r="BF87" s="223"/>
      <c r="BG87" s="223"/>
      <c r="BH87" s="224"/>
      <c r="BI87" s="206"/>
      <c r="BJ87" s="471" t="s">
        <v>732</v>
      </c>
      <c r="BK87" s="472"/>
      <c r="BL87" s="472"/>
      <c r="BM87" s="472"/>
      <c r="BN87" s="472"/>
      <c r="BO87" s="433">
        <f>CEILING(505*A3,1)</f>
        <v>707</v>
      </c>
      <c r="BP87" s="433"/>
      <c r="BQ87" s="433"/>
      <c r="BR87" s="433"/>
      <c r="BT87" s="473"/>
      <c r="BU87" s="473"/>
      <c r="BV87" s="473"/>
      <c r="BW87" s="473"/>
      <c r="BX87" s="473"/>
      <c r="BY87" s="470"/>
      <c r="BZ87" s="470"/>
      <c r="CA87" s="470"/>
      <c r="CB87" s="470"/>
    </row>
    <row r="88" spans="1:80" ht="9" customHeight="1" x14ac:dyDescent="0.3">
      <c r="B88" s="176"/>
      <c r="C88" s="175"/>
      <c r="D88" s="175"/>
      <c r="E88" s="175"/>
      <c r="F88" s="175"/>
      <c r="G88" s="175"/>
      <c r="H88" s="175"/>
      <c r="I88" s="175"/>
      <c r="J88" s="177"/>
      <c r="K88" s="175"/>
      <c r="L88" s="176"/>
      <c r="M88" s="175"/>
      <c r="N88" s="175"/>
      <c r="O88" s="175"/>
      <c r="P88" s="175"/>
      <c r="Q88" s="175"/>
      <c r="R88" s="175"/>
      <c r="S88" s="175"/>
      <c r="T88" s="177"/>
      <c r="U88" s="175"/>
      <c r="V88" s="176"/>
      <c r="W88" s="175"/>
      <c r="X88" s="175"/>
      <c r="Y88" s="175"/>
      <c r="Z88" s="175"/>
      <c r="AA88" s="175"/>
      <c r="AB88" s="175"/>
      <c r="AC88" s="175"/>
      <c r="AD88" s="177"/>
      <c r="AE88" s="175"/>
      <c r="AF88" s="176"/>
      <c r="AG88" s="175"/>
      <c r="AH88" s="175"/>
      <c r="AI88" s="175"/>
      <c r="AJ88" s="175"/>
      <c r="AK88" s="175"/>
      <c r="AL88" s="175"/>
      <c r="AM88" s="175"/>
      <c r="AN88" s="177"/>
      <c r="AO88" s="175"/>
      <c r="AP88" s="176"/>
      <c r="AQ88" s="175"/>
      <c r="AR88" s="175"/>
      <c r="AS88" s="175"/>
      <c r="AT88" s="175"/>
      <c r="AU88" s="175"/>
      <c r="AV88" s="175"/>
      <c r="AW88" s="175"/>
      <c r="AX88" s="177"/>
      <c r="AY88" s="175"/>
      <c r="AZ88" s="232"/>
      <c r="BA88" s="223"/>
      <c r="BB88" s="223"/>
      <c r="BC88" s="223"/>
      <c r="BD88" s="223"/>
      <c r="BE88" s="223"/>
      <c r="BF88" s="223"/>
      <c r="BG88" s="223"/>
      <c r="BH88" s="224"/>
      <c r="BI88" s="204"/>
      <c r="BJ88" s="429" t="s">
        <v>315</v>
      </c>
      <c r="BK88" s="430"/>
      <c r="BL88" s="431"/>
      <c r="BM88" s="424" t="s">
        <v>309</v>
      </c>
      <c r="BN88" s="424"/>
      <c r="BO88" s="424"/>
      <c r="BP88" s="424"/>
      <c r="BQ88" s="424"/>
      <c r="BR88" s="425"/>
      <c r="BT88" s="470"/>
      <c r="BU88" s="470"/>
      <c r="BV88" s="470"/>
      <c r="BW88" s="470"/>
      <c r="BX88" s="470"/>
      <c r="BY88" s="470"/>
      <c r="BZ88" s="470"/>
      <c r="CA88" s="470"/>
      <c r="CB88" s="470"/>
    </row>
    <row r="89" spans="1:80" ht="9" customHeight="1" x14ac:dyDescent="0.3">
      <c r="B89" s="176"/>
      <c r="C89" s="175"/>
      <c r="D89" s="175"/>
      <c r="E89" s="175"/>
      <c r="F89" s="175"/>
      <c r="G89" s="175"/>
      <c r="H89" s="175"/>
      <c r="I89" s="175"/>
      <c r="J89" s="177"/>
      <c r="K89" s="175"/>
      <c r="L89" s="176"/>
      <c r="M89" s="175"/>
      <c r="N89" s="175"/>
      <c r="O89" s="175"/>
      <c r="P89" s="175"/>
      <c r="Q89" s="175"/>
      <c r="R89" s="175"/>
      <c r="S89" s="175"/>
      <c r="T89" s="177"/>
      <c r="U89" s="175"/>
      <c r="V89" s="176"/>
      <c r="W89" s="175"/>
      <c r="X89" s="175"/>
      <c r="Y89" s="175"/>
      <c r="Z89" s="175"/>
      <c r="AA89" s="175"/>
      <c r="AB89" s="175"/>
      <c r="AC89" s="175"/>
      <c r="AD89" s="177"/>
      <c r="AE89" s="175"/>
      <c r="AF89" s="176"/>
      <c r="AG89" s="175"/>
      <c r="AH89" s="175"/>
      <c r="AI89" s="175"/>
      <c r="AJ89" s="175"/>
      <c r="AK89" s="175"/>
      <c r="AL89" s="175"/>
      <c r="AM89" s="175"/>
      <c r="AN89" s="177"/>
      <c r="AO89" s="175"/>
      <c r="AP89" s="176"/>
      <c r="AQ89" s="175"/>
      <c r="AR89" s="175"/>
      <c r="AS89" s="175"/>
      <c r="AT89" s="175"/>
      <c r="AU89" s="175"/>
      <c r="AV89" s="175"/>
      <c r="AW89" s="175"/>
      <c r="AX89" s="177"/>
      <c r="AY89" s="175"/>
      <c r="AZ89" s="232"/>
      <c r="BA89" s="223"/>
      <c r="BB89" s="223"/>
      <c r="BC89" s="223"/>
      <c r="BD89" s="223"/>
      <c r="BE89" s="223"/>
      <c r="BF89" s="223"/>
      <c r="BG89" s="223"/>
      <c r="BH89" s="224"/>
      <c r="BI89" s="177"/>
      <c r="BJ89" s="424" t="s">
        <v>316</v>
      </c>
      <c r="BK89" s="424"/>
      <c r="BL89" s="424"/>
      <c r="BM89" s="424"/>
      <c r="BN89" s="424"/>
      <c r="BO89" s="424"/>
      <c r="BP89" s="424"/>
      <c r="BQ89" s="424"/>
      <c r="BR89" s="425"/>
      <c r="BT89" s="50"/>
      <c r="BU89" s="50"/>
      <c r="BV89" s="50"/>
      <c r="BW89" s="50"/>
      <c r="BX89" s="50"/>
      <c r="BY89" s="50"/>
      <c r="BZ89" s="50"/>
      <c r="CA89" s="50"/>
      <c r="CB89" s="50"/>
    </row>
    <row r="90" spans="1:80" ht="9" customHeight="1" x14ac:dyDescent="0.3">
      <c r="B90" s="176"/>
      <c r="C90" s="175"/>
      <c r="D90" s="175"/>
      <c r="E90" s="175"/>
      <c r="F90" s="175"/>
      <c r="G90" s="175"/>
      <c r="H90" s="175"/>
      <c r="I90" s="175"/>
      <c r="J90" s="177"/>
      <c r="K90" s="175"/>
      <c r="L90" s="176"/>
      <c r="M90" s="175"/>
      <c r="N90" s="175"/>
      <c r="O90" s="175"/>
      <c r="P90" s="175"/>
      <c r="Q90" s="175"/>
      <c r="R90" s="175"/>
      <c r="S90" s="175"/>
      <c r="T90" s="177"/>
      <c r="U90" s="175"/>
      <c r="V90" s="176"/>
      <c r="W90" s="175"/>
      <c r="X90" s="175"/>
      <c r="Y90" s="175"/>
      <c r="Z90" s="175"/>
      <c r="AA90" s="175"/>
      <c r="AB90" s="175"/>
      <c r="AC90" s="175"/>
      <c r="AD90" s="177"/>
      <c r="AE90" s="175"/>
      <c r="AF90" s="176"/>
      <c r="AG90" s="175"/>
      <c r="AH90" s="175"/>
      <c r="AI90" s="175"/>
      <c r="AJ90" s="175"/>
      <c r="AK90" s="175"/>
      <c r="AL90" s="175"/>
      <c r="AM90" s="175"/>
      <c r="AN90" s="177"/>
      <c r="AO90" s="175"/>
      <c r="AP90" s="176"/>
      <c r="AQ90" s="175"/>
      <c r="AR90" s="175"/>
      <c r="AS90" s="175"/>
      <c r="AT90" s="175"/>
      <c r="AU90" s="175"/>
      <c r="AV90" s="175"/>
      <c r="AW90" s="175"/>
      <c r="AX90" s="177"/>
      <c r="AY90" s="175"/>
      <c r="AZ90" s="232"/>
      <c r="BA90" s="223"/>
      <c r="BB90" s="223"/>
      <c r="BC90" s="223"/>
      <c r="BD90" s="223"/>
      <c r="BE90" s="223"/>
      <c r="BF90" s="223"/>
      <c r="BG90" s="223"/>
      <c r="BH90" s="224"/>
      <c r="BI90" s="177"/>
      <c r="BJ90" s="180"/>
      <c r="BK90" s="180"/>
      <c r="BL90" s="180"/>
      <c r="BM90" s="180"/>
      <c r="BN90" s="180"/>
      <c r="BO90" s="180"/>
      <c r="BP90" s="180"/>
      <c r="BQ90" s="180"/>
      <c r="BR90" s="181"/>
      <c r="BT90" s="50"/>
      <c r="BU90" s="50"/>
      <c r="BV90" s="50"/>
      <c r="BW90" s="50"/>
      <c r="BX90" s="50"/>
      <c r="BY90" s="50"/>
      <c r="BZ90" s="50"/>
      <c r="CA90" s="50"/>
      <c r="CB90" s="50"/>
    </row>
    <row r="91" spans="1:80" ht="9" customHeight="1" x14ac:dyDescent="0.3">
      <c r="B91" s="176"/>
      <c r="C91" s="175"/>
      <c r="D91" s="175"/>
      <c r="E91" s="175"/>
      <c r="F91" s="175"/>
      <c r="G91" s="175"/>
      <c r="H91" s="175"/>
      <c r="I91" s="175"/>
      <c r="J91" s="177"/>
      <c r="K91" s="175"/>
      <c r="L91" s="176"/>
      <c r="M91" s="175"/>
      <c r="N91" s="175"/>
      <c r="O91" s="175"/>
      <c r="P91" s="175"/>
      <c r="Q91" s="175"/>
      <c r="R91" s="175"/>
      <c r="S91" s="175"/>
      <c r="T91" s="177"/>
      <c r="U91" s="175"/>
      <c r="V91" s="176"/>
      <c r="W91" s="175"/>
      <c r="X91" s="175"/>
      <c r="Y91" s="175"/>
      <c r="Z91" s="175"/>
      <c r="AA91" s="175"/>
      <c r="AB91" s="175"/>
      <c r="AC91" s="175"/>
      <c r="AD91" s="177"/>
      <c r="AE91" s="175"/>
      <c r="AF91" s="176"/>
      <c r="AG91" s="175"/>
      <c r="AH91" s="175"/>
      <c r="AI91" s="175"/>
      <c r="AJ91" s="175"/>
      <c r="AK91" s="175"/>
      <c r="AL91" s="175"/>
      <c r="AM91" s="175"/>
      <c r="AN91" s="177"/>
      <c r="AO91" s="175"/>
      <c r="AP91" s="176"/>
      <c r="AQ91" s="175"/>
      <c r="AR91" s="175"/>
      <c r="AS91" s="175"/>
      <c r="AT91" s="175"/>
      <c r="AU91" s="175"/>
      <c r="AV91" s="175"/>
      <c r="AW91" s="175"/>
      <c r="AX91" s="177"/>
      <c r="AY91" s="175"/>
      <c r="AZ91" s="232"/>
      <c r="BA91" s="223"/>
      <c r="BB91" s="223"/>
      <c r="BC91" s="223"/>
      <c r="BD91" s="223"/>
      <c r="BE91" s="223"/>
      <c r="BF91" s="223"/>
      <c r="BG91" s="223"/>
      <c r="BH91" s="224"/>
      <c r="BI91" s="177"/>
      <c r="BJ91" s="180"/>
      <c r="BK91" s="180"/>
      <c r="BL91" s="180"/>
      <c r="BM91" s="180"/>
      <c r="BN91" s="180"/>
      <c r="BO91" s="180"/>
      <c r="BP91" s="180"/>
      <c r="BQ91" s="180"/>
      <c r="BR91" s="181"/>
      <c r="BT91" s="50"/>
      <c r="BU91" s="50"/>
      <c r="BV91" s="50"/>
      <c r="BW91" s="50"/>
      <c r="BX91" s="50"/>
      <c r="BY91" s="50"/>
      <c r="BZ91" s="50"/>
      <c r="CA91" s="50"/>
      <c r="CB91" s="50"/>
    </row>
    <row r="92" spans="1:80" ht="9" customHeight="1" x14ac:dyDescent="0.3">
      <c r="B92" s="176"/>
      <c r="C92" s="175"/>
      <c r="D92" s="175"/>
      <c r="E92" s="175"/>
      <c r="F92" s="175"/>
      <c r="G92" s="175"/>
      <c r="H92" s="175"/>
      <c r="I92" s="175"/>
      <c r="J92" s="177"/>
      <c r="K92" s="175"/>
      <c r="L92" s="176"/>
      <c r="M92" s="175"/>
      <c r="N92" s="175"/>
      <c r="O92" s="175"/>
      <c r="P92" s="175"/>
      <c r="Q92" s="175"/>
      <c r="R92" s="175"/>
      <c r="S92" s="175"/>
      <c r="T92" s="177"/>
      <c r="U92" s="175"/>
      <c r="V92" s="176"/>
      <c r="W92" s="175"/>
      <c r="X92" s="175"/>
      <c r="Y92" s="175"/>
      <c r="Z92" s="175"/>
      <c r="AA92" s="175"/>
      <c r="AB92" s="175"/>
      <c r="AC92" s="175"/>
      <c r="AD92" s="177"/>
      <c r="AE92" s="175"/>
      <c r="AF92" s="176"/>
      <c r="AG92" s="175"/>
      <c r="AH92" s="175"/>
      <c r="AI92" s="175"/>
      <c r="AJ92" s="175"/>
      <c r="AK92" s="175"/>
      <c r="AL92" s="175"/>
      <c r="AM92" s="175"/>
      <c r="AN92" s="177"/>
      <c r="AO92" s="175"/>
      <c r="AP92" s="176"/>
      <c r="AQ92" s="175"/>
      <c r="AR92" s="175"/>
      <c r="AS92" s="175"/>
      <c r="AT92" s="175"/>
      <c r="AU92" s="175"/>
      <c r="AV92" s="175"/>
      <c r="AW92" s="175"/>
      <c r="AX92" s="177"/>
      <c r="AY92" s="175"/>
      <c r="AZ92" s="232"/>
      <c r="BA92" s="223"/>
      <c r="BB92" s="223"/>
      <c r="BC92" s="223"/>
      <c r="BD92" s="223"/>
      <c r="BE92" s="223"/>
      <c r="BF92" s="223"/>
      <c r="BG92" s="223"/>
      <c r="BH92" s="224"/>
      <c r="BI92" s="177"/>
      <c r="BJ92" s="223"/>
      <c r="BK92" s="223"/>
      <c r="BL92" s="223"/>
      <c r="BM92" s="223"/>
      <c r="BN92" s="223"/>
      <c r="BO92" s="223"/>
      <c r="BP92" s="223"/>
      <c r="BQ92" s="223"/>
      <c r="BR92" s="224"/>
      <c r="BT92" s="50"/>
      <c r="BU92" s="50"/>
      <c r="BV92" s="50"/>
      <c r="BW92" s="50"/>
      <c r="BX92" s="50"/>
      <c r="BY92" s="50"/>
      <c r="BZ92" s="50"/>
      <c r="CA92" s="50"/>
      <c r="CB92" s="50"/>
    </row>
    <row r="93" spans="1:80" ht="12" customHeight="1" x14ac:dyDescent="0.3">
      <c r="B93" s="432" t="s">
        <v>240</v>
      </c>
      <c r="C93" s="432"/>
      <c r="D93" s="432"/>
      <c r="E93" s="432"/>
      <c r="F93" s="432"/>
      <c r="G93" s="433">
        <f>CEILING(5125*A3,1)</f>
        <v>7175</v>
      </c>
      <c r="H93" s="433"/>
      <c r="I93" s="433"/>
      <c r="J93" s="433"/>
      <c r="K93" s="183"/>
      <c r="L93" s="432" t="s">
        <v>317</v>
      </c>
      <c r="M93" s="432"/>
      <c r="N93" s="432"/>
      <c r="O93" s="432"/>
      <c r="P93" s="432"/>
      <c r="Q93" s="433">
        <f>CEILING(1153*A3,1)</f>
        <v>1615</v>
      </c>
      <c r="R93" s="433"/>
      <c r="S93" s="433"/>
      <c r="T93" s="433"/>
      <c r="U93" s="183"/>
      <c r="V93" s="432" t="s">
        <v>317</v>
      </c>
      <c r="W93" s="432"/>
      <c r="X93" s="432"/>
      <c r="Y93" s="432"/>
      <c r="Z93" s="432"/>
      <c r="AA93" s="433">
        <f>CEILING(2034*A3,1)</f>
        <v>2848</v>
      </c>
      <c r="AB93" s="433"/>
      <c r="AC93" s="433"/>
      <c r="AD93" s="433"/>
      <c r="AE93" s="183"/>
      <c r="AF93" s="432" t="s">
        <v>318</v>
      </c>
      <c r="AG93" s="432"/>
      <c r="AH93" s="432"/>
      <c r="AI93" s="432"/>
      <c r="AJ93" s="432"/>
      <c r="AK93" s="433">
        <f>CEILING(1586*A3,1)</f>
        <v>2221</v>
      </c>
      <c r="AL93" s="433"/>
      <c r="AM93" s="433"/>
      <c r="AN93" s="433"/>
      <c r="AO93" s="183"/>
      <c r="AP93" s="432" t="s">
        <v>318</v>
      </c>
      <c r="AQ93" s="432"/>
      <c r="AR93" s="432"/>
      <c r="AS93" s="432"/>
      <c r="AT93" s="432"/>
      <c r="AU93" s="433">
        <f>CEILING(1539*A3,1)</f>
        <v>2155</v>
      </c>
      <c r="AV93" s="433"/>
      <c r="AW93" s="433"/>
      <c r="AX93" s="433"/>
      <c r="AY93" s="186"/>
      <c r="AZ93" s="227"/>
      <c r="BA93" s="191"/>
      <c r="BB93" s="191"/>
      <c r="BC93" s="191"/>
      <c r="BD93" s="191"/>
      <c r="BE93" s="191"/>
      <c r="BF93" s="191"/>
      <c r="BG93" s="191"/>
      <c r="BH93" s="192"/>
      <c r="BI93" s="187"/>
      <c r="BJ93" s="191"/>
      <c r="BK93" s="191"/>
      <c r="BL93" s="191"/>
      <c r="BM93" s="191"/>
      <c r="BN93" s="191"/>
      <c r="BO93" s="191"/>
      <c r="BP93" s="191"/>
      <c r="BQ93" s="191"/>
      <c r="BR93" s="192"/>
      <c r="BT93" s="50"/>
      <c r="BU93" s="50"/>
      <c r="BV93" s="50"/>
      <c r="BW93" s="50"/>
      <c r="BX93" s="50"/>
      <c r="BY93" s="50"/>
      <c r="BZ93" s="50"/>
      <c r="CA93" s="50"/>
      <c r="CB93" s="50"/>
    </row>
    <row r="94" spans="1:80" s="66" customFormat="1" ht="12" customHeight="1" x14ac:dyDescent="0.3">
      <c r="A94" s="196"/>
      <c r="B94" s="432" t="s">
        <v>254</v>
      </c>
      <c r="C94" s="432"/>
      <c r="D94" s="432"/>
      <c r="E94" s="432"/>
      <c r="F94" s="432"/>
      <c r="G94" s="433">
        <f>CEILING(5471*A3,1)</f>
        <v>7660</v>
      </c>
      <c r="H94" s="433"/>
      <c r="I94" s="433"/>
      <c r="J94" s="433"/>
      <c r="K94" s="183"/>
      <c r="L94" s="432" t="s">
        <v>319</v>
      </c>
      <c r="M94" s="432"/>
      <c r="N94" s="432"/>
      <c r="O94" s="432"/>
      <c r="P94" s="432"/>
      <c r="Q94" s="433">
        <f>CEILING(1383*A3,1)</f>
        <v>1937</v>
      </c>
      <c r="R94" s="433"/>
      <c r="S94" s="433"/>
      <c r="T94" s="433"/>
      <c r="U94" s="183"/>
      <c r="V94" s="432" t="s">
        <v>319</v>
      </c>
      <c r="W94" s="432"/>
      <c r="X94" s="432"/>
      <c r="Y94" s="432"/>
      <c r="Z94" s="432"/>
      <c r="AA94" s="433">
        <f>CEILING(2317*A3,1)</f>
        <v>3244</v>
      </c>
      <c r="AB94" s="433"/>
      <c r="AC94" s="433"/>
      <c r="AD94" s="433"/>
      <c r="AE94" s="183"/>
      <c r="AF94" s="432" t="s">
        <v>320</v>
      </c>
      <c r="AG94" s="432"/>
      <c r="AH94" s="432"/>
      <c r="AI94" s="432"/>
      <c r="AJ94" s="432"/>
      <c r="AK94" s="433">
        <f>CEILING(1692*A3,1)</f>
        <v>2369</v>
      </c>
      <c r="AL94" s="433"/>
      <c r="AM94" s="433"/>
      <c r="AN94" s="433"/>
      <c r="AO94" s="183"/>
      <c r="AP94" s="432" t="s">
        <v>320</v>
      </c>
      <c r="AQ94" s="432"/>
      <c r="AR94" s="432"/>
      <c r="AS94" s="432"/>
      <c r="AT94" s="432"/>
      <c r="AU94" s="433">
        <f>CEILING(1642*A3,1)</f>
        <v>2299</v>
      </c>
      <c r="AV94" s="433"/>
      <c r="AW94" s="433"/>
      <c r="AX94" s="433"/>
      <c r="AY94" s="231"/>
      <c r="AZ94" s="432" t="s">
        <v>321</v>
      </c>
      <c r="BA94" s="432"/>
      <c r="BB94" s="432"/>
      <c r="BC94" s="432"/>
      <c r="BD94" s="432"/>
      <c r="BE94" s="433">
        <f>CEILING(260*A3,1)</f>
        <v>364</v>
      </c>
      <c r="BF94" s="433"/>
      <c r="BG94" s="433"/>
      <c r="BH94" s="433"/>
      <c r="BI94" s="183"/>
      <c r="BJ94" s="432" t="s">
        <v>322</v>
      </c>
      <c r="BK94" s="432"/>
      <c r="BL94" s="432"/>
      <c r="BM94" s="432"/>
      <c r="BN94" s="432"/>
      <c r="BO94" s="433">
        <f>CEILING(325*A3,1)</f>
        <v>455</v>
      </c>
      <c r="BP94" s="433"/>
      <c r="BQ94" s="433"/>
      <c r="BR94" s="433"/>
      <c r="BT94" s="475"/>
      <c r="BU94" s="475"/>
      <c r="BV94" s="475"/>
      <c r="BW94" s="475"/>
      <c r="BX94" s="475"/>
      <c r="BY94" s="474"/>
      <c r="BZ94" s="474"/>
      <c r="CA94" s="474"/>
      <c r="CB94" s="474"/>
    </row>
  </sheetData>
  <mergeCells count="351">
    <mergeCell ref="B38:J38"/>
    <mergeCell ref="L38:T38"/>
    <mergeCell ref="V38:AD38"/>
    <mergeCell ref="AF38:AN38"/>
    <mergeCell ref="AP38:AX38"/>
    <mergeCell ref="AZ38:BH38"/>
    <mergeCell ref="BJ38:BR38"/>
    <mergeCell ref="AP49:AT49"/>
    <mergeCell ref="AU49:AX49"/>
    <mergeCell ref="AZ49:BD49"/>
    <mergeCell ref="BE49:BH49"/>
    <mergeCell ref="BJ49:BN49"/>
    <mergeCell ref="BO49:BR49"/>
    <mergeCell ref="BJ48:BN48"/>
    <mergeCell ref="BO48:BR48"/>
    <mergeCell ref="AP48:AT48"/>
    <mergeCell ref="AU48:AX48"/>
    <mergeCell ref="AZ48:BD48"/>
    <mergeCell ref="BE48:BH48"/>
    <mergeCell ref="B49:F49"/>
    <mergeCell ref="G49:J49"/>
    <mergeCell ref="L49:P49"/>
    <mergeCell ref="Q49:T49"/>
    <mergeCell ref="V49:Z49"/>
    <mergeCell ref="BY94:CB94"/>
    <mergeCell ref="AA94:AD94"/>
    <mergeCell ref="AF94:AJ94"/>
    <mergeCell ref="AK94:AN94"/>
    <mergeCell ref="AP94:AT94"/>
    <mergeCell ref="AU94:AX94"/>
    <mergeCell ref="AZ94:BD94"/>
    <mergeCell ref="B94:F94"/>
    <mergeCell ref="G94:J94"/>
    <mergeCell ref="L94:P94"/>
    <mergeCell ref="Q94:T94"/>
    <mergeCell ref="V94:Z94"/>
    <mergeCell ref="BE94:BH94"/>
    <mergeCell ref="BJ94:BN94"/>
    <mergeCell ref="BO94:BR94"/>
    <mergeCell ref="BT94:BX94"/>
    <mergeCell ref="BJ88:BL88"/>
    <mergeCell ref="BM88:BR88"/>
    <mergeCell ref="BT88:BV88"/>
    <mergeCell ref="BW88:CB88"/>
    <mergeCell ref="BJ89:BR89"/>
    <mergeCell ref="B93:F93"/>
    <mergeCell ref="G93:J93"/>
    <mergeCell ref="L93:P93"/>
    <mergeCell ref="Q93:T93"/>
    <mergeCell ref="V93:Z93"/>
    <mergeCell ref="AA93:AD93"/>
    <mergeCell ref="AF93:AJ93"/>
    <mergeCell ref="AK93:AN93"/>
    <mergeCell ref="AP93:AT93"/>
    <mergeCell ref="AU93:AX93"/>
    <mergeCell ref="BT81:BV81"/>
    <mergeCell ref="BW81:CB81"/>
    <mergeCell ref="B82:J82"/>
    <mergeCell ref="AZ82:BH82"/>
    <mergeCell ref="BJ82:BR82"/>
    <mergeCell ref="BJ87:BN87"/>
    <mergeCell ref="BO87:BR87"/>
    <mergeCell ref="BT87:BX87"/>
    <mergeCell ref="BY87:CB87"/>
    <mergeCell ref="AP81:AR81"/>
    <mergeCell ref="AS81:AX81"/>
    <mergeCell ref="AZ81:BB81"/>
    <mergeCell ref="BC81:BH81"/>
    <mergeCell ref="BJ81:BL81"/>
    <mergeCell ref="BM81:BR81"/>
    <mergeCell ref="B83:J83"/>
    <mergeCell ref="L82:T82"/>
    <mergeCell ref="V82:AD82"/>
    <mergeCell ref="AF82:AN82"/>
    <mergeCell ref="AP82:AX82"/>
    <mergeCell ref="BJ79:BN79"/>
    <mergeCell ref="BO79:BR79"/>
    <mergeCell ref="B81:D81"/>
    <mergeCell ref="E81:J81"/>
    <mergeCell ref="L81:N81"/>
    <mergeCell ref="O81:T81"/>
    <mergeCell ref="V81:X81"/>
    <mergeCell ref="Y81:AD81"/>
    <mergeCell ref="AF81:AH81"/>
    <mergeCell ref="AI81:AN81"/>
    <mergeCell ref="AF79:AJ79"/>
    <mergeCell ref="AK79:AN79"/>
    <mergeCell ref="AP79:AT79"/>
    <mergeCell ref="AU79:AX79"/>
    <mergeCell ref="AZ79:BD79"/>
    <mergeCell ref="BE79:BH79"/>
    <mergeCell ref="B79:F79"/>
    <mergeCell ref="G79:J79"/>
    <mergeCell ref="L79:P79"/>
    <mergeCell ref="Q79:T79"/>
    <mergeCell ref="V79:Z79"/>
    <mergeCell ref="AA79:AD79"/>
    <mergeCell ref="AP78:AT78"/>
    <mergeCell ref="AU78:AX78"/>
    <mergeCell ref="AZ78:BD78"/>
    <mergeCell ref="BE78:BH78"/>
    <mergeCell ref="BJ78:BN78"/>
    <mergeCell ref="BO78:BR78"/>
    <mergeCell ref="BJ77:BN77"/>
    <mergeCell ref="BO77:BR77"/>
    <mergeCell ref="B78:F78"/>
    <mergeCell ref="G78:J78"/>
    <mergeCell ref="L78:P78"/>
    <mergeCell ref="Q78:T78"/>
    <mergeCell ref="V78:Z78"/>
    <mergeCell ref="AA78:AD78"/>
    <mergeCell ref="AF78:AJ78"/>
    <mergeCell ref="AK78:AN78"/>
    <mergeCell ref="B67:J67"/>
    <mergeCell ref="L67:T67"/>
    <mergeCell ref="V67:AD67"/>
    <mergeCell ref="AF67:AN67"/>
    <mergeCell ref="AP67:AX67"/>
    <mergeCell ref="B77:F77"/>
    <mergeCell ref="G77:J77"/>
    <mergeCell ref="AP66:AR66"/>
    <mergeCell ref="AS66:AX66"/>
    <mergeCell ref="B68:J68"/>
    <mergeCell ref="L68:T68"/>
    <mergeCell ref="V68:AD68"/>
    <mergeCell ref="AF68:AN68"/>
    <mergeCell ref="AP68:AX68"/>
    <mergeCell ref="V69:AD69"/>
    <mergeCell ref="AF69:AN69"/>
    <mergeCell ref="AP69:AX69"/>
    <mergeCell ref="AZ66:BB66"/>
    <mergeCell ref="BC66:BH66"/>
    <mergeCell ref="BJ66:BL66"/>
    <mergeCell ref="BM66:BR66"/>
    <mergeCell ref="BJ64:BN64"/>
    <mergeCell ref="BO64:BR64"/>
    <mergeCell ref="B66:D66"/>
    <mergeCell ref="E66:J66"/>
    <mergeCell ref="L66:N66"/>
    <mergeCell ref="O66:T66"/>
    <mergeCell ref="V66:X66"/>
    <mergeCell ref="Y66:AD66"/>
    <mergeCell ref="AF66:AH66"/>
    <mergeCell ref="AI66:AN66"/>
    <mergeCell ref="AF64:AJ64"/>
    <mergeCell ref="AK64:AN64"/>
    <mergeCell ref="AP64:AT64"/>
    <mergeCell ref="AU64:AX64"/>
    <mergeCell ref="AZ64:BD64"/>
    <mergeCell ref="BE64:BH64"/>
    <mergeCell ref="V64:AD64"/>
    <mergeCell ref="AF63:AJ63"/>
    <mergeCell ref="AK63:AN63"/>
    <mergeCell ref="AP63:AT63"/>
    <mergeCell ref="AU63:AX63"/>
    <mergeCell ref="B64:F64"/>
    <mergeCell ref="G64:J64"/>
    <mergeCell ref="B63:F63"/>
    <mergeCell ref="G63:J63"/>
    <mergeCell ref="V63:AD63"/>
    <mergeCell ref="Q63:T63"/>
    <mergeCell ref="Q64:T64"/>
    <mergeCell ref="L63:P63"/>
    <mergeCell ref="L64:P64"/>
    <mergeCell ref="B62:F62"/>
    <mergeCell ref="G62:J62"/>
    <mergeCell ref="AF62:AJ62"/>
    <mergeCell ref="AK62:AN62"/>
    <mergeCell ref="AP62:AT62"/>
    <mergeCell ref="AU62:AX62"/>
    <mergeCell ref="BJ51:BL51"/>
    <mergeCell ref="BM51:BR51"/>
    <mergeCell ref="B52:J52"/>
    <mergeCell ref="AP52:AX52"/>
    <mergeCell ref="AZ52:BH52"/>
    <mergeCell ref="AF51:AH51"/>
    <mergeCell ref="AI51:AN51"/>
    <mergeCell ref="AP51:AR51"/>
    <mergeCell ref="AS51:AX51"/>
    <mergeCell ref="AZ51:BB51"/>
    <mergeCell ref="BC51:BH51"/>
    <mergeCell ref="B51:D51"/>
    <mergeCell ref="E51:J51"/>
    <mergeCell ref="L52:T52"/>
    <mergeCell ref="V52:AD52"/>
    <mergeCell ref="AA49:AD49"/>
    <mergeCell ref="AF49:AJ49"/>
    <mergeCell ref="AK49:AN49"/>
    <mergeCell ref="AF48:AJ48"/>
    <mergeCell ref="AK48:AN48"/>
    <mergeCell ref="B48:F48"/>
    <mergeCell ref="G48:J48"/>
    <mergeCell ref="L48:P48"/>
    <mergeCell ref="Q48:T48"/>
    <mergeCell ref="V48:Z48"/>
    <mergeCell ref="AA48:AD48"/>
    <mergeCell ref="AF47:AJ47"/>
    <mergeCell ref="AK47:AN47"/>
    <mergeCell ref="AP47:AT47"/>
    <mergeCell ref="AU47:AX47"/>
    <mergeCell ref="AZ47:BD47"/>
    <mergeCell ref="BE47:BH47"/>
    <mergeCell ref="B47:F47"/>
    <mergeCell ref="G47:J47"/>
    <mergeCell ref="L47:P47"/>
    <mergeCell ref="Q47:T47"/>
    <mergeCell ref="V47:Z47"/>
    <mergeCell ref="AA47:AD47"/>
    <mergeCell ref="BJ36:BL36"/>
    <mergeCell ref="BM36:BR36"/>
    <mergeCell ref="B37:J37"/>
    <mergeCell ref="L37:T37"/>
    <mergeCell ref="V37:AD37"/>
    <mergeCell ref="AF37:AN37"/>
    <mergeCell ref="AP37:AX37"/>
    <mergeCell ref="AZ37:BH37"/>
    <mergeCell ref="BJ37:BR37"/>
    <mergeCell ref="AF36:AH36"/>
    <mergeCell ref="AI36:AN36"/>
    <mergeCell ref="AP36:AR36"/>
    <mergeCell ref="AS36:AX36"/>
    <mergeCell ref="AZ36:BB36"/>
    <mergeCell ref="BC36:BH36"/>
    <mergeCell ref="B36:D36"/>
    <mergeCell ref="E36:J36"/>
    <mergeCell ref="L36:N36"/>
    <mergeCell ref="O36:T36"/>
    <mergeCell ref="V36:X36"/>
    <mergeCell ref="Y36:AD36"/>
    <mergeCell ref="AP34:AT34"/>
    <mergeCell ref="AU34:AX34"/>
    <mergeCell ref="AZ34:BD34"/>
    <mergeCell ref="BE34:BH34"/>
    <mergeCell ref="BJ34:BN34"/>
    <mergeCell ref="BO34:BR34"/>
    <mergeCell ref="BJ33:BN33"/>
    <mergeCell ref="BO33:BR33"/>
    <mergeCell ref="B34:F34"/>
    <mergeCell ref="G34:J34"/>
    <mergeCell ref="L34:P34"/>
    <mergeCell ref="Q34:T34"/>
    <mergeCell ref="V34:Z34"/>
    <mergeCell ref="AA34:AD34"/>
    <mergeCell ref="AF34:AJ34"/>
    <mergeCell ref="AK34:AN34"/>
    <mergeCell ref="AF33:AJ33"/>
    <mergeCell ref="AK33:AN33"/>
    <mergeCell ref="AP33:AT33"/>
    <mergeCell ref="AU33:AX33"/>
    <mergeCell ref="AZ33:BD33"/>
    <mergeCell ref="BE33:BH33"/>
    <mergeCell ref="B33:F33"/>
    <mergeCell ref="G33:J33"/>
    <mergeCell ref="L33:P33"/>
    <mergeCell ref="Q33:T33"/>
    <mergeCell ref="V33:Z33"/>
    <mergeCell ref="AA33:AD33"/>
    <mergeCell ref="BJ22:BR22"/>
    <mergeCell ref="B32:F32"/>
    <mergeCell ref="G32:J32"/>
    <mergeCell ref="Q32:T32"/>
    <mergeCell ref="AK32:AN32"/>
    <mergeCell ref="BJ32:BN32"/>
    <mergeCell ref="BO32:BR32"/>
    <mergeCell ref="B22:J22"/>
    <mergeCell ref="L22:T22"/>
    <mergeCell ref="V22:AD22"/>
    <mergeCell ref="AF22:AN22"/>
    <mergeCell ref="AP22:AX22"/>
    <mergeCell ref="AZ22:BH22"/>
    <mergeCell ref="B23:J23"/>
    <mergeCell ref="L23:T23"/>
    <mergeCell ref="V23:AD23"/>
    <mergeCell ref="AF23:AN23"/>
    <mergeCell ref="AP23:AX23"/>
    <mergeCell ref="AZ23:BH23"/>
    <mergeCell ref="BJ23:BR23"/>
    <mergeCell ref="AP21:AR21"/>
    <mergeCell ref="AS21:AX21"/>
    <mergeCell ref="AZ21:BB21"/>
    <mergeCell ref="BC21:BH21"/>
    <mergeCell ref="BJ21:BL21"/>
    <mergeCell ref="BM21:BR21"/>
    <mergeCell ref="BJ19:BN19"/>
    <mergeCell ref="BO19:BR19"/>
    <mergeCell ref="B21:D21"/>
    <mergeCell ref="E21:J21"/>
    <mergeCell ref="L21:N21"/>
    <mergeCell ref="O21:T21"/>
    <mergeCell ref="V21:X21"/>
    <mergeCell ref="Y21:AD21"/>
    <mergeCell ref="AF21:AH21"/>
    <mergeCell ref="AI21:AN21"/>
    <mergeCell ref="AF19:AJ19"/>
    <mergeCell ref="AK19:AN19"/>
    <mergeCell ref="AP19:AT19"/>
    <mergeCell ref="AU19:AX19"/>
    <mergeCell ref="AZ19:BD19"/>
    <mergeCell ref="BE19:BH19"/>
    <mergeCell ref="AZ18:BD18"/>
    <mergeCell ref="BE18:BH18"/>
    <mergeCell ref="BJ18:BN18"/>
    <mergeCell ref="BO18:BR18"/>
    <mergeCell ref="B19:F19"/>
    <mergeCell ref="G19:J19"/>
    <mergeCell ref="L19:P19"/>
    <mergeCell ref="Q19:T19"/>
    <mergeCell ref="V19:Z19"/>
    <mergeCell ref="AA19:AD19"/>
    <mergeCell ref="B18:F18"/>
    <mergeCell ref="G18:J18"/>
    <mergeCell ref="L18:P18"/>
    <mergeCell ref="Q18:T18"/>
    <mergeCell ref="AP18:AT18"/>
    <mergeCell ref="AU18:AX18"/>
    <mergeCell ref="AP17:AT17"/>
    <mergeCell ref="AU17:AX17"/>
    <mergeCell ref="AZ17:BD17"/>
    <mergeCell ref="BE17:BH17"/>
    <mergeCell ref="BJ17:BN17"/>
    <mergeCell ref="BO17:BR17"/>
    <mergeCell ref="B16:F16"/>
    <mergeCell ref="G16:J16"/>
    <mergeCell ref="B17:F17"/>
    <mergeCell ref="G17:J17"/>
    <mergeCell ref="L17:P17"/>
    <mergeCell ref="Q17:T17"/>
    <mergeCell ref="L3:BR3"/>
    <mergeCell ref="A3:J3"/>
    <mergeCell ref="B1:BR1"/>
    <mergeCell ref="B6:J6"/>
    <mergeCell ref="L6:T6"/>
    <mergeCell ref="V6:AD6"/>
    <mergeCell ref="AF6:AN6"/>
    <mergeCell ref="AP6:AX6"/>
    <mergeCell ref="AZ6:BH6"/>
    <mergeCell ref="BJ6:BR6"/>
    <mergeCell ref="Y5:AD5"/>
    <mergeCell ref="AF5:AH5"/>
    <mergeCell ref="AI5:AN5"/>
    <mergeCell ref="AP5:AR5"/>
    <mergeCell ref="AS5:AX5"/>
    <mergeCell ref="AZ5:BB5"/>
    <mergeCell ref="B5:D5"/>
    <mergeCell ref="E5:J5"/>
    <mergeCell ref="L5:N5"/>
    <mergeCell ref="O5:T5"/>
    <mergeCell ref="V5:X5"/>
    <mergeCell ref="BC5:BH5"/>
    <mergeCell ref="BJ5:BL5"/>
    <mergeCell ref="BM5:BR5"/>
  </mergeCells>
  <pageMargins left="0.23622047244094491" right="0.23622047244094491" top="0.35433070866141736" bottom="0.35433070866141736" header="0.31496062992125984" footer="0.31496062992125984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CB92"/>
  <sheetViews>
    <sheetView showGridLines="0" view="pageBreakPreview" topLeftCell="A58" zoomScale="95" zoomScaleSheetLayoutView="95" workbookViewId="0">
      <selection activeCell="CE75" sqref="CE75"/>
    </sheetView>
  </sheetViews>
  <sheetFormatPr defaultColWidth="8.77734375" defaultRowHeight="13.8" x14ac:dyDescent="0.3"/>
  <cols>
    <col min="1" max="1" width="0.33203125" style="171" customWidth="1"/>
    <col min="2" max="5" width="1.6640625" style="171" customWidth="1"/>
    <col min="6" max="6" width="6.6640625" style="171" customWidth="1"/>
    <col min="7" max="10" width="1.6640625" style="171" customWidth="1"/>
    <col min="11" max="11" width="0.33203125" style="171" customWidth="1"/>
    <col min="12" max="15" width="1.6640625" style="171" customWidth="1"/>
    <col min="16" max="16" width="7.33203125" style="171" customWidth="1"/>
    <col min="17" max="20" width="1.6640625" style="171" customWidth="1"/>
    <col min="21" max="21" width="0.33203125" style="171" customWidth="1"/>
    <col min="22" max="25" width="1.6640625" style="171" customWidth="1"/>
    <col min="26" max="26" width="7.77734375" style="171" customWidth="1"/>
    <col min="27" max="30" width="1.6640625" style="171" customWidth="1"/>
    <col min="31" max="31" width="0.33203125" style="171" customWidth="1"/>
    <col min="32" max="35" width="1.6640625" style="171" customWidth="1"/>
    <col min="36" max="36" width="7.77734375" style="171" customWidth="1"/>
    <col min="37" max="40" width="1.6640625" style="171" customWidth="1"/>
    <col min="41" max="41" width="0.33203125" style="171" customWidth="1"/>
    <col min="42" max="45" width="1.6640625" style="171" customWidth="1"/>
    <col min="46" max="46" width="8.44140625" style="171" customWidth="1"/>
    <col min="47" max="49" width="1.6640625" style="171" customWidth="1"/>
    <col min="50" max="50" width="2.44140625" style="171" customWidth="1"/>
    <col min="51" max="51" width="0.33203125" style="171" customWidth="1"/>
    <col min="52" max="55" width="1.6640625" style="171" customWidth="1"/>
    <col min="56" max="56" width="7" style="171" customWidth="1"/>
    <col min="57" max="59" width="1.6640625" style="171" customWidth="1"/>
    <col min="60" max="60" width="2.33203125" style="171" customWidth="1"/>
    <col min="61" max="61" width="0.33203125" style="171" customWidth="1"/>
    <col min="62" max="65" width="1.6640625" style="171" customWidth="1"/>
    <col min="66" max="66" width="7.77734375" style="171" customWidth="1"/>
    <col min="67" max="69" width="1.6640625" style="171" customWidth="1"/>
    <col min="70" max="70" width="2.33203125" style="171" customWidth="1"/>
    <col min="71" max="71" width="0.33203125" style="27" customWidth="1"/>
    <col min="72" max="80" width="1.6640625" style="27" customWidth="1"/>
    <col min="81" max="256" width="9.109375" style="27"/>
    <col min="257" max="257" width="0.33203125" style="27" customWidth="1"/>
    <col min="258" max="266" width="1.6640625" style="27" customWidth="1"/>
    <col min="267" max="267" width="0.33203125" style="27" customWidth="1"/>
    <col min="268" max="276" width="1.6640625" style="27" customWidth="1"/>
    <col min="277" max="277" width="0.33203125" style="27" customWidth="1"/>
    <col min="278" max="286" width="1.6640625" style="27" customWidth="1"/>
    <col min="287" max="287" width="0.33203125" style="27" customWidth="1"/>
    <col min="288" max="296" width="1.6640625" style="27" customWidth="1"/>
    <col min="297" max="297" width="0.33203125" style="27" customWidth="1"/>
    <col min="298" max="306" width="1.6640625" style="27" customWidth="1"/>
    <col min="307" max="307" width="0.33203125" style="27" customWidth="1"/>
    <col min="308" max="316" width="1.6640625" style="27" customWidth="1"/>
    <col min="317" max="317" width="0.33203125" style="27" customWidth="1"/>
    <col min="318" max="326" width="1.6640625" style="27" customWidth="1"/>
    <col min="327" max="327" width="0.33203125" style="27" customWidth="1"/>
    <col min="328" max="336" width="1.6640625" style="27" customWidth="1"/>
    <col min="337" max="512" width="9.109375" style="27"/>
    <col min="513" max="513" width="0.33203125" style="27" customWidth="1"/>
    <col min="514" max="522" width="1.6640625" style="27" customWidth="1"/>
    <col min="523" max="523" width="0.33203125" style="27" customWidth="1"/>
    <col min="524" max="532" width="1.6640625" style="27" customWidth="1"/>
    <col min="533" max="533" width="0.33203125" style="27" customWidth="1"/>
    <col min="534" max="542" width="1.6640625" style="27" customWidth="1"/>
    <col min="543" max="543" width="0.33203125" style="27" customWidth="1"/>
    <col min="544" max="552" width="1.6640625" style="27" customWidth="1"/>
    <col min="553" max="553" width="0.33203125" style="27" customWidth="1"/>
    <col min="554" max="562" width="1.6640625" style="27" customWidth="1"/>
    <col min="563" max="563" width="0.33203125" style="27" customWidth="1"/>
    <col min="564" max="572" width="1.6640625" style="27" customWidth="1"/>
    <col min="573" max="573" width="0.33203125" style="27" customWidth="1"/>
    <col min="574" max="582" width="1.6640625" style="27" customWidth="1"/>
    <col min="583" max="583" width="0.33203125" style="27" customWidth="1"/>
    <col min="584" max="592" width="1.6640625" style="27" customWidth="1"/>
    <col min="593" max="768" width="9.109375" style="27"/>
    <col min="769" max="769" width="0.33203125" style="27" customWidth="1"/>
    <col min="770" max="778" width="1.6640625" style="27" customWidth="1"/>
    <col min="779" max="779" width="0.33203125" style="27" customWidth="1"/>
    <col min="780" max="788" width="1.6640625" style="27" customWidth="1"/>
    <col min="789" max="789" width="0.33203125" style="27" customWidth="1"/>
    <col min="790" max="798" width="1.6640625" style="27" customWidth="1"/>
    <col min="799" max="799" width="0.33203125" style="27" customWidth="1"/>
    <col min="800" max="808" width="1.6640625" style="27" customWidth="1"/>
    <col min="809" max="809" width="0.33203125" style="27" customWidth="1"/>
    <col min="810" max="818" width="1.6640625" style="27" customWidth="1"/>
    <col min="819" max="819" width="0.33203125" style="27" customWidth="1"/>
    <col min="820" max="828" width="1.6640625" style="27" customWidth="1"/>
    <col min="829" max="829" width="0.33203125" style="27" customWidth="1"/>
    <col min="830" max="838" width="1.6640625" style="27" customWidth="1"/>
    <col min="839" max="839" width="0.33203125" style="27" customWidth="1"/>
    <col min="840" max="848" width="1.6640625" style="27" customWidth="1"/>
    <col min="849" max="1024" width="9.109375" style="27"/>
    <col min="1025" max="1025" width="0.33203125" style="27" customWidth="1"/>
    <col min="1026" max="1034" width="1.6640625" style="27" customWidth="1"/>
    <col min="1035" max="1035" width="0.33203125" style="27" customWidth="1"/>
    <col min="1036" max="1044" width="1.6640625" style="27" customWidth="1"/>
    <col min="1045" max="1045" width="0.33203125" style="27" customWidth="1"/>
    <col min="1046" max="1054" width="1.6640625" style="27" customWidth="1"/>
    <col min="1055" max="1055" width="0.33203125" style="27" customWidth="1"/>
    <col min="1056" max="1064" width="1.6640625" style="27" customWidth="1"/>
    <col min="1065" max="1065" width="0.33203125" style="27" customWidth="1"/>
    <col min="1066" max="1074" width="1.6640625" style="27" customWidth="1"/>
    <col min="1075" max="1075" width="0.33203125" style="27" customWidth="1"/>
    <col min="1076" max="1084" width="1.6640625" style="27" customWidth="1"/>
    <col min="1085" max="1085" width="0.33203125" style="27" customWidth="1"/>
    <col min="1086" max="1094" width="1.6640625" style="27" customWidth="1"/>
    <col min="1095" max="1095" width="0.33203125" style="27" customWidth="1"/>
    <col min="1096" max="1104" width="1.6640625" style="27" customWidth="1"/>
    <col min="1105" max="1280" width="9.109375" style="27"/>
    <col min="1281" max="1281" width="0.33203125" style="27" customWidth="1"/>
    <col min="1282" max="1290" width="1.6640625" style="27" customWidth="1"/>
    <col min="1291" max="1291" width="0.33203125" style="27" customWidth="1"/>
    <col min="1292" max="1300" width="1.6640625" style="27" customWidth="1"/>
    <col min="1301" max="1301" width="0.33203125" style="27" customWidth="1"/>
    <col min="1302" max="1310" width="1.6640625" style="27" customWidth="1"/>
    <col min="1311" max="1311" width="0.33203125" style="27" customWidth="1"/>
    <col min="1312" max="1320" width="1.6640625" style="27" customWidth="1"/>
    <col min="1321" max="1321" width="0.33203125" style="27" customWidth="1"/>
    <col min="1322" max="1330" width="1.6640625" style="27" customWidth="1"/>
    <col min="1331" max="1331" width="0.33203125" style="27" customWidth="1"/>
    <col min="1332" max="1340" width="1.6640625" style="27" customWidth="1"/>
    <col min="1341" max="1341" width="0.33203125" style="27" customWidth="1"/>
    <col min="1342" max="1350" width="1.6640625" style="27" customWidth="1"/>
    <col min="1351" max="1351" width="0.33203125" style="27" customWidth="1"/>
    <col min="1352" max="1360" width="1.6640625" style="27" customWidth="1"/>
    <col min="1361" max="1536" width="9.109375" style="27"/>
    <col min="1537" max="1537" width="0.33203125" style="27" customWidth="1"/>
    <col min="1538" max="1546" width="1.6640625" style="27" customWidth="1"/>
    <col min="1547" max="1547" width="0.33203125" style="27" customWidth="1"/>
    <col min="1548" max="1556" width="1.6640625" style="27" customWidth="1"/>
    <col min="1557" max="1557" width="0.33203125" style="27" customWidth="1"/>
    <col min="1558" max="1566" width="1.6640625" style="27" customWidth="1"/>
    <col min="1567" max="1567" width="0.33203125" style="27" customWidth="1"/>
    <col min="1568" max="1576" width="1.6640625" style="27" customWidth="1"/>
    <col min="1577" max="1577" width="0.33203125" style="27" customWidth="1"/>
    <col min="1578" max="1586" width="1.6640625" style="27" customWidth="1"/>
    <col min="1587" max="1587" width="0.33203125" style="27" customWidth="1"/>
    <col min="1588" max="1596" width="1.6640625" style="27" customWidth="1"/>
    <col min="1597" max="1597" width="0.33203125" style="27" customWidth="1"/>
    <col min="1598" max="1606" width="1.6640625" style="27" customWidth="1"/>
    <col min="1607" max="1607" width="0.33203125" style="27" customWidth="1"/>
    <col min="1608" max="1616" width="1.6640625" style="27" customWidth="1"/>
    <col min="1617" max="1792" width="9.109375" style="27"/>
    <col min="1793" max="1793" width="0.33203125" style="27" customWidth="1"/>
    <col min="1794" max="1802" width="1.6640625" style="27" customWidth="1"/>
    <col min="1803" max="1803" width="0.33203125" style="27" customWidth="1"/>
    <col min="1804" max="1812" width="1.6640625" style="27" customWidth="1"/>
    <col min="1813" max="1813" width="0.33203125" style="27" customWidth="1"/>
    <col min="1814" max="1822" width="1.6640625" style="27" customWidth="1"/>
    <col min="1823" max="1823" width="0.33203125" style="27" customWidth="1"/>
    <col min="1824" max="1832" width="1.6640625" style="27" customWidth="1"/>
    <col min="1833" max="1833" width="0.33203125" style="27" customWidth="1"/>
    <col min="1834" max="1842" width="1.6640625" style="27" customWidth="1"/>
    <col min="1843" max="1843" width="0.33203125" style="27" customWidth="1"/>
    <col min="1844" max="1852" width="1.6640625" style="27" customWidth="1"/>
    <col min="1853" max="1853" width="0.33203125" style="27" customWidth="1"/>
    <col min="1854" max="1862" width="1.6640625" style="27" customWidth="1"/>
    <col min="1863" max="1863" width="0.33203125" style="27" customWidth="1"/>
    <col min="1864" max="1872" width="1.6640625" style="27" customWidth="1"/>
    <col min="1873" max="2048" width="9.109375" style="27"/>
    <col min="2049" max="2049" width="0.33203125" style="27" customWidth="1"/>
    <col min="2050" max="2058" width="1.6640625" style="27" customWidth="1"/>
    <col min="2059" max="2059" width="0.33203125" style="27" customWidth="1"/>
    <col min="2060" max="2068" width="1.6640625" style="27" customWidth="1"/>
    <col min="2069" max="2069" width="0.33203125" style="27" customWidth="1"/>
    <col min="2070" max="2078" width="1.6640625" style="27" customWidth="1"/>
    <col min="2079" max="2079" width="0.33203125" style="27" customWidth="1"/>
    <col min="2080" max="2088" width="1.6640625" style="27" customWidth="1"/>
    <col min="2089" max="2089" width="0.33203125" style="27" customWidth="1"/>
    <col min="2090" max="2098" width="1.6640625" style="27" customWidth="1"/>
    <col min="2099" max="2099" width="0.33203125" style="27" customWidth="1"/>
    <col min="2100" max="2108" width="1.6640625" style="27" customWidth="1"/>
    <col min="2109" max="2109" width="0.33203125" style="27" customWidth="1"/>
    <col min="2110" max="2118" width="1.6640625" style="27" customWidth="1"/>
    <col min="2119" max="2119" width="0.33203125" style="27" customWidth="1"/>
    <col min="2120" max="2128" width="1.6640625" style="27" customWidth="1"/>
    <col min="2129" max="2304" width="9.109375" style="27"/>
    <col min="2305" max="2305" width="0.33203125" style="27" customWidth="1"/>
    <col min="2306" max="2314" width="1.6640625" style="27" customWidth="1"/>
    <col min="2315" max="2315" width="0.33203125" style="27" customWidth="1"/>
    <col min="2316" max="2324" width="1.6640625" style="27" customWidth="1"/>
    <col min="2325" max="2325" width="0.33203125" style="27" customWidth="1"/>
    <col min="2326" max="2334" width="1.6640625" style="27" customWidth="1"/>
    <col min="2335" max="2335" width="0.33203125" style="27" customWidth="1"/>
    <col min="2336" max="2344" width="1.6640625" style="27" customWidth="1"/>
    <col min="2345" max="2345" width="0.33203125" style="27" customWidth="1"/>
    <col min="2346" max="2354" width="1.6640625" style="27" customWidth="1"/>
    <col min="2355" max="2355" width="0.33203125" style="27" customWidth="1"/>
    <col min="2356" max="2364" width="1.6640625" style="27" customWidth="1"/>
    <col min="2365" max="2365" width="0.33203125" style="27" customWidth="1"/>
    <col min="2366" max="2374" width="1.6640625" style="27" customWidth="1"/>
    <col min="2375" max="2375" width="0.33203125" style="27" customWidth="1"/>
    <col min="2376" max="2384" width="1.6640625" style="27" customWidth="1"/>
    <col min="2385" max="2560" width="9.109375" style="27"/>
    <col min="2561" max="2561" width="0.33203125" style="27" customWidth="1"/>
    <col min="2562" max="2570" width="1.6640625" style="27" customWidth="1"/>
    <col min="2571" max="2571" width="0.33203125" style="27" customWidth="1"/>
    <col min="2572" max="2580" width="1.6640625" style="27" customWidth="1"/>
    <col min="2581" max="2581" width="0.33203125" style="27" customWidth="1"/>
    <col min="2582" max="2590" width="1.6640625" style="27" customWidth="1"/>
    <col min="2591" max="2591" width="0.33203125" style="27" customWidth="1"/>
    <col min="2592" max="2600" width="1.6640625" style="27" customWidth="1"/>
    <col min="2601" max="2601" width="0.33203125" style="27" customWidth="1"/>
    <col min="2602" max="2610" width="1.6640625" style="27" customWidth="1"/>
    <col min="2611" max="2611" width="0.33203125" style="27" customWidth="1"/>
    <col min="2612" max="2620" width="1.6640625" style="27" customWidth="1"/>
    <col min="2621" max="2621" width="0.33203125" style="27" customWidth="1"/>
    <col min="2622" max="2630" width="1.6640625" style="27" customWidth="1"/>
    <col min="2631" max="2631" width="0.33203125" style="27" customWidth="1"/>
    <col min="2632" max="2640" width="1.6640625" style="27" customWidth="1"/>
    <col min="2641" max="2816" width="9.109375" style="27"/>
    <col min="2817" max="2817" width="0.33203125" style="27" customWidth="1"/>
    <col min="2818" max="2826" width="1.6640625" style="27" customWidth="1"/>
    <col min="2827" max="2827" width="0.33203125" style="27" customWidth="1"/>
    <col min="2828" max="2836" width="1.6640625" style="27" customWidth="1"/>
    <col min="2837" max="2837" width="0.33203125" style="27" customWidth="1"/>
    <col min="2838" max="2846" width="1.6640625" style="27" customWidth="1"/>
    <col min="2847" max="2847" width="0.33203125" style="27" customWidth="1"/>
    <col min="2848" max="2856" width="1.6640625" style="27" customWidth="1"/>
    <col min="2857" max="2857" width="0.33203125" style="27" customWidth="1"/>
    <col min="2858" max="2866" width="1.6640625" style="27" customWidth="1"/>
    <col min="2867" max="2867" width="0.33203125" style="27" customWidth="1"/>
    <col min="2868" max="2876" width="1.6640625" style="27" customWidth="1"/>
    <col min="2877" max="2877" width="0.33203125" style="27" customWidth="1"/>
    <col min="2878" max="2886" width="1.6640625" style="27" customWidth="1"/>
    <col min="2887" max="2887" width="0.33203125" style="27" customWidth="1"/>
    <col min="2888" max="2896" width="1.6640625" style="27" customWidth="1"/>
    <col min="2897" max="3072" width="9.109375" style="27"/>
    <col min="3073" max="3073" width="0.33203125" style="27" customWidth="1"/>
    <col min="3074" max="3082" width="1.6640625" style="27" customWidth="1"/>
    <col min="3083" max="3083" width="0.33203125" style="27" customWidth="1"/>
    <col min="3084" max="3092" width="1.6640625" style="27" customWidth="1"/>
    <col min="3093" max="3093" width="0.33203125" style="27" customWidth="1"/>
    <col min="3094" max="3102" width="1.6640625" style="27" customWidth="1"/>
    <col min="3103" max="3103" width="0.33203125" style="27" customWidth="1"/>
    <col min="3104" max="3112" width="1.6640625" style="27" customWidth="1"/>
    <col min="3113" max="3113" width="0.33203125" style="27" customWidth="1"/>
    <col min="3114" max="3122" width="1.6640625" style="27" customWidth="1"/>
    <col min="3123" max="3123" width="0.33203125" style="27" customWidth="1"/>
    <col min="3124" max="3132" width="1.6640625" style="27" customWidth="1"/>
    <col min="3133" max="3133" width="0.33203125" style="27" customWidth="1"/>
    <col min="3134" max="3142" width="1.6640625" style="27" customWidth="1"/>
    <col min="3143" max="3143" width="0.33203125" style="27" customWidth="1"/>
    <col min="3144" max="3152" width="1.6640625" style="27" customWidth="1"/>
    <col min="3153" max="3328" width="9.109375" style="27"/>
    <col min="3329" max="3329" width="0.33203125" style="27" customWidth="1"/>
    <col min="3330" max="3338" width="1.6640625" style="27" customWidth="1"/>
    <col min="3339" max="3339" width="0.33203125" style="27" customWidth="1"/>
    <col min="3340" max="3348" width="1.6640625" style="27" customWidth="1"/>
    <col min="3349" max="3349" width="0.33203125" style="27" customWidth="1"/>
    <col min="3350" max="3358" width="1.6640625" style="27" customWidth="1"/>
    <col min="3359" max="3359" width="0.33203125" style="27" customWidth="1"/>
    <col min="3360" max="3368" width="1.6640625" style="27" customWidth="1"/>
    <col min="3369" max="3369" width="0.33203125" style="27" customWidth="1"/>
    <col min="3370" max="3378" width="1.6640625" style="27" customWidth="1"/>
    <col min="3379" max="3379" width="0.33203125" style="27" customWidth="1"/>
    <col min="3380" max="3388" width="1.6640625" style="27" customWidth="1"/>
    <col min="3389" max="3389" width="0.33203125" style="27" customWidth="1"/>
    <col min="3390" max="3398" width="1.6640625" style="27" customWidth="1"/>
    <col min="3399" max="3399" width="0.33203125" style="27" customWidth="1"/>
    <col min="3400" max="3408" width="1.6640625" style="27" customWidth="1"/>
    <col min="3409" max="3584" width="9.109375" style="27"/>
    <col min="3585" max="3585" width="0.33203125" style="27" customWidth="1"/>
    <col min="3586" max="3594" width="1.6640625" style="27" customWidth="1"/>
    <col min="3595" max="3595" width="0.33203125" style="27" customWidth="1"/>
    <col min="3596" max="3604" width="1.6640625" style="27" customWidth="1"/>
    <col min="3605" max="3605" width="0.33203125" style="27" customWidth="1"/>
    <col min="3606" max="3614" width="1.6640625" style="27" customWidth="1"/>
    <col min="3615" max="3615" width="0.33203125" style="27" customWidth="1"/>
    <col min="3616" max="3624" width="1.6640625" style="27" customWidth="1"/>
    <col min="3625" max="3625" width="0.33203125" style="27" customWidth="1"/>
    <col min="3626" max="3634" width="1.6640625" style="27" customWidth="1"/>
    <col min="3635" max="3635" width="0.33203125" style="27" customWidth="1"/>
    <col min="3636" max="3644" width="1.6640625" style="27" customWidth="1"/>
    <col min="3645" max="3645" width="0.33203125" style="27" customWidth="1"/>
    <col min="3646" max="3654" width="1.6640625" style="27" customWidth="1"/>
    <col min="3655" max="3655" width="0.33203125" style="27" customWidth="1"/>
    <col min="3656" max="3664" width="1.6640625" style="27" customWidth="1"/>
    <col min="3665" max="3840" width="9.109375" style="27"/>
    <col min="3841" max="3841" width="0.33203125" style="27" customWidth="1"/>
    <col min="3842" max="3850" width="1.6640625" style="27" customWidth="1"/>
    <col min="3851" max="3851" width="0.33203125" style="27" customWidth="1"/>
    <col min="3852" max="3860" width="1.6640625" style="27" customWidth="1"/>
    <col min="3861" max="3861" width="0.33203125" style="27" customWidth="1"/>
    <col min="3862" max="3870" width="1.6640625" style="27" customWidth="1"/>
    <col min="3871" max="3871" width="0.33203125" style="27" customWidth="1"/>
    <col min="3872" max="3880" width="1.6640625" style="27" customWidth="1"/>
    <col min="3881" max="3881" width="0.33203125" style="27" customWidth="1"/>
    <col min="3882" max="3890" width="1.6640625" style="27" customWidth="1"/>
    <col min="3891" max="3891" width="0.33203125" style="27" customWidth="1"/>
    <col min="3892" max="3900" width="1.6640625" style="27" customWidth="1"/>
    <col min="3901" max="3901" width="0.33203125" style="27" customWidth="1"/>
    <col min="3902" max="3910" width="1.6640625" style="27" customWidth="1"/>
    <col min="3911" max="3911" width="0.33203125" style="27" customWidth="1"/>
    <col min="3912" max="3920" width="1.6640625" style="27" customWidth="1"/>
    <col min="3921" max="4096" width="9.109375" style="27"/>
    <col min="4097" max="4097" width="0.33203125" style="27" customWidth="1"/>
    <col min="4098" max="4106" width="1.6640625" style="27" customWidth="1"/>
    <col min="4107" max="4107" width="0.33203125" style="27" customWidth="1"/>
    <col min="4108" max="4116" width="1.6640625" style="27" customWidth="1"/>
    <col min="4117" max="4117" width="0.33203125" style="27" customWidth="1"/>
    <col min="4118" max="4126" width="1.6640625" style="27" customWidth="1"/>
    <col min="4127" max="4127" width="0.33203125" style="27" customWidth="1"/>
    <col min="4128" max="4136" width="1.6640625" style="27" customWidth="1"/>
    <col min="4137" max="4137" width="0.33203125" style="27" customWidth="1"/>
    <col min="4138" max="4146" width="1.6640625" style="27" customWidth="1"/>
    <col min="4147" max="4147" width="0.33203125" style="27" customWidth="1"/>
    <col min="4148" max="4156" width="1.6640625" style="27" customWidth="1"/>
    <col min="4157" max="4157" width="0.33203125" style="27" customWidth="1"/>
    <col min="4158" max="4166" width="1.6640625" style="27" customWidth="1"/>
    <col min="4167" max="4167" width="0.33203125" style="27" customWidth="1"/>
    <col min="4168" max="4176" width="1.6640625" style="27" customWidth="1"/>
    <col min="4177" max="4352" width="9.109375" style="27"/>
    <col min="4353" max="4353" width="0.33203125" style="27" customWidth="1"/>
    <col min="4354" max="4362" width="1.6640625" style="27" customWidth="1"/>
    <col min="4363" max="4363" width="0.33203125" style="27" customWidth="1"/>
    <col min="4364" max="4372" width="1.6640625" style="27" customWidth="1"/>
    <col min="4373" max="4373" width="0.33203125" style="27" customWidth="1"/>
    <col min="4374" max="4382" width="1.6640625" style="27" customWidth="1"/>
    <col min="4383" max="4383" width="0.33203125" style="27" customWidth="1"/>
    <col min="4384" max="4392" width="1.6640625" style="27" customWidth="1"/>
    <col min="4393" max="4393" width="0.33203125" style="27" customWidth="1"/>
    <col min="4394" max="4402" width="1.6640625" style="27" customWidth="1"/>
    <col min="4403" max="4403" width="0.33203125" style="27" customWidth="1"/>
    <col min="4404" max="4412" width="1.6640625" style="27" customWidth="1"/>
    <col min="4413" max="4413" width="0.33203125" style="27" customWidth="1"/>
    <col min="4414" max="4422" width="1.6640625" style="27" customWidth="1"/>
    <col min="4423" max="4423" width="0.33203125" style="27" customWidth="1"/>
    <col min="4424" max="4432" width="1.6640625" style="27" customWidth="1"/>
    <col min="4433" max="4608" width="9.109375" style="27"/>
    <col min="4609" max="4609" width="0.33203125" style="27" customWidth="1"/>
    <col min="4610" max="4618" width="1.6640625" style="27" customWidth="1"/>
    <col min="4619" max="4619" width="0.33203125" style="27" customWidth="1"/>
    <col min="4620" max="4628" width="1.6640625" style="27" customWidth="1"/>
    <col min="4629" max="4629" width="0.33203125" style="27" customWidth="1"/>
    <col min="4630" max="4638" width="1.6640625" style="27" customWidth="1"/>
    <col min="4639" max="4639" width="0.33203125" style="27" customWidth="1"/>
    <col min="4640" max="4648" width="1.6640625" style="27" customWidth="1"/>
    <col min="4649" max="4649" width="0.33203125" style="27" customWidth="1"/>
    <col min="4650" max="4658" width="1.6640625" style="27" customWidth="1"/>
    <col min="4659" max="4659" width="0.33203125" style="27" customWidth="1"/>
    <col min="4660" max="4668" width="1.6640625" style="27" customWidth="1"/>
    <col min="4669" max="4669" width="0.33203125" style="27" customWidth="1"/>
    <col min="4670" max="4678" width="1.6640625" style="27" customWidth="1"/>
    <col min="4679" max="4679" width="0.33203125" style="27" customWidth="1"/>
    <col min="4680" max="4688" width="1.6640625" style="27" customWidth="1"/>
    <col min="4689" max="4864" width="9.109375" style="27"/>
    <col min="4865" max="4865" width="0.33203125" style="27" customWidth="1"/>
    <col min="4866" max="4874" width="1.6640625" style="27" customWidth="1"/>
    <col min="4875" max="4875" width="0.33203125" style="27" customWidth="1"/>
    <col min="4876" max="4884" width="1.6640625" style="27" customWidth="1"/>
    <col min="4885" max="4885" width="0.33203125" style="27" customWidth="1"/>
    <col min="4886" max="4894" width="1.6640625" style="27" customWidth="1"/>
    <col min="4895" max="4895" width="0.33203125" style="27" customWidth="1"/>
    <col min="4896" max="4904" width="1.6640625" style="27" customWidth="1"/>
    <col min="4905" max="4905" width="0.33203125" style="27" customWidth="1"/>
    <col min="4906" max="4914" width="1.6640625" style="27" customWidth="1"/>
    <col min="4915" max="4915" width="0.33203125" style="27" customWidth="1"/>
    <col min="4916" max="4924" width="1.6640625" style="27" customWidth="1"/>
    <col min="4925" max="4925" width="0.33203125" style="27" customWidth="1"/>
    <col min="4926" max="4934" width="1.6640625" style="27" customWidth="1"/>
    <col min="4935" max="4935" width="0.33203125" style="27" customWidth="1"/>
    <col min="4936" max="4944" width="1.6640625" style="27" customWidth="1"/>
    <col min="4945" max="5120" width="9.109375" style="27"/>
    <col min="5121" max="5121" width="0.33203125" style="27" customWidth="1"/>
    <col min="5122" max="5130" width="1.6640625" style="27" customWidth="1"/>
    <col min="5131" max="5131" width="0.33203125" style="27" customWidth="1"/>
    <col min="5132" max="5140" width="1.6640625" style="27" customWidth="1"/>
    <col min="5141" max="5141" width="0.33203125" style="27" customWidth="1"/>
    <col min="5142" max="5150" width="1.6640625" style="27" customWidth="1"/>
    <col min="5151" max="5151" width="0.33203125" style="27" customWidth="1"/>
    <col min="5152" max="5160" width="1.6640625" style="27" customWidth="1"/>
    <col min="5161" max="5161" width="0.33203125" style="27" customWidth="1"/>
    <col min="5162" max="5170" width="1.6640625" style="27" customWidth="1"/>
    <col min="5171" max="5171" width="0.33203125" style="27" customWidth="1"/>
    <col min="5172" max="5180" width="1.6640625" style="27" customWidth="1"/>
    <col min="5181" max="5181" width="0.33203125" style="27" customWidth="1"/>
    <col min="5182" max="5190" width="1.6640625" style="27" customWidth="1"/>
    <col min="5191" max="5191" width="0.33203125" style="27" customWidth="1"/>
    <col min="5192" max="5200" width="1.6640625" style="27" customWidth="1"/>
    <col min="5201" max="5376" width="9.109375" style="27"/>
    <col min="5377" max="5377" width="0.33203125" style="27" customWidth="1"/>
    <col min="5378" max="5386" width="1.6640625" style="27" customWidth="1"/>
    <col min="5387" max="5387" width="0.33203125" style="27" customWidth="1"/>
    <col min="5388" max="5396" width="1.6640625" style="27" customWidth="1"/>
    <col min="5397" max="5397" width="0.33203125" style="27" customWidth="1"/>
    <col min="5398" max="5406" width="1.6640625" style="27" customWidth="1"/>
    <col min="5407" max="5407" width="0.33203125" style="27" customWidth="1"/>
    <col min="5408" max="5416" width="1.6640625" style="27" customWidth="1"/>
    <col min="5417" max="5417" width="0.33203125" style="27" customWidth="1"/>
    <col min="5418" max="5426" width="1.6640625" style="27" customWidth="1"/>
    <col min="5427" max="5427" width="0.33203125" style="27" customWidth="1"/>
    <col min="5428" max="5436" width="1.6640625" style="27" customWidth="1"/>
    <col min="5437" max="5437" width="0.33203125" style="27" customWidth="1"/>
    <col min="5438" max="5446" width="1.6640625" style="27" customWidth="1"/>
    <col min="5447" max="5447" width="0.33203125" style="27" customWidth="1"/>
    <col min="5448" max="5456" width="1.6640625" style="27" customWidth="1"/>
    <col min="5457" max="5632" width="9.109375" style="27"/>
    <col min="5633" max="5633" width="0.33203125" style="27" customWidth="1"/>
    <col min="5634" max="5642" width="1.6640625" style="27" customWidth="1"/>
    <col min="5643" max="5643" width="0.33203125" style="27" customWidth="1"/>
    <col min="5644" max="5652" width="1.6640625" style="27" customWidth="1"/>
    <col min="5653" max="5653" width="0.33203125" style="27" customWidth="1"/>
    <col min="5654" max="5662" width="1.6640625" style="27" customWidth="1"/>
    <col min="5663" max="5663" width="0.33203125" style="27" customWidth="1"/>
    <col min="5664" max="5672" width="1.6640625" style="27" customWidth="1"/>
    <col min="5673" max="5673" width="0.33203125" style="27" customWidth="1"/>
    <col min="5674" max="5682" width="1.6640625" style="27" customWidth="1"/>
    <col min="5683" max="5683" width="0.33203125" style="27" customWidth="1"/>
    <col min="5684" max="5692" width="1.6640625" style="27" customWidth="1"/>
    <col min="5693" max="5693" width="0.33203125" style="27" customWidth="1"/>
    <col min="5694" max="5702" width="1.6640625" style="27" customWidth="1"/>
    <col min="5703" max="5703" width="0.33203125" style="27" customWidth="1"/>
    <col min="5704" max="5712" width="1.6640625" style="27" customWidth="1"/>
    <col min="5713" max="5888" width="9.109375" style="27"/>
    <col min="5889" max="5889" width="0.33203125" style="27" customWidth="1"/>
    <col min="5890" max="5898" width="1.6640625" style="27" customWidth="1"/>
    <col min="5899" max="5899" width="0.33203125" style="27" customWidth="1"/>
    <col min="5900" max="5908" width="1.6640625" style="27" customWidth="1"/>
    <col min="5909" max="5909" width="0.33203125" style="27" customWidth="1"/>
    <col min="5910" max="5918" width="1.6640625" style="27" customWidth="1"/>
    <col min="5919" max="5919" width="0.33203125" style="27" customWidth="1"/>
    <col min="5920" max="5928" width="1.6640625" style="27" customWidth="1"/>
    <col min="5929" max="5929" width="0.33203125" style="27" customWidth="1"/>
    <col min="5930" max="5938" width="1.6640625" style="27" customWidth="1"/>
    <col min="5939" max="5939" width="0.33203125" style="27" customWidth="1"/>
    <col min="5940" max="5948" width="1.6640625" style="27" customWidth="1"/>
    <col min="5949" max="5949" width="0.33203125" style="27" customWidth="1"/>
    <col min="5950" max="5958" width="1.6640625" style="27" customWidth="1"/>
    <col min="5959" max="5959" width="0.33203125" style="27" customWidth="1"/>
    <col min="5960" max="5968" width="1.6640625" style="27" customWidth="1"/>
    <col min="5969" max="6144" width="9.109375" style="27"/>
    <col min="6145" max="6145" width="0.33203125" style="27" customWidth="1"/>
    <col min="6146" max="6154" width="1.6640625" style="27" customWidth="1"/>
    <col min="6155" max="6155" width="0.33203125" style="27" customWidth="1"/>
    <col min="6156" max="6164" width="1.6640625" style="27" customWidth="1"/>
    <col min="6165" max="6165" width="0.33203125" style="27" customWidth="1"/>
    <col min="6166" max="6174" width="1.6640625" style="27" customWidth="1"/>
    <col min="6175" max="6175" width="0.33203125" style="27" customWidth="1"/>
    <col min="6176" max="6184" width="1.6640625" style="27" customWidth="1"/>
    <col min="6185" max="6185" width="0.33203125" style="27" customWidth="1"/>
    <col min="6186" max="6194" width="1.6640625" style="27" customWidth="1"/>
    <col min="6195" max="6195" width="0.33203125" style="27" customWidth="1"/>
    <col min="6196" max="6204" width="1.6640625" style="27" customWidth="1"/>
    <col min="6205" max="6205" width="0.33203125" style="27" customWidth="1"/>
    <col min="6206" max="6214" width="1.6640625" style="27" customWidth="1"/>
    <col min="6215" max="6215" width="0.33203125" style="27" customWidth="1"/>
    <col min="6216" max="6224" width="1.6640625" style="27" customWidth="1"/>
    <col min="6225" max="6400" width="9.109375" style="27"/>
    <col min="6401" max="6401" width="0.33203125" style="27" customWidth="1"/>
    <col min="6402" max="6410" width="1.6640625" style="27" customWidth="1"/>
    <col min="6411" max="6411" width="0.33203125" style="27" customWidth="1"/>
    <col min="6412" max="6420" width="1.6640625" style="27" customWidth="1"/>
    <col min="6421" max="6421" width="0.33203125" style="27" customWidth="1"/>
    <col min="6422" max="6430" width="1.6640625" style="27" customWidth="1"/>
    <col min="6431" max="6431" width="0.33203125" style="27" customWidth="1"/>
    <col min="6432" max="6440" width="1.6640625" style="27" customWidth="1"/>
    <col min="6441" max="6441" width="0.33203125" style="27" customWidth="1"/>
    <col min="6442" max="6450" width="1.6640625" style="27" customWidth="1"/>
    <col min="6451" max="6451" width="0.33203125" style="27" customWidth="1"/>
    <col min="6452" max="6460" width="1.6640625" style="27" customWidth="1"/>
    <col min="6461" max="6461" width="0.33203125" style="27" customWidth="1"/>
    <col min="6462" max="6470" width="1.6640625" style="27" customWidth="1"/>
    <col min="6471" max="6471" width="0.33203125" style="27" customWidth="1"/>
    <col min="6472" max="6480" width="1.6640625" style="27" customWidth="1"/>
    <col min="6481" max="6656" width="9.109375" style="27"/>
    <col min="6657" max="6657" width="0.33203125" style="27" customWidth="1"/>
    <col min="6658" max="6666" width="1.6640625" style="27" customWidth="1"/>
    <col min="6667" max="6667" width="0.33203125" style="27" customWidth="1"/>
    <col min="6668" max="6676" width="1.6640625" style="27" customWidth="1"/>
    <col min="6677" max="6677" width="0.33203125" style="27" customWidth="1"/>
    <col min="6678" max="6686" width="1.6640625" style="27" customWidth="1"/>
    <col min="6687" max="6687" width="0.33203125" style="27" customWidth="1"/>
    <col min="6688" max="6696" width="1.6640625" style="27" customWidth="1"/>
    <col min="6697" max="6697" width="0.33203125" style="27" customWidth="1"/>
    <col min="6698" max="6706" width="1.6640625" style="27" customWidth="1"/>
    <col min="6707" max="6707" width="0.33203125" style="27" customWidth="1"/>
    <col min="6708" max="6716" width="1.6640625" style="27" customWidth="1"/>
    <col min="6717" max="6717" width="0.33203125" style="27" customWidth="1"/>
    <col min="6718" max="6726" width="1.6640625" style="27" customWidth="1"/>
    <col min="6727" max="6727" width="0.33203125" style="27" customWidth="1"/>
    <col min="6728" max="6736" width="1.6640625" style="27" customWidth="1"/>
    <col min="6737" max="6912" width="9.109375" style="27"/>
    <col min="6913" max="6913" width="0.33203125" style="27" customWidth="1"/>
    <col min="6914" max="6922" width="1.6640625" style="27" customWidth="1"/>
    <col min="6923" max="6923" width="0.33203125" style="27" customWidth="1"/>
    <col min="6924" max="6932" width="1.6640625" style="27" customWidth="1"/>
    <col min="6933" max="6933" width="0.33203125" style="27" customWidth="1"/>
    <col min="6934" max="6942" width="1.6640625" style="27" customWidth="1"/>
    <col min="6943" max="6943" width="0.33203125" style="27" customWidth="1"/>
    <col min="6944" max="6952" width="1.6640625" style="27" customWidth="1"/>
    <col min="6953" max="6953" width="0.33203125" style="27" customWidth="1"/>
    <col min="6954" max="6962" width="1.6640625" style="27" customWidth="1"/>
    <col min="6963" max="6963" width="0.33203125" style="27" customWidth="1"/>
    <col min="6964" max="6972" width="1.6640625" style="27" customWidth="1"/>
    <col min="6973" max="6973" width="0.33203125" style="27" customWidth="1"/>
    <col min="6974" max="6982" width="1.6640625" style="27" customWidth="1"/>
    <col min="6983" max="6983" width="0.33203125" style="27" customWidth="1"/>
    <col min="6984" max="6992" width="1.6640625" style="27" customWidth="1"/>
    <col min="6993" max="7168" width="9.109375" style="27"/>
    <col min="7169" max="7169" width="0.33203125" style="27" customWidth="1"/>
    <col min="7170" max="7178" width="1.6640625" style="27" customWidth="1"/>
    <col min="7179" max="7179" width="0.33203125" style="27" customWidth="1"/>
    <col min="7180" max="7188" width="1.6640625" style="27" customWidth="1"/>
    <col min="7189" max="7189" width="0.33203125" style="27" customWidth="1"/>
    <col min="7190" max="7198" width="1.6640625" style="27" customWidth="1"/>
    <col min="7199" max="7199" width="0.33203125" style="27" customWidth="1"/>
    <col min="7200" max="7208" width="1.6640625" style="27" customWidth="1"/>
    <col min="7209" max="7209" width="0.33203125" style="27" customWidth="1"/>
    <col min="7210" max="7218" width="1.6640625" style="27" customWidth="1"/>
    <col min="7219" max="7219" width="0.33203125" style="27" customWidth="1"/>
    <col min="7220" max="7228" width="1.6640625" style="27" customWidth="1"/>
    <col min="7229" max="7229" width="0.33203125" style="27" customWidth="1"/>
    <col min="7230" max="7238" width="1.6640625" style="27" customWidth="1"/>
    <col min="7239" max="7239" width="0.33203125" style="27" customWidth="1"/>
    <col min="7240" max="7248" width="1.6640625" style="27" customWidth="1"/>
    <col min="7249" max="7424" width="9.109375" style="27"/>
    <col min="7425" max="7425" width="0.33203125" style="27" customWidth="1"/>
    <col min="7426" max="7434" width="1.6640625" style="27" customWidth="1"/>
    <col min="7435" max="7435" width="0.33203125" style="27" customWidth="1"/>
    <col min="7436" max="7444" width="1.6640625" style="27" customWidth="1"/>
    <col min="7445" max="7445" width="0.33203125" style="27" customWidth="1"/>
    <col min="7446" max="7454" width="1.6640625" style="27" customWidth="1"/>
    <col min="7455" max="7455" width="0.33203125" style="27" customWidth="1"/>
    <col min="7456" max="7464" width="1.6640625" style="27" customWidth="1"/>
    <col min="7465" max="7465" width="0.33203125" style="27" customWidth="1"/>
    <col min="7466" max="7474" width="1.6640625" style="27" customWidth="1"/>
    <col min="7475" max="7475" width="0.33203125" style="27" customWidth="1"/>
    <col min="7476" max="7484" width="1.6640625" style="27" customWidth="1"/>
    <col min="7485" max="7485" width="0.33203125" style="27" customWidth="1"/>
    <col min="7486" max="7494" width="1.6640625" style="27" customWidth="1"/>
    <col min="7495" max="7495" width="0.33203125" style="27" customWidth="1"/>
    <col min="7496" max="7504" width="1.6640625" style="27" customWidth="1"/>
    <col min="7505" max="7680" width="9.109375" style="27"/>
    <col min="7681" max="7681" width="0.33203125" style="27" customWidth="1"/>
    <col min="7682" max="7690" width="1.6640625" style="27" customWidth="1"/>
    <col min="7691" max="7691" width="0.33203125" style="27" customWidth="1"/>
    <col min="7692" max="7700" width="1.6640625" style="27" customWidth="1"/>
    <col min="7701" max="7701" width="0.33203125" style="27" customWidth="1"/>
    <col min="7702" max="7710" width="1.6640625" style="27" customWidth="1"/>
    <col min="7711" max="7711" width="0.33203125" style="27" customWidth="1"/>
    <col min="7712" max="7720" width="1.6640625" style="27" customWidth="1"/>
    <col min="7721" max="7721" width="0.33203125" style="27" customWidth="1"/>
    <col min="7722" max="7730" width="1.6640625" style="27" customWidth="1"/>
    <col min="7731" max="7731" width="0.33203125" style="27" customWidth="1"/>
    <col min="7732" max="7740" width="1.6640625" style="27" customWidth="1"/>
    <col min="7741" max="7741" width="0.33203125" style="27" customWidth="1"/>
    <col min="7742" max="7750" width="1.6640625" style="27" customWidth="1"/>
    <col min="7751" max="7751" width="0.33203125" style="27" customWidth="1"/>
    <col min="7752" max="7760" width="1.6640625" style="27" customWidth="1"/>
    <col min="7761" max="7936" width="9.109375" style="27"/>
    <col min="7937" max="7937" width="0.33203125" style="27" customWidth="1"/>
    <col min="7938" max="7946" width="1.6640625" style="27" customWidth="1"/>
    <col min="7947" max="7947" width="0.33203125" style="27" customWidth="1"/>
    <col min="7948" max="7956" width="1.6640625" style="27" customWidth="1"/>
    <col min="7957" max="7957" width="0.33203125" style="27" customWidth="1"/>
    <col min="7958" max="7966" width="1.6640625" style="27" customWidth="1"/>
    <col min="7967" max="7967" width="0.33203125" style="27" customWidth="1"/>
    <col min="7968" max="7976" width="1.6640625" style="27" customWidth="1"/>
    <col min="7977" max="7977" width="0.33203125" style="27" customWidth="1"/>
    <col min="7978" max="7986" width="1.6640625" style="27" customWidth="1"/>
    <col min="7987" max="7987" width="0.33203125" style="27" customWidth="1"/>
    <col min="7988" max="7996" width="1.6640625" style="27" customWidth="1"/>
    <col min="7997" max="7997" width="0.33203125" style="27" customWidth="1"/>
    <col min="7998" max="8006" width="1.6640625" style="27" customWidth="1"/>
    <col min="8007" max="8007" width="0.33203125" style="27" customWidth="1"/>
    <col min="8008" max="8016" width="1.6640625" style="27" customWidth="1"/>
    <col min="8017" max="8192" width="9.109375" style="27"/>
    <col min="8193" max="8193" width="0.33203125" style="27" customWidth="1"/>
    <col min="8194" max="8202" width="1.6640625" style="27" customWidth="1"/>
    <col min="8203" max="8203" width="0.33203125" style="27" customWidth="1"/>
    <col min="8204" max="8212" width="1.6640625" style="27" customWidth="1"/>
    <col min="8213" max="8213" width="0.33203125" style="27" customWidth="1"/>
    <col min="8214" max="8222" width="1.6640625" style="27" customWidth="1"/>
    <col min="8223" max="8223" width="0.33203125" style="27" customWidth="1"/>
    <col min="8224" max="8232" width="1.6640625" style="27" customWidth="1"/>
    <col min="8233" max="8233" width="0.33203125" style="27" customWidth="1"/>
    <col min="8234" max="8242" width="1.6640625" style="27" customWidth="1"/>
    <col min="8243" max="8243" width="0.33203125" style="27" customWidth="1"/>
    <col min="8244" max="8252" width="1.6640625" style="27" customWidth="1"/>
    <col min="8253" max="8253" width="0.33203125" style="27" customWidth="1"/>
    <col min="8254" max="8262" width="1.6640625" style="27" customWidth="1"/>
    <col min="8263" max="8263" width="0.33203125" style="27" customWidth="1"/>
    <col min="8264" max="8272" width="1.6640625" style="27" customWidth="1"/>
    <col min="8273" max="8448" width="9.109375" style="27"/>
    <col min="8449" max="8449" width="0.33203125" style="27" customWidth="1"/>
    <col min="8450" max="8458" width="1.6640625" style="27" customWidth="1"/>
    <col min="8459" max="8459" width="0.33203125" style="27" customWidth="1"/>
    <col min="8460" max="8468" width="1.6640625" style="27" customWidth="1"/>
    <col min="8469" max="8469" width="0.33203125" style="27" customWidth="1"/>
    <col min="8470" max="8478" width="1.6640625" style="27" customWidth="1"/>
    <col min="8479" max="8479" width="0.33203125" style="27" customWidth="1"/>
    <col min="8480" max="8488" width="1.6640625" style="27" customWidth="1"/>
    <col min="8489" max="8489" width="0.33203125" style="27" customWidth="1"/>
    <col min="8490" max="8498" width="1.6640625" style="27" customWidth="1"/>
    <col min="8499" max="8499" width="0.33203125" style="27" customWidth="1"/>
    <col min="8500" max="8508" width="1.6640625" style="27" customWidth="1"/>
    <col min="8509" max="8509" width="0.33203125" style="27" customWidth="1"/>
    <col min="8510" max="8518" width="1.6640625" style="27" customWidth="1"/>
    <col min="8519" max="8519" width="0.33203125" style="27" customWidth="1"/>
    <col min="8520" max="8528" width="1.6640625" style="27" customWidth="1"/>
    <col min="8529" max="8704" width="9.109375" style="27"/>
    <col min="8705" max="8705" width="0.33203125" style="27" customWidth="1"/>
    <col min="8706" max="8714" width="1.6640625" style="27" customWidth="1"/>
    <col min="8715" max="8715" width="0.33203125" style="27" customWidth="1"/>
    <col min="8716" max="8724" width="1.6640625" style="27" customWidth="1"/>
    <col min="8725" max="8725" width="0.33203125" style="27" customWidth="1"/>
    <col min="8726" max="8734" width="1.6640625" style="27" customWidth="1"/>
    <col min="8735" max="8735" width="0.33203125" style="27" customWidth="1"/>
    <col min="8736" max="8744" width="1.6640625" style="27" customWidth="1"/>
    <col min="8745" max="8745" width="0.33203125" style="27" customWidth="1"/>
    <col min="8746" max="8754" width="1.6640625" style="27" customWidth="1"/>
    <col min="8755" max="8755" width="0.33203125" style="27" customWidth="1"/>
    <col min="8756" max="8764" width="1.6640625" style="27" customWidth="1"/>
    <col min="8765" max="8765" width="0.33203125" style="27" customWidth="1"/>
    <col min="8766" max="8774" width="1.6640625" style="27" customWidth="1"/>
    <col min="8775" max="8775" width="0.33203125" style="27" customWidth="1"/>
    <col min="8776" max="8784" width="1.6640625" style="27" customWidth="1"/>
    <col min="8785" max="8960" width="9.109375" style="27"/>
    <col min="8961" max="8961" width="0.33203125" style="27" customWidth="1"/>
    <col min="8962" max="8970" width="1.6640625" style="27" customWidth="1"/>
    <col min="8971" max="8971" width="0.33203125" style="27" customWidth="1"/>
    <col min="8972" max="8980" width="1.6640625" style="27" customWidth="1"/>
    <col min="8981" max="8981" width="0.33203125" style="27" customWidth="1"/>
    <col min="8982" max="8990" width="1.6640625" style="27" customWidth="1"/>
    <col min="8991" max="8991" width="0.33203125" style="27" customWidth="1"/>
    <col min="8992" max="9000" width="1.6640625" style="27" customWidth="1"/>
    <col min="9001" max="9001" width="0.33203125" style="27" customWidth="1"/>
    <col min="9002" max="9010" width="1.6640625" style="27" customWidth="1"/>
    <col min="9011" max="9011" width="0.33203125" style="27" customWidth="1"/>
    <col min="9012" max="9020" width="1.6640625" style="27" customWidth="1"/>
    <col min="9021" max="9021" width="0.33203125" style="27" customWidth="1"/>
    <col min="9022" max="9030" width="1.6640625" style="27" customWidth="1"/>
    <col min="9031" max="9031" width="0.33203125" style="27" customWidth="1"/>
    <col min="9032" max="9040" width="1.6640625" style="27" customWidth="1"/>
    <col min="9041" max="9216" width="9.109375" style="27"/>
    <col min="9217" max="9217" width="0.33203125" style="27" customWidth="1"/>
    <col min="9218" max="9226" width="1.6640625" style="27" customWidth="1"/>
    <col min="9227" max="9227" width="0.33203125" style="27" customWidth="1"/>
    <col min="9228" max="9236" width="1.6640625" style="27" customWidth="1"/>
    <col min="9237" max="9237" width="0.33203125" style="27" customWidth="1"/>
    <col min="9238" max="9246" width="1.6640625" style="27" customWidth="1"/>
    <col min="9247" max="9247" width="0.33203125" style="27" customWidth="1"/>
    <col min="9248" max="9256" width="1.6640625" style="27" customWidth="1"/>
    <col min="9257" max="9257" width="0.33203125" style="27" customWidth="1"/>
    <col min="9258" max="9266" width="1.6640625" style="27" customWidth="1"/>
    <col min="9267" max="9267" width="0.33203125" style="27" customWidth="1"/>
    <col min="9268" max="9276" width="1.6640625" style="27" customWidth="1"/>
    <col min="9277" max="9277" width="0.33203125" style="27" customWidth="1"/>
    <col min="9278" max="9286" width="1.6640625" style="27" customWidth="1"/>
    <col min="9287" max="9287" width="0.33203125" style="27" customWidth="1"/>
    <col min="9288" max="9296" width="1.6640625" style="27" customWidth="1"/>
    <col min="9297" max="9472" width="9.109375" style="27"/>
    <col min="9473" max="9473" width="0.33203125" style="27" customWidth="1"/>
    <col min="9474" max="9482" width="1.6640625" style="27" customWidth="1"/>
    <col min="9483" max="9483" width="0.33203125" style="27" customWidth="1"/>
    <col min="9484" max="9492" width="1.6640625" style="27" customWidth="1"/>
    <col min="9493" max="9493" width="0.33203125" style="27" customWidth="1"/>
    <col min="9494" max="9502" width="1.6640625" style="27" customWidth="1"/>
    <col min="9503" max="9503" width="0.33203125" style="27" customWidth="1"/>
    <col min="9504" max="9512" width="1.6640625" style="27" customWidth="1"/>
    <col min="9513" max="9513" width="0.33203125" style="27" customWidth="1"/>
    <col min="9514" max="9522" width="1.6640625" style="27" customWidth="1"/>
    <col min="9523" max="9523" width="0.33203125" style="27" customWidth="1"/>
    <col min="9524" max="9532" width="1.6640625" style="27" customWidth="1"/>
    <col min="9533" max="9533" width="0.33203125" style="27" customWidth="1"/>
    <col min="9534" max="9542" width="1.6640625" style="27" customWidth="1"/>
    <col min="9543" max="9543" width="0.33203125" style="27" customWidth="1"/>
    <col min="9544" max="9552" width="1.6640625" style="27" customWidth="1"/>
    <col min="9553" max="9728" width="9.109375" style="27"/>
    <col min="9729" max="9729" width="0.33203125" style="27" customWidth="1"/>
    <col min="9730" max="9738" width="1.6640625" style="27" customWidth="1"/>
    <col min="9739" max="9739" width="0.33203125" style="27" customWidth="1"/>
    <col min="9740" max="9748" width="1.6640625" style="27" customWidth="1"/>
    <col min="9749" max="9749" width="0.33203125" style="27" customWidth="1"/>
    <col min="9750" max="9758" width="1.6640625" style="27" customWidth="1"/>
    <col min="9759" max="9759" width="0.33203125" style="27" customWidth="1"/>
    <col min="9760" max="9768" width="1.6640625" style="27" customWidth="1"/>
    <col min="9769" max="9769" width="0.33203125" style="27" customWidth="1"/>
    <col min="9770" max="9778" width="1.6640625" style="27" customWidth="1"/>
    <col min="9779" max="9779" width="0.33203125" style="27" customWidth="1"/>
    <col min="9780" max="9788" width="1.6640625" style="27" customWidth="1"/>
    <col min="9789" max="9789" width="0.33203125" style="27" customWidth="1"/>
    <col min="9790" max="9798" width="1.6640625" style="27" customWidth="1"/>
    <col min="9799" max="9799" width="0.33203125" style="27" customWidth="1"/>
    <col min="9800" max="9808" width="1.6640625" style="27" customWidth="1"/>
    <col min="9809" max="9984" width="9.109375" style="27"/>
    <col min="9985" max="9985" width="0.33203125" style="27" customWidth="1"/>
    <col min="9986" max="9994" width="1.6640625" style="27" customWidth="1"/>
    <col min="9995" max="9995" width="0.33203125" style="27" customWidth="1"/>
    <col min="9996" max="10004" width="1.6640625" style="27" customWidth="1"/>
    <col min="10005" max="10005" width="0.33203125" style="27" customWidth="1"/>
    <col min="10006" max="10014" width="1.6640625" style="27" customWidth="1"/>
    <col min="10015" max="10015" width="0.33203125" style="27" customWidth="1"/>
    <col min="10016" max="10024" width="1.6640625" style="27" customWidth="1"/>
    <col min="10025" max="10025" width="0.33203125" style="27" customWidth="1"/>
    <col min="10026" max="10034" width="1.6640625" style="27" customWidth="1"/>
    <col min="10035" max="10035" width="0.33203125" style="27" customWidth="1"/>
    <col min="10036" max="10044" width="1.6640625" style="27" customWidth="1"/>
    <col min="10045" max="10045" width="0.33203125" style="27" customWidth="1"/>
    <col min="10046" max="10054" width="1.6640625" style="27" customWidth="1"/>
    <col min="10055" max="10055" width="0.33203125" style="27" customWidth="1"/>
    <col min="10056" max="10064" width="1.6640625" style="27" customWidth="1"/>
    <col min="10065" max="10240" width="9.109375" style="27"/>
    <col min="10241" max="10241" width="0.33203125" style="27" customWidth="1"/>
    <col min="10242" max="10250" width="1.6640625" style="27" customWidth="1"/>
    <col min="10251" max="10251" width="0.33203125" style="27" customWidth="1"/>
    <col min="10252" max="10260" width="1.6640625" style="27" customWidth="1"/>
    <col min="10261" max="10261" width="0.33203125" style="27" customWidth="1"/>
    <col min="10262" max="10270" width="1.6640625" style="27" customWidth="1"/>
    <col min="10271" max="10271" width="0.33203125" style="27" customWidth="1"/>
    <col min="10272" max="10280" width="1.6640625" style="27" customWidth="1"/>
    <col min="10281" max="10281" width="0.33203125" style="27" customWidth="1"/>
    <col min="10282" max="10290" width="1.6640625" style="27" customWidth="1"/>
    <col min="10291" max="10291" width="0.33203125" style="27" customWidth="1"/>
    <col min="10292" max="10300" width="1.6640625" style="27" customWidth="1"/>
    <col min="10301" max="10301" width="0.33203125" style="27" customWidth="1"/>
    <col min="10302" max="10310" width="1.6640625" style="27" customWidth="1"/>
    <col min="10311" max="10311" width="0.33203125" style="27" customWidth="1"/>
    <col min="10312" max="10320" width="1.6640625" style="27" customWidth="1"/>
    <col min="10321" max="10496" width="9.109375" style="27"/>
    <col min="10497" max="10497" width="0.33203125" style="27" customWidth="1"/>
    <col min="10498" max="10506" width="1.6640625" style="27" customWidth="1"/>
    <col min="10507" max="10507" width="0.33203125" style="27" customWidth="1"/>
    <col min="10508" max="10516" width="1.6640625" style="27" customWidth="1"/>
    <col min="10517" max="10517" width="0.33203125" style="27" customWidth="1"/>
    <col min="10518" max="10526" width="1.6640625" style="27" customWidth="1"/>
    <col min="10527" max="10527" width="0.33203125" style="27" customWidth="1"/>
    <col min="10528" max="10536" width="1.6640625" style="27" customWidth="1"/>
    <col min="10537" max="10537" width="0.33203125" style="27" customWidth="1"/>
    <col min="10538" max="10546" width="1.6640625" style="27" customWidth="1"/>
    <col min="10547" max="10547" width="0.33203125" style="27" customWidth="1"/>
    <col min="10548" max="10556" width="1.6640625" style="27" customWidth="1"/>
    <col min="10557" max="10557" width="0.33203125" style="27" customWidth="1"/>
    <col min="10558" max="10566" width="1.6640625" style="27" customWidth="1"/>
    <col min="10567" max="10567" width="0.33203125" style="27" customWidth="1"/>
    <col min="10568" max="10576" width="1.6640625" style="27" customWidth="1"/>
    <col min="10577" max="10752" width="9.109375" style="27"/>
    <col min="10753" max="10753" width="0.33203125" style="27" customWidth="1"/>
    <col min="10754" max="10762" width="1.6640625" style="27" customWidth="1"/>
    <col min="10763" max="10763" width="0.33203125" style="27" customWidth="1"/>
    <col min="10764" max="10772" width="1.6640625" style="27" customWidth="1"/>
    <col min="10773" max="10773" width="0.33203125" style="27" customWidth="1"/>
    <col min="10774" max="10782" width="1.6640625" style="27" customWidth="1"/>
    <col min="10783" max="10783" width="0.33203125" style="27" customWidth="1"/>
    <col min="10784" max="10792" width="1.6640625" style="27" customWidth="1"/>
    <col min="10793" max="10793" width="0.33203125" style="27" customWidth="1"/>
    <col min="10794" max="10802" width="1.6640625" style="27" customWidth="1"/>
    <col min="10803" max="10803" width="0.33203125" style="27" customWidth="1"/>
    <col min="10804" max="10812" width="1.6640625" style="27" customWidth="1"/>
    <col min="10813" max="10813" width="0.33203125" style="27" customWidth="1"/>
    <col min="10814" max="10822" width="1.6640625" style="27" customWidth="1"/>
    <col min="10823" max="10823" width="0.33203125" style="27" customWidth="1"/>
    <col min="10824" max="10832" width="1.6640625" style="27" customWidth="1"/>
    <col min="10833" max="11008" width="9.109375" style="27"/>
    <col min="11009" max="11009" width="0.33203125" style="27" customWidth="1"/>
    <col min="11010" max="11018" width="1.6640625" style="27" customWidth="1"/>
    <col min="11019" max="11019" width="0.33203125" style="27" customWidth="1"/>
    <col min="11020" max="11028" width="1.6640625" style="27" customWidth="1"/>
    <col min="11029" max="11029" width="0.33203125" style="27" customWidth="1"/>
    <col min="11030" max="11038" width="1.6640625" style="27" customWidth="1"/>
    <col min="11039" max="11039" width="0.33203125" style="27" customWidth="1"/>
    <col min="11040" max="11048" width="1.6640625" style="27" customWidth="1"/>
    <col min="11049" max="11049" width="0.33203125" style="27" customWidth="1"/>
    <col min="11050" max="11058" width="1.6640625" style="27" customWidth="1"/>
    <col min="11059" max="11059" width="0.33203125" style="27" customWidth="1"/>
    <col min="11060" max="11068" width="1.6640625" style="27" customWidth="1"/>
    <col min="11069" max="11069" width="0.33203125" style="27" customWidth="1"/>
    <col min="11070" max="11078" width="1.6640625" style="27" customWidth="1"/>
    <col min="11079" max="11079" width="0.33203125" style="27" customWidth="1"/>
    <col min="11080" max="11088" width="1.6640625" style="27" customWidth="1"/>
    <col min="11089" max="11264" width="9.109375" style="27"/>
    <col min="11265" max="11265" width="0.33203125" style="27" customWidth="1"/>
    <col min="11266" max="11274" width="1.6640625" style="27" customWidth="1"/>
    <col min="11275" max="11275" width="0.33203125" style="27" customWidth="1"/>
    <col min="11276" max="11284" width="1.6640625" style="27" customWidth="1"/>
    <col min="11285" max="11285" width="0.33203125" style="27" customWidth="1"/>
    <col min="11286" max="11294" width="1.6640625" style="27" customWidth="1"/>
    <col min="11295" max="11295" width="0.33203125" style="27" customWidth="1"/>
    <col min="11296" max="11304" width="1.6640625" style="27" customWidth="1"/>
    <col min="11305" max="11305" width="0.33203125" style="27" customWidth="1"/>
    <col min="11306" max="11314" width="1.6640625" style="27" customWidth="1"/>
    <col min="11315" max="11315" width="0.33203125" style="27" customWidth="1"/>
    <col min="11316" max="11324" width="1.6640625" style="27" customWidth="1"/>
    <col min="11325" max="11325" width="0.33203125" style="27" customWidth="1"/>
    <col min="11326" max="11334" width="1.6640625" style="27" customWidth="1"/>
    <col min="11335" max="11335" width="0.33203125" style="27" customWidth="1"/>
    <col min="11336" max="11344" width="1.6640625" style="27" customWidth="1"/>
    <col min="11345" max="11520" width="9.109375" style="27"/>
    <col min="11521" max="11521" width="0.33203125" style="27" customWidth="1"/>
    <col min="11522" max="11530" width="1.6640625" style="27" customWidth="1"/>
    <col min="11531" max="11531" width="0.33203125" style="27" customWidth="1"/>
    <col min="11532" max="11540" width="1.6640625" style="27" customWidth="1"/>
    <col min="11541" max="11541" width="0.33203125" style="27" customWidth="1"/>
    <col min="11542" max="11550" width="1.6640625" style="27" customWidth="1"/>
    <col min="11551" max="11551" width="0.33203125" style="27" customWidth="1"/>
    <col min="11552" max="11560" width="1.6640625" style="27" customWidth="1"/>
    <col min="11561" max="11561" width="0.33203125" style="27" customWidth="1"/>
    <col min="11562" max="11570" width="1.6640625" style="27" customWidth="1"/>
    <col min="11571" max="11571" width="0.33203125" style="27" customWidth="1"/>
    <col min="11572" max="11580" width="1.6640625" style="27" customWidth="1"/>
    <col min="11581" max="11581" width="0.33203125" style="27" customWidth="1"/>
    <col min="11582" max="11590" width="1.6640625" style="27" customWidth="1"/>
    <col min="11591" max="11591" width="0.33203125" style="27" customWidth="1"/>
    <col min="11592" max="11600" width="1.6640625" style="27" customWidth="1"/>
    <col min="11601" max="11776" width="9.109375" style="27"/>
    <col min="11777" max="11777" width="0.33203125" style="27" customWidth="1"/>
    <col min="11778" max="11786" width="1.6640625" style="27" customWidth="1"/>
    <col min="11787" max="11787" width="0.33203125" style="27" customWidth="1"/>
    <col min="11788" max="11796" width="1.6640625" style="27" customWidth="1"/>
    <col min="11797" max="11797" width="0.33203125" style="27" customWidth="1"/>
    <col min="11798" max="11806" width="1.6640625" style="27" customWidth="1"/>
    <col min="11807" max="11807" width="0.33203125" style="27" customWidth="1"/>
    <col min="11808" max="11816" width="1.6640625" style="27" customWidth="1"/>
    <col min="11817" max="11817" width="0.33203125" style="27" customWidth="1"/>
    <col min="11818" max="11826" width="1.6640625" style="27" customWidth="1"/>
    <col min="11827" max="11827" width="0.33203125" style="27" customWidth="1"/>
    <col min="11828" max="11836" width="1.6640625" style="27" customWidth="1"/>
    <col min="11837" max="11837" width="0.33203125" style="27" customWidth="1"/>
    <col min="11838" max="11846" width="1.6640625" style="27" customWidth="1"/>
    <col min="11847" max="11847" width="0.33203125" style="27" customWidth="1"/>
    <col min="11848" max="11856" width="1.6640625" style="27" customWidth="1"/>
    <col min="11857" max="12032" width="9.109375" style="27"/>
    <col min="12033" max="12033" width="0.33203125" style="27" customWidth="1"/>
    <col min="12034" max="12042" width="1.6640625" style="27" customWidth="1"/>
    <col min="12043" max="12043" width="0.33203125" style="27" customWidth="1"/>
    <col min="12044" max="12052" width="1.6640625" style="27" customWidth="1"/>
    <col min="12053" max="12053" width="0.33203125" style="27" customWidth="1"/>
    <col min="12054" max="12062" width="1.6640625" style="27" customWidth="1"/>
    <col min="12063" max="12063" width="0.33203125" style="27" customWidth="1"/>
    <col min="12064" max="12072" width="1.6640625" style="27" customWidth="1"/>
    <col min="12073" max="12073" width="0.33203125" style="27" customWidth="1"/>
    <col min="12074" max="12082" width="1.6640625" style="27" customWidth="1"/>
    <col min="12083" max="12083" width="0.33203125" style="27" customWidth="1"/>
    <col min="12084" max="12092" width="1.6640625" style="27" customWidth="1"/>
    <col min="12093" max="12093" width="0.33203125" style="27" customWidth="1"/>
    <col min="12094" max="12102" width="1.6640625" style="27" customWidth="1"/>
    <col min="12103" max="12103" width="0.33203125" style="27" customWidth="1"/>
    <col min="12104" max="12112" width="1.6640625" style="27" customWidth="1"/>
    <col min="12113" max="12288" width="9.109375" style="27"/>
    <col min="12289" max="12289" width="0.33203125" style="27" customWidth="1"/>
    <col min="12290" max="12298" width="1.6640625" style="27" customWidth="1"/>
    <col min="12299" max="12299" width="0.33203125" style="27" customWidth="1"/>
    <col min="12300" max="12308" width="1.6640625" style="27" customWidth="1"/>
    <col min="12309" max="12309" width="0.33203125" style="27" customWidth="1"/>
    <col min="12310" max="12318" width="1.6640625" style="27" customWidth="1"/>
    <col min="12319" max="12319" width="0.33203125" style="27" customWidth="1"/>
    <col min="12320" max="12328" width="1.6640625" style="27" customWidth="1"/>
    <col min="12329" max="12329" width="0.33203125" style="27" customWidth="1"/>
    <col min="12330" max="12338" width="1.6640625" style="27" customWidth="1"/>
    <col min="12339" max="12339" width="0.33203125" style="27" customWidth="1"/>
    <col min="12340" max="12348" width="1.6640625" style="27" customWidth="1"/>
    <col min="12349" max="12349" width="0.33203125" style="27" customWidth="1"/>
    <col min="12350" max="12358" width="1.6640625" style="27" customWidth="1"/>
    <col min="12359" max="12359" width="0.33203125" style="27" customWidth="1"/>
    <col min="12360" max="12368" width="1.6640625" style="27" customWidth="1"/>
    <col min="12369" max="12544" width="9.109375" style="27"/>
    <col min="12545" max="12545" width="0.33203125" style="27" customWidth="1"/>
    <col min="12546" max="12554" width="1.6640625" style="27" customWidth="1"/>
    <col min="12555" max="12555" width="0.33203125" style="27" customWidth="1"/>
    <col min="12556" max="12564" width="1.6640625" style="27" customWidth="1"/>
    <col min="12565" max="12565" width="0.33203125" style="27" customWidth="1"/>
    <col min="12566" max="12574" width="1.6640625" style="27" customWidth="1"/>
    <col min="12575" max="12575" width="0.33203125" style="27" customWidth="1"/>
    <col min="12576" max="12584" width="1.6640625" style="27" customWidth="1"/>
    <col min="12585" max="12585" width="0.33203125" style="27" customWidth="1"/>
    <col min="12586" max="12594" width="1.6640625" style="27" customWidth="1"/>
    <col min="12595" max="12595" width="0.33203125" style="27" customWidth="1"/>
    <col min="12596" max="12604" width="1.6640625" style="27" customWidth="1"/>
    <col min="12605" max="12605" width="0.33203125" style="27" customWidth="1"/>
    <col min="12606" max="12614" width="1.6640625" style="27" customWidth="1"/>
    <col min="12615" max="12615" width="0.33203125" style="27" customWidth="1"/>
    <col min="12616" max="12624" width="1.6640625" style="27" customWidth="1"/>
    <col min="12625" max="12800" width="9.109375" style="27"/>
    <col min="12801" max="12801" width="0.33203125" style="27" customWidth="1"/>
    <col min="12802" max="12810" width="1.6640625" style="27" customWidth="1"/>
    <col min="12811" max="12811" width="0.33203125" style="27" customWidth="1"/>
    <col min="12812" max="12820" width="1.6640625" style="27" customWidth="1"/>
    <col min="12821" max="12821" width="0.33203125" style="27" customWidth="1"/>
    <col min="12822" max="12830" width="1.6640625" style="27" customWidth="1"/>
    <col min="12831" max="12831" width="0.33203125" style="27" customWidth="1"/>
    <col min="12832" max="12840" width="1.6640625" style="27" customWidth="1"/>
    <col min="12841" max="12841" width="0.33203125" style="27" customWidth="1"/>
    <col min="12842" max="12850" width="1.6640625" style="27" customWidth="1"/>
    <col min="12851" max="12851" width="0.33203125" style="27" customWidth="1"/>
    <col min="12852" max="12860" width="1.6640625" style="27" customWidth="1"/>
    <col min="12861" max="12861" width="0.33203125" style="27" customWidth="1"/>
    <col min="12862" max="12870" width="1.6640625" style="27" customWidth="1"/>
    <col min="12871" max="12871" width="0.33203125" style="27" customWidth="1"/>
    <col min="12872" max="12880" width="1.6640625" style="27" customWidth="1"/>
    <col min="12881" max="13056" width="9.109375" style="27"/>
    <col min="13057" max="13057" width="0.33203125" style="27" customWidth="1"/>
    <col min="13058" max="13066" width="1.6640625" style="27" customWidth="1"/>
    <col min="13067" max="13067" width="0.33203125" style="27" customWidth="1"/>
    <col min="13068" max="13076" width="1.6640625" style="27" customWidth="1"/>
    <col min="13077" max="13077" width="0.33203125" style="27" customWidth="1"/>
    <col min="13078" max="13086" width="1.6640625" style="27" customWidth="1"/>
    <col min="13087" max="13087" width="0.33203125" style="27" customWidth="1"/>
    <col min="13088" max="13096" width="1.6640625" style="27" customWidth="1"/>
    <col min="13097" max="13097" width="0.33203125" style="27" customWidth="1"/>
    <col min="13098" max="13106" width="1.6640625" style="27" customWidth="1"/>
    <col min="13107" max="13107" width="0.33203125" style="27" customWidth="1"/>
    <col min="13108" max="13116" width="1.6640625" style="27" customWidth="1"/>
    <col min="13117" max="13117" width="0.33203125" style="27" customWidth="1"/>
    <col min="13118" max="13126" width="1.6640625" style="27" customWidth="1"/>
    <col min="13127" max="13127" width="0.33203125" style="27" customWidth="1"/>
    <col min="13128" max="13136" width="1.6640625" style="27" customWidth="1"/>
    <col min="13137" max="13312" width="9.109375" style="27"/>
    <col min="13313" max="13313" width="0.33203125" style="27" customWidth="1"/>
    <col min="13314" max="13322" width="1.6640625" style="27" customWidth="1"/>
    <col min="13323" max="13323" width="0.33203125" style="27" customWidth="1"/>
    <col min="13324" max="13332" width="1.6640625" style="27" customWidth="1"/>
    <col min="13333" max="13333" width="0.33203125" style="27" customWidth="1"/>
    <col min="13334" max="13342" width="1.6640625" style="27" customWidth="1"/>
    <col min="13343" max="13343" width="0.33203125" style="27" customWidth="1"/>
    <col min="13344" max="13352" width="1.6640625" style="27" customWidth="1"/>
    <col min="13353" max="13353" width="0.33203125" style="27" customWidth="1"/>
    <col min="13354" max="13362" width="1.6640625" style="27" customWidth="1"/>
    <col min="13363" max="13363" width="0.33203125" style="27" customWidth="1"/>
    <col min="13364" max="13372" width="1.6640625" style="27" customWidth="1"/>
    <col min="13373" max="13373" width="0.33203125" style="27" customWidth="1"/>
    <col min="13374" max="13382" width="1.6640625" style="27" customWidth="1"/>
    <col min="13383" max="13383" width="0.33203125" style="27" customWidth="1"/>
    <col min="13384" max="13392" width="1.6640625" style="27" customWidth="1"/>
    <col min="13393" max="13568" width="9.109375" style="27"/>
    <col min="13569" max="13569" width="0.33203125" style="27" customWidth="1"/>
    <col min="13570" max="13578" width="1.6640625" style="27" customWidth="1"/>
    <col min="13579" max="13579" width="0.33203125" style="27" customWidth="1"/>
    <col min="13580" max="13588" width="1.6640625" style="27" customWidth="1"/>
    <col min="13589" max="13589" width="0.33203125" style="27" customWidth="1"/>
    <col min="13590" max="13598" width="1.6640625" style="27" customWidth="1"/>
    <col min="13599" max="13599" width="0.33203125" style="27" customWidth="1"/>
    <col min="13600" max="13608" width="1.6640625" style="27" customWidth="1"/>
    <col min="13609" max="13609" width="0.33203125" style="27" customWidth="1"/>
    <col min="13610" max="13618" width="1.6640625" style="27" customWidth="1"/>
    <col min="13619" max="13619" width="0.33203125" style="27" customWidth="1"/>
    <col min="13620" max="13628" width="1.6640625" style="27" customWidth="1"/>
    <col min="13629" max="13629" width="0.33203125" style="27" customWidth="1"/>
    <col min="13630" max="13638" width="1.6640625" style="27" customWidth="1"/>
    <col min="13639" max="13639" width="0.33203125" style="27" customWidth="1"/>
    <col min="13640" max="13648" width="1.6640625" style="27" customWidth="1"/>
    <col min="13649" max="13824" width="9.109375" style="27"/>
    <col min="13825" max="13825" width="0.33203125" style="27" customWidth="1"/>
    <col min="13826" max="13834" width="1.6640625" style="27" customWidth="1"/>
    <col min="13835" max="13835" width="0.33203125" style="27" customWidth="1"/>
    <col min="13836" max="13844" width="1.6640625" style="27" customWidth="1"/>
    <col min="13845" max="13845" width="0.33203125" style="27" customWidth="1"/>
    <col min="13846" max="13854" width="1.6640625" style="27" customWidth="1"/>
    <col min="13855" max="13855" width="0.33203125" style="27" customWidth="1"/>
    <col min="13856" max="13864" width="1.6640625" style="27" customWidth="1"/>
    <col min="13865" max="13865" width="0.33203125" style="27" customWidth="1"/>
    <col min="13866" max="13874" width="1.6640625" style="27" customWidth="1"/>
    <col min="13875" max="13875" width="0.33203125" style="27" customWidth="1"/>
    <col min="13876" max="13884" width="1.6640625" style="27" customWidth="1"/>
    <col min="13885" max="13885" width="0.33203125" style="27" customWidth="1"/>
    <col min="13886" max="13894" width="1.6640625" style="27" customWidth="1"/>
    <col min="13895" max="13895" width="0.33203125" style="27" customWidth="1"/>
    <col min="13896" max="13904" width="1.6640625" style="27" customWidth="1"/>
    <col min="13905" max="14080" width="9.109375" style="27"/>
    <col min="14081" max="14081" width="0.33203125" style="27" customWidth="1"/>
    <col min="14082" max="14090" width="1.6640625" style="27" customWidth="1"/>
    <col min="14091" max="14091" width="0.33203125" style="27" customWidth="1"/>
    <col min="14092" max="14100" width="1.6640625" style="27" customWidth="1"/>
    <col min="14101" max="14101" width="0.33203125" style="27" customWidth="1"/>
    <col min="14102" max="14110" width="1.6640625" style="27" customWidth="1"/>
    <col min="14111" max="14111" width="0.33203125" style="27" customWidth="1"/>
    <col min="14112" max="14120" width="1.6640625" style="27" customWidth="1"/>
    <col min="14121" max="14121" width="0.33203125" style="27" customWidth="1"/>
    <col min="14122" max="14130" width="1.6640625" style="27" customWidth="1"/>
    <col min="14131" max="14131" width="0.33203125" style="27" customWidth="1"/>
    <col min="14132" max="14140" width="1.6640625" style="27" customWidth="1"/>
    <col min="14141" max="14141" width="0.33203125" style="27" customWidth="1"/>
    <col min="14142" max="14150" width="1.6640625" style="27" customWidth="1"/>
    <col min="14151" max="14151" width="0.33203125" style="27" customWidth="1"/>
    <col min="14152" max="14160" width="1.6640625" style="27" customWidth="1"/>
    <col min="14161" max="14336" width="9.109375" style="27"/>
    <col min="14337" max="14337" width="0.33203125" style="27" customWidth="1"/>
    <col min="14338" max="14346" width="1.6640625" style="27" customWidth="1"/>
    <col min="14347" max="14347" width="0.33203125" style="27" customWidth="1"/>
    <col min="14348" max="14356" width="1.6640625" style="27" customWidth="1"/>
    <col min="14357" max="14357" width="0.33203125" style="27" customWidth="1"/>
    <col min="14358" max="14366" width="1.6640625" style="27" customWidth="1"/>
    <col min="14367" max="14367" width="0.33203125" style="27" customWidth="1"/>
    <col min="14368" max="14376" width="1.6640625" style="27" customWidth="1"/>
    <col min="14377" max="14377" width="0.33203125" style="27" customWidth="1"/>
    <col min="14378" max="14386" width="1.6640625" style="27" customWidth="1"/>
    <col min="14387" max="14387" width="0.33203125" style="27" customWidth="1"/>
    <col min="14388" max="14396" width="1.6640625" style="27" customWidth="1"/>
    <col min="14397" max="14397" width="0.33203125" style="27" customWidth="1"/>
    <col min="14398" max="14406" width="1.6640625" style="27" customWidth="1"/>
    <col min="14407" max="14407" width="0.33203125" style="27" customWidth="1"/>
    <col min="14408" max="14416" width="1.6640625" style="27" customWidth="1"/>
    <col min="14417" max="14592" width="9.109375" style="27"/>
    <col min="14593" max="14593" width="0.33203125" style="27" customWidth="1"/>
    <col min="14594" max="14602" width="1.6640625" style="27" customWidth="1"/>
    <col min="14603" max="14603" width="0.33203125" style="27" customWidth="1"/>
    <col min="14604" max="14612" width="1.6640625" style="27" customWidth="1"/>
    <col min="14613" max="14613" width="0.33203125" style="27" customWidth="1"/>
    <col min="14614" max="14622" width="1.6640625" style="27" customWidth="1"/>
    <col min="14623" max="14623" width="0.33203125" style="27" customWidth="1"/>
    <col min="14624" max="14632" width="1.6640625" style="27" customWidth="1"/>
    <col min="14633" max="14633" width="0.33203125" style="27" customWidth="1"/>
    <col min="14634" max="14642" width="1.6640625" style="27" customWidth="1"/>
    <col min="14643" max="14643" width="0.33203125" style="27" customWidth="1"/>
    <col min="14644" max="14652" width="1.6640625" style="27" customWidth="1"/>
    <col min="14653" max="14653" width="0.33203125" style="27" customWidth="1"/>
    <col min="14654" max="14662" width="1.6640625" style="27" customWidth="1"/>
    <col min="14663" max="14663" width="0.33203125" style="27" customWidth="1"/>
    <col min="14664" max="14672" width="1.6640625" style="27" customWidth="1"/>
    <col min="14673" max="14848" width="9.109375" style="27"/>
    <col min="14849" max="14849" width="0.33203125" style="27" customWidth="1"/>
    <col min="14850" max="14858" width="1.6640625" style="27" customWidth="1"/>
    <col min="14859" max="14859" width="0.33203125" style="27" customWidth="1"/>
    <col min="14860" max="14868" width="1.6640625" style="27" customWidth="1"/>
    <col min="14869" max="14869" width="0.33203125" style="27" customWidth="1"/>
    <col min="14870" max="14878" width="1.6640625" style="27" customWidth="1"/>
    <col min="14879" max="14879" width="0.33203125" style="27" customWidth="1"/>
    <col min="14880" max="14888" width="1.6640625" style="27" customWidth="1"/>
    <col min="14889" max="14889" width="0.33203125" style="27" customWidth="1"/>
    <col min="14890" max="14898" width="1.6640625" style="27" customWidth="1"/>
    <col min="14899" max="14899" width="0.33203125" style="27" customWidth="1"/>
    <col min="14900" max="14908" width="1.6640625" style="27" customWidth="1"/>
    <col min="14909" max="14909" width="0.33203125" style="27" customWidth="1"/>
    <col min="14910" max="14918" width="1.6640625" style="27" customWidth="1"/>
    <col min="14919" max="14919" width="0.33203125" style="27" customWidth="1"/>
    <col min="14920" max="14928" width="1.6640625" style="27" customWidth="1"/>
    <col min="14929" max="15104" width="9.109375" style="27"/>
    <col min="15105" max="15105" width="0.33203125" style="27" customWidth="1"/>
    <col min="15106" max="15114" width="1.6640625" style="27" customWidth="1"/>
    <col min="15115" max="15115" width="0.33203125" style="27" customWidth="1"/>
    <col min="15116" max="15124" width="1.6640625" style="27" customWidth="1"/>
    <col min="15125" max="15125" width="0.33203125" style="27" customWidth="1"/>
    <col min="15126" max="15134" width="1.6640625" style="27" customWidth="1"/>
    <col min="15135" max="15135" width="0.33203125" style="27" customWidth="1"/>
    <col min="15136" max="15144" width="1.6640625" style="27" customWidth="1"/>
    <col min="15145" max="15145" width="0.33203125" style="27" customWidth="1"/>
    <col min="15146" max="15154" width="1.6640625" style="27" customWidth="1"/>
    <col min="15155" max="15155" width="0.33203125" style="27" customWidth="1"/>
    <col min="15156" max="15164" width="1.6640625" style="27" customWidth="1"/>
    <col min="15165" max="15165" width="0.33203125" style="27" customWidth="1"/>
    <col min="15166" max="15174" width="1.6640625" style="27" customWidth="1"/>
    <col min="15175" max="15175" width="0.33203125" style="27" customWidth="1"/>
    <col min="15176" max="15184" width="1.6640625" style="27" customWidth="1"/>
    <col min="15185" max="15360" width="9.109375" style="27"/>
    <col min="15361" max="15361" width="0.33203125" style="27" customWidth="1"/>
    <col min="15362" max="15370" width="1.6640625" style="27" customWidth="1"/>
    <col min="15371" max="15371" width="0.33203125" style="27" customWidth="1"/>
    <col min="15372" max="15380" width="1.6640625" style="27" customWidth="1"/>
    <col min="15381" max="15381" width="0.33203125" style="27" customWidth="1"/>
    <col min="15382" max="15390" width="1.6640625" style="27" customWidth="1"/>
    <col min="15391" max="15391" width="0.33203125" style="27" customWidth="1"/>
    <col min="15392" max="15400" width="1.6640625" style="27" customWidth="1"/>
    <col min="15401" max="15401" width="0.33203125" style="27" customWidth="1"/>
    <col min="15402" max="15410" width="1.6640625" style="27" customWidth="1"/>
    <col min="15411" max="15411" width="0.33203125" style="27" customWidth="1"/>
    <col min="15412" max="15420" width="1.6640625" style="27" customWidth="1"/>
    <col min="15421" max="15421" width="0.33203125" style="27" customWidth="1"/>
    <col min="15422" max="15430" width="1.6640625" style="27" customWidth="1"/>
    <col min="15431" max="15431" width="0.33203125" style="27" customWidth="1"/>
    <col min="15432" max="15440" width="1.6640625" style="27" customWidth="1"/>
    <col min="15441" max="15616" width="9.109375" style="27"/>
    <col min="15617" max="15617" width="0.33203125" style="27" customWidth="1"/>
    <col min="15618" max="15626" width="1.6640625" style="27" customWidth="1"/>
    <col min="15627" max="15627" width="0.33203125" style="27" customWidth="1"/>
    <col min="15628" max="15636" width="1.6640625" style="27" customWidth="1"/>
    <col min="15637" max="15637" width="0.33203125" style="27" customWidth="1"/>
    <col min="15638" max="15646" width="1.6640625" style="27" customWidth="1"/>
    <col min="15647" max="15647" width="0.33203125" style="27" customWidth="1"/>
    <col min="15648" max="15656" width="1.6640625" style="27" customWidth="1"/>
    <col min="15657" max="15657" width="0.33203125" style="27" customWidth="1"/>
    <col min="15658" max="15666" width="1.6640625" style="27" customWidth="1"/>
    <col min="15667" max="15667" width="0.33203125" style="27" customWidth="1"/>
    <col min="15668" max="15676" width="1.6640625" style="27" customWidth="1"/>
    <col min="15677" max="15677" width="0.33203125" style="27" customWidth="1"/>
    <col min="15678" max="15686" width="1.6640625" style="27" customWidth="1"/>
    <col min="15687" max="15687" width="0.33203125" style="27" customWidth="1"/>
    <col min="15688" max="15696" width="1.6640625" style="27" customWidth="1"/>
    <col min="15697" max="15872" width="9.109375" style="27"/>
    <col min="15873" max="15873" width="0.33203125" style="27" customWidth="1"/>
    <col min="15874" max="15882" width="1.6640625" style="27" customWidth="1"/>
    <col min="15883" max="15883" width="0.33203125" style="27" customWidth="1"/>
    <col min="15884" max="15892" width="1.6640625" style="27" customWidth="1"/>
    <col min="15893" max="15893" width="0.33203125" style="27" customWidth="1"/>
    <col min="15894" max="15902" width="1.6640625" style="27" customWidth="1"/>
    <col min="15903" max="15903" width="0.33203125" style="27" customWidth="1"/>
    <col min="15904" max="15912" width="1.6640625" style="27" customWidth="1"/>
    <col min="15913" max="15913" width="0.33203125" style="27" customWidth="1"/>
    <col min="15914" max="15922" width="1.6640625" style="27" customWidth="1"/>
    <col min="15923" max="15923" width="0.33203125" style="27" customWidth="1"/>
    <col min="15924" max="15932" width="1.6640625" style="27" customWidth="1"/>
    <col min="15933" max="15933" width="0.33203125" style="27" customWidth="1"/>
    <col min="15934" max="15942" width="1.6640625" style="27" customWidth="1"/>
    <col min="15943" max="15943" width="0.33203125" style="27" customWidth="1"/>
    <col min="15944" max="15952" width="1.6640625" style="27" customWidth="1"/>
    <col min="15953" max="16128" width="9.109375" style="27"/>
    <col min="16129" max="16129" width="0.33203125" style="27" customWidth="1"/>
    <col min="16130" max="16138" width="1.6640625" style="27" customWidth="1"/>
    <col min="16139" max="16139" width="0.33203125" style="27" customWidth="1"/>
    <col min="16140" max="16148" width="1.6640625" style="27" customWidth="1"/>
    <col min="16149" max="16149" width="0.33203125" style="27" customWidth="1"/>
    <col min="16150" max="16158" width="1.6640625" style="27" customWidth="1"/>
    <col min="16159" max="16159" width="0.33203125" style="27" customWidth="1"/>
    <col min="16160" max="16168" width="1.6640625" style="27" customWidth="1"/>
    <col min="16169" max="16169" width="0.33203125" style="27" customWidth="1"/>
    <col min="16170" max="16178" width="1.6640625" style="27" customWidth="1"/>
    <col min="16179" max="16179" width="0.33203125" style="27" customWidth="1"/>
    <col min="16180" max="16188" width="1.6640625" style="27" customWidth="1"/>
    <col min="16189" max="16189" width="0.33203125" style="27" customWidth="1"/>
    <col min="16190" max="16198" width="1.6640625" style="27" customWidth="1"/>
    <col min="16199" max="16199" width="0.33203125" style="27" customWidth="1"/>
    <col min="16200" max="16208" width="1.6640625" style="27" customWidth="1"/>
    <col min="16209" max="16384" width="9.109375" style="27"/>
  </cols>
  <sheetData>
    <row r="1" spans="1:71" ht="118.95" customHeight="1" x14ac:dyDescent="0.3">
      <c r="A1" s="169"/>
      <c r="B1" s="490" t="s">
        <v>839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V1" s="491"/>
      <c r="AW1" s="491"/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H1" s="491"/>
      <c r="BI1" s="491"/>
      <c r="BJ1" s="491"/>
      <c r="BK1" s="491"/>
      <c r="BL1" s="491"/>
      <c r="BM1" s="491"/>
      <c r="BN1" s="491"/>
      <c r="BO1" s="491"/>
      <c r="BP1" s="491"/>
      <c r="BQ1" s="491"/>
      <c r="BR1" s="492"/>
      <c r="BS1" s="26"/>
    </row>
    <row r="2" spans="1:71" ht="3" customHeight="1" x14ac:dyDescent="0.3">
      <c r="A2" s="16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26"/>
    </row>
    <row r="3" spans="1:71" ht="18" customHeight="1" x14ac:dyDescent="0.3">
      <c r="B3" s="421">
        <v>1.4</v>
      </c>
      <c r="C3" s="422"/>
      <c r="D3" s="422"/>
      <c r="E3" s="422"/>
      <c r="F3" s="422"/>
      <c r="G3" s="422"/>
      <c r="H3" s="422"/>
      <c r="I3" s="422"/>
      <c r="J3" s="422"/>
      <c r="K3" s="170"/>
      <c r="L3" s="419" t="s">
        <v>785</v>
      </c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L3" s="419"/>
      <c r="BM3" s="419"/>
      <c r="BN3" s="419"/>
      <c r="BO3" s="419"/>
      <c r="BP3" s="419"/>
      <c r="BQ3" s="419"/>
      <c r="BR3" s="420"/>
      <c r="BS3" s="26"/>
    </row>
    <row r="4" spans="1:71" ht="1.5" customHeight="1" x14ac:dyDescent="0.3">
      <c r="B4" s="172"/>
      <c r="AP4" s="173"/>
      <c r="AQ4" s="173"/>
      <c r="AR4" s="173"/>
      <c r="AS4" s="173"/>
      <c r="AT4" s="173"/>
      <c r="AU4" s="173"/>
      <c r="AV4" s="173"/>
      <c r="AW4" s="173"/>
      <c r="AX4" s="173"/>
      <c r="BR4" s="174"/>
      <c r="BS4" s="26"/>
    </row>
    <row r="5" spans="1:71" ht="9" customHeight="1" x14ac:dyDescent="0.3">
      <c r="B5" s="429" t="s">
        <v>353</v>
      </c>
      <c r="C5" s="430"/>
      <c r="D5" s="431"/>
      <c r="E5" s="444" t="s">
        <v>395</v>
      </c>
      <c r="F5" s="445"/>
      <c r="G5" s="445"/>
      <c r="H5" s="445"/>
      <c r="I5" s="445"/>
      <c r="J5" s="446"/>
      <c r="K5" s="175"/>
      <c r="L5" s="429" t="s">
        <v>354</v>
      </c>
      <c r="M5" s="430"/>
      <c r="N5" s="431"/>
      <c r="O5" s="444" t="s">
        <v>395</v>
      </c>
      <c r="P5" s="445"/>
      <c r="Q5" s="445"/>
      <c r="R5" s="445"/>
      <c r="S5" s="445"/>
      <c r="T5" s="446"/>
      <c r="U5" s="175"/>
      <c r="V5" s="429" t="s">
        <v>355</v>
      </c>
      <c r="W5" s="430"/>
      <c r="X5" s="431"/>
      <c r="Y5" s="444" t="s">
        <v>395</v>
      </c>
      <c r="Z5" s="445"/>
      <c r="AA5" s="445"/>
      <c r="AB5" s="445"/>
      <c r="AC5" s="445"/>
      <c r="AD5" s="446"/>
      <c r="AE5" s="176"/>
      <c r="AF5" s="429" t="s">
        <v>356</v>
      </c>
      <c r="AG5" s="430"/>
      <c r="AH5" s="431"/>
      <c r="AI5" s="444" t="s">
        <v>395</v>
      </c>
      <c r="AJ5" s="445"/>
      <c r="AK5" s="445"/>
      <c r="AL5" s="445"/>
      <c r="AM5" s="445"/>
      <c r="AN5" s="446"/>
      <c r="AO5" s="177"/>
      <c r="AP5" s="429" t="s">
        <v>357</v>
      </c>
      <c r="AQ5" s="430"/>
      <c r="AR5" s="431"/>
      <c r="AS5" s="444" t="s">
        <v>577</v>
      </c>
      <c r="AT5" s="445"/>
      <c r="AU5" s="445"/>
      <c r="AV5" s="445"/>
      <c r="AW5" s="445"/>
      <c r="AX5" s="446"/>
      <c r="AY5" s="175"/>
      <c r="AZ5" s="429" t="s">
        <v>358</v>
      </c>
      <c r="BA5" s="430"/>
      <c r="BB5" s="431"/>
      <c r="BC5" s="444" t="s">
        <v>577</v>
      </c>
      <c r="BD5" s="445"/>
      <c r="BE5" s="445"/>
      <c r="BF5" s="445"/>
      <c r="BG5" s="445"/>
      <c r="BH5" s="446"/>
      <c r="BI5" s="175"/>
      <c r="BJ5" s="429" t="s">
        <v>359</v>
      </c>
      <c r="BK5" s="430"/>
      <c r="BL5" s="431"/>
      <c r="BM5" s="444" t="s">
        <v>577</v>
      </c>
      <c r="BN5" s="445"/>
      <c r="BO5" s="445"/>
      <c r="BP5" s="445"/>
      <c r="BQ5" s="445"/>
      <c r="BR5" s="446"/>
    </row>
    <row r="6" spans="1:71" s="34" customFormat="1" ht="9" customHeight="1" x14ac:dyDescent="0.3">
      <c r="A6" s="178"/>
      <c r="B6" s="423" t="s">
        <v>729</v>
      </c>
      <c r="C6" s="424"/>
      <c r="D6" s="424"/>
      <c r="E6" s="424"/>
      <c r="F6" s="424"/>
      <c r="G6" s="424"/>
      <c r="H6" s="424"/>
      <c r="I6" s="424"/>
      <c r="J6" s="425"/>
      <c r="K6" s="180"/>
      <c r="L6" s="423" t="s">
        <v>729</v>
      </c>
      <c r="M6" s="424"/>
      <c r="N6" s="424"/>
      <c r="O6" s="424"/>
      <c r="P6" s="424"/>
      <c r="Q6" s="424"/>
      <c r="R6" s="424"/>
      <c r="S6" s="424"/>
      <c r="T6" s="425"/>
      <c r="U6" s="181"/>
      <c r="V6" s="423" t="s">
        <v>729</v>
      </c>
      <c r="W6" s="424"/>
      <c r="X6" s="424"/>
      <c r="Y6" s="424"/>
      <c r="Z6" s="424"/>
      <c r="AA6" s="424"/>
      <c r="AB6" s="424"/>
      <c r="AC6" s="424"/>
      <c r="AD6" s="425"/>
      <c r="AE6" s="180"/>
      <c r="AF6" s="423" t="s">
        <v>729</v>
      </c>
      <c r="AG6" s="424"/>
      <c r="AH6" s="424"/>
      <c r="AI6" s="424"/>
      <c r="AJ6" s="424"/>
      <c r="AK6" s="424"/>
      <c r="AL6" s="424"/>
      <c r="AM6" s="424"/>
      <c r="AN6" s="425"/>
      <c r="AO6" s="181"/>
      <c r="AP6" s="423" t="s">
        <v>576</v>
      </c>
      <c r="AQ6" s="424"/>
      <c r="AR6" s="424"/>
      <c r="AS6" s="424"/>
      <c r="AT6" s="424"/>
      <c r="AU6" s="424"/>
      <c r="AV6" s="424"/>
      <c r="AW6" s="424"/>
      <c r="AX6" s="425"/>
      <c r="AY6" s="181"/>
      <c r="AZ6" s="423" t="s">
        <v>576</v>
      </c>
      <c r="BA6" s="424"/>
      <c r="BB6" s="424"/>
      <c r="BC6" s="424"/>
      <c r="BD6" s="424"/>
      <c r="BE6" s="424"/>
      <c r="BF6" s="424"/>
      <c r="BG6" s="424"/>
      <c r="BH6" s="425"/>
      <c r="BI6" s="181"/>
      <c r="BJ6" s="423" t="s">
        <v>576</v>
      </c>
      <c r="BK6" s="424"/>
      <c r="BL6" s="424"/>
      <c r="BM6" s="424"/>
      <c r="BN6" s="424"/>
      <c r="BO6" s="424"/>
      <c r="BP6" s="424"/>
      <c r="BQ6" s="424"/>
      <c r="BR6" s="425"/>
    </row>
    <row r="7" spans="1:71" ht="9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7"/>
      <c r="K7" s="182"/>
      <c r="L7" s="175"/>
      <c r="M7" s="175"/>
      <c r="N7" s="175"/>
      <c r="O7" s="175"/>
      <c r="P7" s="175"/>
      <c r="Q7" s="175"/>
      <c r="R7" s="175"/>
      <c r="S7" s="175"/>
      <c r="T7" s="177"/>
      <c r="U7" s="177"/>
      <c r="V7" s="175"/>
      <c r="W7" s="175"/>
      <c r="X7" s="175"/>
      <c r="Y7" s="175"/>
      <c r="Z7" s="175"/>
      <c r="AA7" s="175"/>
      <c r="AB7" s="175"/>
      <c r="AC7" s="175"/>
      <c r="AD7" s="177"/>
      <c r="AE7" s="182"/>
      <c r="AF7" s="175"/>
      <c r="AG7" s="175"/>
      <c r="AH7" s="175"/>
      <c r="AI7" s="175"/>
      <c r="AJ7" s="175"/>
      <c r="AK7" s="175"/>
      <c r="AL7" s="175"/>
      <c r="AM7" s="175"/>
      <c r="AN7" s="177"/>
      <c r="AO7" s="177"/>
      <c r="AP7" s="175"/>
      <c r="AQ7" s="175"/>
      <c r="AR7" s="175"/>
      <c r="AS7" s="175"/>
      <c r="AT7" s="175"/>
      <c r="AU7" s="175"/>
      <c r="AV7" s="175"/>
      <c r="AW7" s="175"/>
      <c r="AX7" s="177"/>
      <c r="AY7" s="177"/>
      <c r="AZ7" s="175"/>
      <c r="BA7" s="175"/>
      <c r="BB7" s="175"/>
      <c r="BC7" s="175"/>
      <c r="BD7" s="175"/>
      <c r="BE7" s="175"/>
      <c r="BF7" s="175"/>
      <c r="BG7" s="175"/>
      <c r="BH7" s="177"/>
      <c r="BI7" s="177"/>
      <c r="BJ7" s="175"/>
      <c r="BK7" s="175"/>
      <c r="BL7" s="175"/>
      <c r="BM7" s="175"/>
      <c r="BN7" s="175"/>
      <c r="BO7" s="175"/>
      <c r="BP7" s="175"/>
      <c r="BQ7" s="175"/>
      <c r="BR7" s="177"/>
    </row>
    <row r="8" spans="1:71" ht="9" customHeight="1" x14ac:dyDescent="0.3">
      <c r="A8" s="169"/>
      <c r="B8" s="175"/>
      <c r="C8" s="175"/>
      <c r="D8" s="175"/>
      <c r="E8" s="175"/>
      <c r="F8" s="175"/>
      <c r="G8" s="175"/>
      <c r="H8" s="175"/>
      <c r="I8" s="175"/>
      <c r="J8" s="177"/>
      <c r="K8" s="182"/>
      <c r="L8" s="175"/>
      <c r="M8" s="175"/>
      <c r="N8" s="175"/>
      <c r="O8" s="175"/>
      <c r="P8" s="175"/>
      <c r="Q8" s="175"/>
      <c r="R8" s="175"/>
      <c r="S8" s="175"/>
      <c r="T8" s="177"/>
      <c r="U8" s="177"/>
      <c r="V8" s="175"/>
      <c r="W8" s="175"/>
      <c r="X8" s="175"/>
      <c r="Y8" s="175"/>
      <c r="Z8" s="175"/>
      <c r="AA8" s="175"/>
      <c r="AB8" s="175"/>
      <c r="AC8" s="175"/>
      <c r="AD8" s="177"/>
      <c r="AE8" s="182"/>
      <c r="AF8" s="175"/>
      <c r="AG8" s="175"/>
      <c r="AH8" s="175"/>
      <c r="AI8" s="175"/>
      <c r="AJ8" s="175"/>
      <c r="AK8" s="175"/>
      <c r="AL8" s="175"/>
      <c r="AM8" s="175"/>
      <c r="AN8" s="177"/>
      <c r="AO8" s="177"/>
      <c r="AP8" s="175"/>
      <c r="AQ8" s="175"/>
      <c r="AR8" s="175"/>
      <c r="AS8" s="175"/>
      <c r="AT8" s="175"/>
      <c r="AU8" s="175"/>
      <c r="AV8" s="175"/>
      <c r="AW8" s="175"/>
      <c r="AX8" s="177"/>
      <c r="AY8" s="177"/>
      <c r="AZ8" s="175"/>
      <c r="BA8" s="175"/>
      <c r="BB8" s="175"/>
      <c r="BC8" s="175"/>
      <c r="BD8" s="175"/>
      <c r="BE8" s="175"/>
      <c r="BF8" s="175"/>
      <c r="BG8" s="175"/>
      <c r="BH8" s="177"/>
      <c r="BI8" s="177"/>
      <c r="BJ8" s="175"/>
      <c r="BK8" s="175"/>
      <c r="BL8" s="175"/>
      <c r="BM8" s="175"/>
      <c r="BN8" s="175"/>
      <c r="BO8" s="175"/>
      <c r="BP8" s="175"/>
      <c r="BQ8" s="175"/>
      <c r="BR8" s="177"/>
    </row>
    <row r="9" spans="1:71" ht="9" customHeight="1" x14ac:dyDescent="0.3">
      <c r="A9" s="169"/>
      <c r="B9" s="175"/>
      <c r="C9" s="175"/>
      <c r="D9" s="175"/>
      <c r="E9" s="175"/>
      <c r="F9" s="175"/>
      <c r="G9" s="175"/>
      <c r="H9" s="175"/>
      <c r="I9" s="175"/>
      <c r="J9" s="177"/>
      <c r="K9" s="182"/>
      <c r="L9" s="175"/>
      <c r="M9" s="175"/>
      <c r="N9" s="175"/>
      <c r="O9" s="175"/>
      <c r="P9" s="175"/>
      <c r="Q9" s="175"/>
      <c r="R9" s="175"/>
      <c r="S9" s="175"/>
      <c r="T9" s="177"/>
      <c r="U9" s="177"/>
      <c r="V9" s="175"/>
      <c r="W9" s="175"/>
      <c r="X9" s="175"/>
      <c r="Y9" s="175"/>
      <c r="Z9" s="175"/>
      <c r="AA9" s="175"/>
      <c r="AB9" s="175"/>
      <c r="AC9" s="175"/>
      <c r="AD9" s="177"/>
      <c r="AE9" s="182"/>
      <c r="AF9" s="175"/>
      <c r="AG9" s="175"/>
      <c r="AH9" s="175"/>
      <c r="AI9" s="175"/>
      <c r="AJ9" s="175"/>
      <c r="AK9" s="175"/>
      <c r="AL9" s="175"/>
      <c r="AM9" s="175"/>
      <c r="AN9" s="177"/>
      <c r="AO9" s="177"/>
      <c r="AP9" s="175"/>
      <c r="AQ9" s="175"/>
      <c r="AR9" s="175"/>
      <c r="AS9" s="175"/>
      <c r="AT9" s="175"/>
      <c r="AU9" s="175"/>
      <c r="AV9" s="175"/>
      <c r="AW9" s="175"/>
      <c r="AX9" s="177"/>
      <c r="AY9" s="177"/>
      <c r="AZ9" s="175"/>
      <c r="BA9" s="175"/>
      <c r="BB9" s="175"/>
      <c r="BC9" s="175"/>
      <c r="BD9" s="175"/>
      <c r="BE9" s="175"/>
      <c r="BF9" s="175"/>
      <c r="BG9" s="175"/>
      <c r="BH9" s="177"/>
      <c r="BI9" s="177"/>
      <c r="BJ9" s="175"/>
      <c r="BK9" s="175"/>
      <c r="BL9" s="175"/>
      <c r="BM9" s="175"/>
      <c r="BN9" s="175"/>
      <c r="BO9" s="175"/>
      <c r="BP9" s="175"/>
      <c r="BQ9" s="175"/>
      <c r="BR9" s="177"/>
    </row>
    <row r="10" spans="1:71" ht="9" customHeight="1" x14ac:dyDescent="0.3">
      <c r="A10" s="169"/>
      <c r="B10" s="175"/>
      <c r="C10" s="175"/>
      <c r="D10" s="175"/>
      <c r="E10" s="175"/>
      <c r="F10" s="175"/>
      <c r="G10" s="175"/>
      <c r="H10" s="175"/>
      <c r="I10" s="175"/>
      <c r="J10" s="177"/>
      <c r="K10" s="182"/>
      <c r="L10" s="175"/>
      <c r="M10" s="175"/>
      <c r="N10" s="175"/>
      <c r="O10" s="175"/>
      <c r="P10" s="175"/>
      <c r="Q10" s="175"/>
      <c r="R10" s="175"/>
      <c r="S10" s="175"/>
      <c r="T10" s="177"/>
      <c r="U10" s="177"/>
      <c r="V10" s="175"/>
      <c r="W10" s="175"/>
      <c r="X10" s="175"/>
      <c r="Y10" s="175"/>
      <c r="Z10" s="175"/>
      <c r="AA10" s="175"/>
      <c r="AB10" s="175"/>
      <c r="AC10" s="175"/>
      <c r="AD10" s="177"/>
      <c r="AE10" s="182"/>
      <c r="AF10" s="175"/>
      <c r="AG10" s="175"/>
      <c r="AH10" s="175"/>
      <c r="AI10" s="175"/>
      <c r="AJ10" s="175"/>
      <c r="AK10" s="175"/>
      <c r="AL10" s="175"/>
      <c r="AM10" s="175"/>
      <c r="AN10" s="177"/>
      <c r="AO10" s="177"/>
      <c r="AP10" s="175"/>
      <c r="AQ10" s="175"/>
      <c r="AR10" s="175"/>
      <c r="AS10" s="175"/>
      <c r="AT10" s="175"/>
      <c r="AU10" s="175"/>
      <c r="AV10" s="175"/>
      <c r="AW10" s="175"/>
      <c r="AX10" s="177"/>
      <c r="AY10" s="182"/>
      <c r="AZ10" s="175"/>
      <c r="BA10" s="175"/>
      <c r="BB10" s="175"/>
      <c r="BC10" s="175"/>
      <c r="BD10" s="175"/>
      <c r="BE10" s="175"/>
      <c r="BF10" s="175"/>
      <c r="BG10" s="175"/>
      <c r="BH10" s="177"/>
      <c r="BI10" s="182"/>
      <c r="BJ10" s="175"/>
      <c r="BK10" s="175"/>
      <c r="BL10" s="175"/>
      <c r="BM10" s="175"/>
      <c r="BN10" s="175"/>
      <c r="BO10" s="175"/>
      <c r="BP10" s="175"/>
      <c r="BQ10" s="175"/>
      <c r="BR10" s="177"/>
    </row>
    <row r="11" spans="1:71" ht="9.75" customHeight="1" x14ac:dyDescent="0.3">
      <c r="A11" s="169"/>
      <c r="B11" s="175"/>
      <c r="C11" s="175"/>
      <c r="D11" s="175"/>
      <c r="E11" s="175"/>
      <c r="F11" s="175"/>
      <c r="G11" s="175"/>
      <c r="H11" s="175"/>
      <c r="I11" s="175"/>
      <c r="J11" s="177"/>
      <c r="K11" s="182"/>
      <c r="L11" s="175"/>
      <c r="M11" s="175"/>
      <c r="N11" s="175"/>
      <c r="O11" s="175"/>
      <c r="P11" s="175"/>
      <c r="Q11" s="175"/>
      <c r="R11" s="175"/>
      <c r="S11" s="175"/>
      <c r="T11" s="177"/>
      <c r="U11" s="177"/>
      <c r="V11" s="175"/>
      <c r="W11" s="175"/>
      <c r="X11" s="175"/>
      <c r="Y11" s="175"/>
      <c r="Z11" s="175"/>
      <c r="AA11" s="175"/>
      <c r="AB11" s="175"/>
      <c r="AC11" s="175"/>
      <c r="AD11" s="177"/>
      <c r="AE11" s="182"/>
      <c r="AF11" s="175"/>
      <c r="AG11" s="175"/>
      <c r="AH11" s="175"/>
      <c r="AI11" s="175"/>
      <c r="AJ11" s="175"/>
      <c r="AK11" s="175"/>
      <c r="AL11" s="175"/>
      <c r="AM11" s="175"/>
      <c r="AN11" s="177"/>
      <c r="AO11" s="177"/>
      <c r="AP11" s="175"/>
      <c r="AQ11" s="175"/>
      <c r="AR11" s="175"/>
      <c r="AS11" s="175"/>
      <c r="AT11" s="175"/>
      <c r="AU11" s="175"/>
      <c r="AV11" s="175"/>
      <c r="AW11" s="175"/>
      <c r="AX11" s="177"/>
      <c r="AY11" s="182"/>
      <c r="AZ11" s="175"/>
      <c r="BA11" s="175"/>
      <c r="BB11" s="175"/>
      <c r="BC11" s="175"/>
      <c r="BD11" s="175"/>
      <c r="BE11" s="175"/>
      <c r="BF11" s="175"/>
      <c r="BG11" s="175"/>
      <c r="BH11" s="177"/>
      <c r="BI11" s="182"/>
      <c r="BJ11" s="175"/>
      <c r="BK11" s="175"/>
      <c r="BL11" s="175"/>
      <c r="BM11" s="175"/>
      <c r="BN11" s="175"/>
      <c r="BO11" s="175"/>
      <c r="BP11" s="175"/>
      <c r="BQ11" s="175"/>
      <c r="BR11" s="177"/>
    </row>
    <row r="12" spans="1:71" ht="9" customHeight="1" x14ac:dyDescent="0.3">
      <c r="B12" s="232"/>
      <c r="C12" s="223"/>
      <c r="D12" s="223"/>
      <c r="E12" s="223"/>
      <c r="F12" s="223"/>
      <c r="G12" s="223"/>
      <c r="H12" s="223"/>
      <c r="I12" s="223"/>
      <c r="J12" s="224"/>
      <c r="K12" s="182"/>
      <c r="L12" s="223"/>
      <c r="M12" s="223"/>
      <c r="N12" s="223"/>
      <c r="O12" s="223"/>
      <c r="P12" s="223"/>
      <c r="Q12" s="223"/>
      <c r="R12" s="223"/>
      <c r="S12" s="223"/>
      <c r="T12" s="224"/>
      <c r="U12" s="177"/>
      <c r="V12" s="223"/>
      <c r="W12" s="223"/>
      <c r="X12" s="223"/>
      <c r="Y12" s="223"/>
      <c r="Z12" s="223"/>
      <c r="AA12" s="223"/>
      <c r="AB12" s="223"/>
      <c r="AC12" s="223"/>
      <c r="AD12" s="224"/>
      <c r="AE12" s="233"/>
      <c r="AF12" s="223"/>
      <c r="AG12" s="223"/>
      <c r="AH12" s="223"/>
      <c r="AI12" s="223"/>
      <c r="AJ12" s="223"/>
      <c r="AK12" s="223"/>
      <c r="AL12" s="223"/>
      <c r="AM12" s="223"/>
      <c r="AN12" s="224"/>
      <c r="AO12" s="224"/>
      <c r="AP12" s="223"/>
      <c r="AQ12" s="223"/>
      <c r="AR12" s="223"/>
      <c r="AS12" s="223"/>
      <c r="AT12" s="223"/>
      <c r="AU12" s="223"/>
      <c r="AV12" s="223"/>
      <c r="AW12" s="223"/>
      <c r="AX12" s="224"/>
      <c r="AY12" s="182"/>
      <c r="AZ12" s="223"/>
      <c r="BA12" s="223"/>
      <c r="BB12" s="223"/>
      <c r="BC12" s="223"/>
      <c r="BD12" s="223"/>
      <c r="BE12" s="223"/>
      <c r="BF12" s="223"/>
      <c r="BG12" s="223"/>
      <c r="BH12" s="224"/>
      <c r="BI12" s="182"/>
      <c r="BJ12" s="223"/>
      <c r="BK12" s="223"/>
      <c r="BL12" s="223"/>
      <c r="BM12" s="223"/>
      <c r="BN12" s="223"/>
      <c r="BO12" s="223"/>
      <c r="BP12" s="223"/>
      <c r="BQ12" s="223"/>
      <c r="BR12" s="224"/>
    </row>
    <row r="13" spans="1:71" ht="9" customHeight="1" x14ac:dyDescent="0.3">
      <c r="B13" s="232"/>
      <c r="C13" s="223"/>
      <c r="D13" s="223"/>
      <c r="E13" s="223"/>
      <c r="F13" s="223"/>
      <c r="G13" s="223"/>
      <c r="H13" s="223"/>
      <c r="I13" s="223"/>
      <c r="J13" s="224"/>
      <c r="K13" s="182"/>
      <c r="L13" s="223"/>
      <c r="M13" s="223"/>
      <c r="N13" s="223"/>
      <c r="O13" s="223"/>
      <c r="P13" s="223"/>
      <c r="Q13" s="223"/>
      <c r="R13" s="223"/>
      <c r="S13" s="223"/>
      <c r="T13" s="224"/>
      <c r="U13" s="177"/>
      <c r="V13" s="223"/>
      <c r="W13" s="223"/>
      <c r="X13" s="223"/>
      <c r="Y13" s="223"/>
      <c r="Z13" s="223"/>
      <c r="AA13" s="223"/>
      <c r="AB13" s="223"/>
      <c r="AC13" s="223"/>
      <c r="AD13" s="224"/>
      <c r="AE13" s="233"/>
      <c r="AF13" s="223"/>
      <c r="AG13" s="223"/>
      <c r="AH13" s="223"/>
      <c r="AI13" s="223"/>
      <c r="AJ13" s="223"/>
      <c r="AK13" s="223"/>
      <c r="AL13" s="223"/>
      <c r="AM13" s="223"/>
      <c r="AN13" s="224"/>
      <c r="AO13" s="224"/>
      <c r="AP13" s="223"/>
      <c r="AQ13" s="223"/>
      <c r="AR13" s="223"/>
      <c r="AS13" s="223"/>
      <c r="AT13" s="223"/>
      <c r="AU13" s="223"/>
      <c r="AV13" s="223"/>
      <c r="AW13" s="223"/>
      <c r="AX13" s="224"/>
      <c r="AY13" s="182"/>
      <c r="AZ13" s="223"/>
      <c r="BA13" s="223"/>
      <c r="BB13" s="223"/>
      <c r="BC13" s="223"/>
      <c r="BD13" s="223"/>
      <c r="BE13" s="223"/>
      <c r="BF13" s="223"/>
      <c r="BG13" s="223"/>
      <c r="BH13" s="224"/>
      <c r="BI13" s="182"/>
      <c r="BJ13" s="223"/>
      <c r="BK13" s="223"/>
      <c r="BL13" s="223"/>
      <c r="BM13" s="223"/>
      <c r="BN13" s="223"/>
      <c r="BO13" s="223"/>
      <c r="BP13" s="223"/>
      <c r="BQ13" s="223"/>
      <c r="BR13" s="224"/>
    </row>
    <row r="14" spans="1:71" ht="9" customHeight="1" x14ac:dyDescent="0.3">
      <c r="B14" s="232"/>
      <c r="C14" s="223"/>
      <c r="D14" s="223"/>
      <c r="E14" s="223"/>
      <c r="F14" s="223"/>
      <c r="G14" s="223"/>
      <c r="H14" s="223"/>
      <c r="I14" s="223"/>
      <c r="J14" s="224"/>
      <c r="K14" s="182"/>
      <c r="L14" s="223"/>
      <c r="M14" s="223"/>
      <c r="N14" s="223"/>
      <c r="O14" s="223"/>
      <c r="P14" s="223"/>
      <c r="Q14" s="223"/>
      <c r="R14" s="223"/>
      <c r="S14" s="223"/>
      <c r="T14" s="224"/>
      <c r="U14" s="177"/>
      <c r="V14" s="223"/>
      <c r="W14" s="223"/>
      <c r="X14" s="223"/>
      <c r="Y14" s="223"/>
      <c r="Z14" s="223"/>
      <c r="AA14" s="223"/>
      <c r="AB14" s="223"/>
      <c r="AC14" s="223"/>
      <c r="AD14" s="224"/>
      <c r="AE14" s="233"/>
      <c r="AF14" s="223"/>
      <c r="AG14" s="223"/>
      <c r="AH14" s="223"/>
      <c r="AI14" s="223"/>
      <c r="AJ14" s="223"/>
      <c r="AK14" s="223"/>
      <c r="AL14" s="223"/>
      <c r="AM14" s="223"/>
      <c r="AN14" s="224"/>
      <c r="AO14" s="224"/>
      <c r="AP14" s="223"/>
      <c r="AQ14" s="223"/>
      <c r="AR14" s="223"/>
      <c r="AS14" s="223"/>
      <c r="AT14" s="223"/>
      <c r="AU14" s="223"/>
      <c r="AV14" s="223"/>
      <c r="AW14" s="223"/>
      <c r="AX14" s="224"/>
      <c r="AY14" s="182"/>
      <c r="AZ14" s="223"/>
      <c r="BA14" s="223"/>
      <c r="BB14" s="223"/>
      <c r="BC14" s="223"/>
      <c r="BD14" s="223"/>
      <c r="BE14" s="223"/>
      <c r="BF14" s="223"/>
      <c r="BG14" s="223"/>
      <c r="BH14" s="224"/>
      <c r="BI14" s="182"/>
      <c r="BJ14" s="223"/>
      <c r="BK14" s="223"/>
      <c r="BL14" s="223"/>
      <c r="BM14" s="223"/>
      <c r="BN14" s="223"/>
      <c r="BO14" s="223"/>
      <c r="BP14" s="223"/>
      <c r="BQ14" s="223"/>
      <c r="BR14" s="224"/>
    </row>
    <row r="15" spans="1:71" ht="9" customHeight="1" x14ac:dyDescent="0.3">
      <c r="B15" s="232"/>
      <c r="C15" s="223"/>
      <c r="D15" s="223"/>
      <c r="E15" s="223"/>
      <c r="F15" s="223"/>
      <c r="G15" s="223"/>
      <c r="H15" s="223"/>
      <c r="I15" s="223"/>
      <c r="J15" s="224"/>
      <c r="K15" s="182"/>
      <c r="L15" s="223"/>
      <c r="M15" s="223"/>
      <c r="N15" s="223"/>
      <c r="O15" s="223"/>
      <c r="P15" s="223"/>
      <c r="Q15" s="223"/>
      <c r="R15" s="223"/>
      <c r="S15" s="223"/>
      <c r="T15" s="224"/>
      <c r="U15" s="177"/>
      <c r="V15" s="223"/>
      <c r="W15" s="223"/>
      <c r="X15" s="223"/>
      <c r="Y15" s="223"/>
      <c r="Z15" s="223"/>
      <c r="AA15" s="223"/>
      <c r="AB15" s="223"/>
      <c r="AC15" s="223"/>
      <c r="AD15" s="224"/>
      <c r="AE15" s="233"/>
      <c r="AF15" s="223"/>
      <c r="AG15" s="223"/>
      <c r="AH15" s="223"/>
      <c r="AI15" s="223"/>
      <c r="AJ15" s="223"/>
      <c r="AK15" s="223"/>
      <c r="AL15" s="223"/>
      <c r="AM15" s="223"/>
      <c r="AN15" s="224"/>
      <c r="AO15" s="224"/>
      <c r="AP15" s="223"/>
      <c r="AQ15" s="223"/>
      <c r="AR15" s="223"/>
      <c r="AS15" s="223"/>
      <c r="AT15" s="223"/>
      <c r="AU15" s="223"/>
      <c r="AV15" s="223"/>
      <c r="AW15" s="223"/>
      <c r="AX15" s="224"/>
      <c r="AY15" s="182"/>
      <c r="AZ15" s="223"/>
      <c r="BA15" s="223"/>
      <c r="BB15" s="223"/>
      <c r="BC15" s="223"/>
      <c r="BD15" s="223"/>
      <c r="BE15" s="223"/>
      <c r="BF15" s="223"/>
      <c r="BG15" s="223"/>
      <c r="BH15" s="224"/>
      <c r="BI15" s="182"/>
      <c r="BJ15" s="223"/>
      <c r="BK15" s="223"/>
      <c r="BL15" s="223"/>
      <c r="BM15" s="223"/>
      <c r="BN15" s="223"/>
      <c r="BO15" s="223"/>
      <c r="BP15" s="223"/>
      <c r="BQ15" s="223"/>
      <c r="BR15" s="224"/>
    </row>
    <row r="16" spans="1:71" ht="9" customHeight="1" x14ac:dyDescent="0.3">
      <c r="B16" s="176"/>
      <c r="C16" s="175"/>
      <c r="D16" s="175"/>
      <c r="E16" s="175"/>
      <c r="F16" s="175"/>
      <c r="G16" s="175"/>
      <c r="H16" s="175"/>
      <c r="I16" s="175"/>
      <c r="J16" s="177"/>
      <c r="K16" s="182"/>
      <c r="L16" s="175"/>
      <c r="M16" s="175"/>
      <c r="N16" s="175"/>
      <c r="O16" s="175"/>
      <c r="P16" s="175"/>
      <c r="Q16" s="175"/>
      <c r="R16" s="175"/>
      <c r="S16" s="175"/>
      <c r="T16" s="177"/>
      <c r="U16" s="177"/>
      <c r="V16" s="175"/>
      <c r="W16" s="175"/>
      <c r="X16" s="175"/>
      <c r="Y16" s="175"/>
      <c r="Z16" s="175"/>
      <c r="AA16" s="175"/>
      <c r="AB16" s="175"/>
      <c r="AC16" s="175"/>
      <c r="AD16" s="177"/>
      <c r="AE16" s="182"/>
      <c r="AF16" s="175"/>
      <c r="AG16" s="175"/>
      <c r="AH16" s="175"/>
      <c r="AI16" s="175"/>
      <c r="AJ16" s="175"/>
      <c r="AK16" s="175"/>
      <c r="AL16" s="175"/>
      <c r="AM16" s="175"/>
      <c r="AN16" s="177"/>
      <c r="AO16" s="177"/>
      <c r="AP16" s="476" t="s">
        <v>730</v>
      </c>
      <c r="AQ16" s="477"/>
      <c r="AR16" s="477"/>
      <c r="AS16" s="477"/>
      <c r="AT16" s="477"/>
      <c r="AU16" s="477"/>
      <c r="AV16" s="477"/>
      <c r="AW16" s="477"/>
      <c r="AX16" s="478"/>
      <c r="AY16" s="182"/>
      <c r="AZ16" s="476" t="s">
        <v>730</v>
      </c>
      <c r="BA16" s="477"/>
      <c r="BB16" s="477"/>
      <c r="BC16" s="477"/>
      <c r="BD16" s="477"/>
      <c r="BE16" s="477"/>
      <c r="BF16" s="477"/>
      <c r="BG16" s="477"/>
      <c r="BH16" s="478"/>
      <c r="BI16" s="182"/>
      <c r="BJ16" s="476" t="s">
        <v>730</v>
      </c>
      <c r="BK16" s="477"/>
      <c r="BL16" s="477"/>
      <c r="BM16" s="477"/>
      <c r="BN16" s="477"/>
      <c r="BO16" s="477"/>
      <c r="BP16" s="477"/>
      <c r="BQ16" s="477"/>
      <c r="BR16" s="478"/>
    </row>
    <row r="17" spans="1:70" s="66" customFormat="1" ht="12" customHeight="1" x14ac:dyDescent="0.3">
      <c r="A17" s="196"/>
      <c r="B17" s="432" t="s">
        <v>407</v>
      </c>
      <c r="C17" s="432"/>
      <c r="D17" s="432"/>
      <c r="E17" s="432"/>
      <c r="F17" s="432"/>
      <c r="G17" s="433">
        <f>CEILING(1145*B3,1)</f>
        <v>1603</v>
      </c>
      <c r="H17" s="433"/>
      <c r="I17" s="433"/>
      <c r="J17" s="433"/>
      <c r="K17" s="183"/>
      <c r="L17" s="432" t="s">
        <v>407</v>
      </c>
      <c r="M17" s="432"/>
      <c r="N17" s="432"/>
      <c r="O17" s="432"/>
      <c r="P17" s="432"/>
      <c r="Q17" s="433">
        <f>CEILING(1762*B3,1)</f>
        <v>2467</v>
      </c>
      <c r="R17" s="433"/>
      <c r="S17" s="433"/>
      <c r="T17" s="433"/>
      <c r="U17" s="183"/>
      <c r="V17" s="432" t="s">
        <v>407</v>
      </c>
      <c r="W17" s="432"/>
      <c r="X17" s="432"/>
      <c r="Y17" s="432"/>
      <c r="Z17" s="432"/>
      <c r="AA17" s="433">
        <f>CEILING(2177*B3,1)</f>
        <v>3048</v>
      </c>
      <c r="AB17" s="433"/>
      <c r="AC17" s="433"/>
      <c r="AD17" s="433"/>
      <c r="AE17" s="183"/>
      <c r="AF17" s="432" t="s">
        <v>407</v>
      </c>
      <c r="AG17" s="432"/>
      <c r="AH17" s="432"/>
      <c r="AI17" s="432"/>
      <c r="AJ17" s="432"/>
      <c r="AK17" s="433">
        <f>CEILING(2682*B3,1)</f>
        <v>3755</v>
      </c>
      <c r="AL17" s="433"/>
      <c r="AM17" s="433"/>
      <c r="AN17" s="433"/>
      <c r="AO17" s="183"/>
      <c r="AP17" s="432" t="s">
        <v>407</v>
      </c>
      <c r="AQ17" s="432"/>
      <c r="AR17" s="432"/>
      <c r="AS17" s="432"/>
      <c r="AT17" s="432"/>
      <c r="AU17" s="433">
        <f>CEILING(1220*B3,1)</f>
        <v>1708</v>
      </c>
      <c r="AV17" s="433"/>
      <c r="AW17" s="433"/>
      <c r="AX17" s="433"/>
      <c r="AY17" s="183"/>
      <c r="AZ17" s="432" t="s">
        <v>407</v>
      </c>
      <c r="BA17" s="432"/>
      <c r="BB17" s="432"/>
      <c r="BC17" s="432"/>
      <c r="BD17" s="432"/>
      <c r="BE17" s="433">
        <f>CEILING(1307*B3,1)</f>
        <v>1830</v>
      </c>
      <c r="BF17" s="433"/>
      <c r="BG17" s="433"/>
      <c r="BH17" s="433"/>
      <c r="BI17" s="183"/>
      <c r="BJ17" s="432" t="s">
        <v>407</v>
      </c>
      <c r="BK17" s="432"/>
      <c r="BL17" s="432"/>
      <c r="BM17" s="432"/>
      <c r="BN17" s="432"/>
      <c r="BO17" s="433">
        <f>CEILING(1552*B3,1)</f>
        <v>2173</v>
      </c>
      <c r="BP17" s="433"/>
      <c r="BQ17" s="433"/>
      <c r="BR17" s="433"/>
    </row>
    <row r="18" spans="1:70" ht="6" customHeight="1" x14ac:dyDescent="0.3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97"/>
      <c r="Z18" s="197"/>
      <c r="AA18" s="197"/>
      <c r="AB18" s="197"/>
      <c r="AC18" s="197"/>
      <c r="AD18" s="197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97"/>
      <c r="AR18" s="197"/>
      <c r="AS18" s="197"/>
      <c r="AT18" s="197"/>
      <c r="AU18" s="197"/>
      <c r="AV18" s="197"/>
      <c r="AW18" s="197"/>
      <c r="AX18" s="197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</row>
    <row r="19" spans="1:70" ht="9" customHeight="1" x14ac:dyDescent="0.3">
      <c r="B19" s="429" t="s">
        <v>360</v>
      </c>
      <c r="C19" s="430"/>
      <c r="D19" s="431"/>
      <c r="E19" s="445" t="s">
        <v>395</v>
      </c>
      <c r="F19" s="445"/>
      <c r="G19" s="445"/>
      <c r="H19" s="445"/>
      <c r="I19" s="445"/>
      <c r="J19" s="446"/>
      <c r="K19" s="175"/>
      <c r="L19" s="429" t="s">
        <v>361</v>
      </c>
      <c r="M19" s="430"/>
      <c r="N19" s="431"/>
      <c r="O19" s="445" t="s">
        <v>395</v>
      </c>
      <c r="P19" s="445"/>
      <c r="Q19" s="445"/>
      <c r="R19" s="445"/>
      <c r="S19" s="445"/>
      <c r="T19" s="446"/>
      <c r="U19" s="175"/>
      <c r="V19" s="429" t="s">
        <v>362</v>
      </c>
      <c r="W19" s="430"/>
      <c r="X19" s="431"/>
      <c r="Y19" s="445" t="s">
        <v>395</v>
      </c>
      <c r="Z19" s="445"/>
      <c r="AA19" s="445"/>
      <c r="AB19" s="445"/>
      <c r="AC19" s="445"/>
      <c r="AD19" s="446"/>
      <c r="AE19" s="175"/>
      <c r="AF19" s="429" t="s">
        <v>363</v>
      </c>
      <c r="AG19" s="430"/>
      <c r="AH19" s="431"/>
      <c r="AI19" s="445" t="s">
        <v>395</v>
      </c>
      <c r="AJ19" s="445"/>
      <c r="AK19" s="445"/>
      <c r="AL19" s="445"/>
      <c r="AM19" s="445"/>
      <c r="AN19" s="446"/>
      <c r="AO19" s="175"/>
      <c r="AP19" s="429" t="s">
        <v>364</v>
      </c>
      <c r="AQ19" s="430"/>
      <c r="AR19" s="431"/>
      <c r="AS19" s="445" t="s">
        <v>395</v>
      </c>
      <c r="AT19" s="445"/>
      <c r="AU19" s="445"/>
      <c r="AV19" s="445"/>
      <c r="AW19" s="445"/>
      <c r="AX19" s="446"/>
      <c r="AY19" s="175"/>
      <c r="AZ19" s="429" t="s">
        <v>365</v>
      </c>
      <c r="BA19" s="430"/>
      <c r="BB19" s="431"/>
      <c r="BC19" s="445" t="s">
        <v>395</v>
      </c>
      <c r="BD19" s="445"/>
      <c r="BE19" s="445"/>
      <c r="BF19" s="445"/>
      <c r="BG19" s="445"/>
      <c r="BH19" s="446"/>
      <c r="BI19" s="175"/>
      <c r="BJ19" s="429" t="s">
        <v>366</v>
      </c>
      <c r="BK19" s="430"/>
      <c r="BL19" s="431"/>
      <c r="BM19" s="445" t="s">
        <v>395</v>
      </c>
      <c r="BN19" s="445"/>
      <c r="BO19" s="445"/>
      <c r="BP19" s="445"/>
      <c r="BQ19" s="445"/>
      <c r="BR19" s="446"/>
    </row>
    <row r="20" spans="1:70" s="34" customFormat="1" ht="9" customHeight="1" x14ac:dyDescent="0.3">
      <c r="A20" s="178"/>
      <c r="B20" s="423" t="s">
        <v>603</v>
      </c>
      <c r="C20" s="424"/>
      <c r="D20" s="424"/>
      <c r="E20" s="424"/>
      <c r="F20" s="424"/>
      <c r="G20" s="424"/>
      <c r="H20" s="424"/>
      <c r="I20" s="424"/>
      <c r="J20" s="425"/>
      <c r="K20" s="180"/>
      <c r="L20" s="423" t="s">
        <v>603</v>
      </c>
      <c r="M20" s="424"/>
      <c r="N20" s="424"/>
      <c r="O20" s="424"/>
      <c r="P20" s="424"/>
      <c r="Q20" s="424"/>
      <c r="R20" s="424"/>
      <c r="S20" s="424"/>
      <c r="T20" s="425"/>
      <c r="U20" s="200"/>
      <c r="V20" s="423" t="s">
        <v>603</v>
      </c>
      <c r="W20" s="424"/>
      <c r="X20" s="424"/>
      <c r="Y20" s="424"/>
      <c r="Z20" s="424"/>
      <c r="AA20" s="424"/>
      <c r="AB20" s="424"/>
      <c r="AC20" s="424"/>
      <c r="AD20" s="425"/>
      <c r="AE20" s="180"/>
      <c r="AF20" s="423" t="s">
        <v>603</v>
      </c>
      <c r="AG20" s="424"/>
      <c r="AH20" s="424"/>
      <c r="AI20" s="424"/>
      <c r="AJ20" s="424"/>
      <c r="AK20" s="424"/>
      <c r="AL20" s="424"/>
      <c r="AM20" s="424"/>
      <c r="AN20" s="425"/>
      <c r="AO20" s="200"/>
      <c r="AP20" s="423" t="s">
        <v>603</v>
      </c>
      <c r="AQ20" s="424"/>
      <c r="AR20" s="424"/>
      <c r="AS20" s="424"/>
      <c r="AT20" s="424"/>
      <c r="AU20" s="424"/>
      <c r="AV20" s="424"/>
      <c r="AW20" s="424"/>
      <c r="AX20" s="425"/>
      <c r="AY20" s="180"/>
      <c r="AZ20" s="423" t="s">
        <v>603</v>
      </c>
      <c r="BA20" s="424"/>
      <c r="BB20" s="424"/>
      <c r="BC20" s="424"/>
      <c r="BD20" s="424"/>
      <c r="BE20" s="424"/>
      <c r="BF20" s="424"/>
      <c r="BG20" s="424"/>
      <c r="BH20" s="425"/>
      <c r="BI20" s="200"/>
      <c r="BJ20" s="423" t="s">
        <v>603</v>
      </c>
      <c r="BK20" s="424"/>
      <c r="BL20" s="424"/>
      <c r="BM20" s="424"/>
      <c r="BN20" s="424"/>
      <c r="BO20" s="424"/>
      <c r="BP20" s="424"/>
      <c r="BQ20" s="424"/>
      <c r="BR20" s="425"/>
    </row>
    <row r="21" spans="1:70" ht="9" customHeight="1" x14ac:dyDescent="0.3">
      <c r="A21" s="169"/>
      <c r="B21" s="176"/>
      <c r="C21" s="175"/>
      <c r="D21" s="175"/>
      <c r="E21" s="175"/>
      <c r="F21" s="175"/>
      <c r="G21" s="175"/>
      <c r="H21" s="175"/>
      <c r="I21" s="175"/>
      <c r="J21" s="177"/>
      <c r="K21" s="175"/>
      <c r="L21" s="176"/>
      <c r="M21" s="175"/>
      <c r="N21" s="175"/>
      <c r="O21" s="175"/>
      <c r="P21" s="175"/>
      <c r="Q21" s="175"/>
      <c r="R21" s="175"/>
      <c r="S21" s="175"/>
      <c r="T21" s="177"/>
      <c r="U21" s="182"/>
      <c r="V21" s="175"/>
      <c r="W21" s="175"/>
      <c r="X21" s="175"/>
      <c r="Y21" s="175"/>
      <c r="Z21" s="175"/>
      <c r="AA21" s="175"/>
      <c r="AB21" s="175"/>
      <c r="AC21" s="175"/>
      <c r="AD21" s="177"/>
      <c r="AE21" s="175"/>
      <c r="AF21" s="176"/>
      <c r="AG21" s="175"/>
      <c r="AH21" s="175"/>
      <c r="AI21" s="175"/>
      <c r="AJ21" s="175"/>
      <c r="AK21" s="175"/>
      <c r="AL21" s="175"/>
      <c r="AM21" s="175"/>
      <c r="AN21" s="177"/>
      <c r="AO21" s="182"/>
      <c r="AP21" s="175"/>
      <c r="AQ21" s="175"/>
      <c r="AR21" s="175"/>
      <c r="AS21" s="175"/>
      <c r="AT21" s="175"/>
      <c r="AU21" s="175"/>
      <c r="AV21" s="175"/>
      <c r="AW21" s="175"/>
      <c r="AX21" s="177"/>
      <c r="AY21" s="175"/>
      <c r="AZ21" s="176"/>
      <c r="BA21" s="175"/>
      <c r="BB21" s="175"/>
      <c r="BC21" s="175"/>
      <c r="BD21" s="175"/>
      <c r="BE21" s="175"/>
      <c r="BF21" s="175"/>
      <c r="BG21" s="175"/>
      <c r="BH21" s="177"/>
      <c r="BI21" s="182"/>
      <c r="BJ21" s="175"/>
      <c r="BK21" s="175"/>
      <c r="BL21" s="175"/>
      <c r="BM21" s="175"/>
      <c r="BN21" s="175"/>
      <c r="BO21" s="175"/>
      <c r="BP21" s="175"/>
      <c r="BQ21" s="175"/>
      <c r="BR21" s="177"/>
    </row>
    <row r="22" spans="1:70" ht="9" customHeight="1" x14ac:dyDescent="0.3">
      <c r="A22" s="169"/>
      <c r="B22" s="176"/>
      <c r="C22" s="175"/>
      <c r="D22" s="175"/>
      <c r="E22" s="175"/>
      <c r="F22" s="175"/>
      <c r="G22" s="175"/>
      <c r="H22" s="175"/>
      <c r="I22" s="175"/>
      <c r="J22" s="177"/>
      <c r="K22" s="175"/>
      <c r="L22" s="176"/>
      <c r="M22" s="175"/>
      <c r="N22" s="175"/>
      <c r="O22" s="175"/>
      <c r="P22" s="175"/>
      <c r="Q22" s="175"/>
      <c r="R22" s="175"/>
      <c r="S22" s="175"/>
      <c r="T22" s="177"/>
      <c r="U22" s="182"/>
      <c r="V22" s="175"/>
      <c r="W22" s="175"/>
      <c r="X22" s="175"/>
      <c r="Y22" s="175"/>
      <c r="Z22" s="175"/>
      <c r="AA22" s="175"/>
      <c r="AB22" s="175"/>
      <c r="AC22" s="175"/>
      <c r="AD22" s="177"/>
      <c r="AE22" s="175"/>
      <c r="AF22" s="176"/>
      <c r="AG22" s="175"/>
      <c r="AH22" s="175"/>
      <c r="AI22" s="175"/>
      <c r="AJ22" s="175"/>
      <c r="AK22" s="175"/>
      <c r="AL22" s="175"/>
      <c r="AM22" s="175"/>
      <c r="AN22" s="177"/>
      <c r="AO22" s="182"/>
      <c r="AP22" s="175"/>
      <c r="AQ22" s="175"/>
      <c r="AR22" s="175"/>
      <c r="AS22" s="175"/>
      <c r="AT22" s="175"/>
      <c r="AU22" s="175"/>
      <c r="AV22" s="175"/>
      <c r="AW22" s="175"/>
      <c r="AX22" s="177"/>
      <c r="AY22" s="175"/>
      <c r="AZ22" s="176"/>
      <c r="BA22" s="175"/>
      <c r="BB22" s="175"/>
      <c r="BC22" s="175"/>
      <c r="BD22" s="175"/>
      <c r="BE22" s="175"/>
      <c r="BF22" s="175"/>
      <c r="BG22" s="175"/>
      <c r="BH22" s="177"/>
      <c r="BI22" s="182"/>
      <c r="BJ22" s="175"/>
      <c r="BK22" s="175"/>
      <c r="BL22" s="175"/>
      <c r="BM22" s="175"/>
      <c r="BN22" s="175"/>
      <c r="BO22" s="175"/>
      <c r="BP22" s="175"/>
      <c r="BQ22" s="175"/>
      <c r="BR22" s="177"/>
    </row>
    <row r="23" spans="1:70" ht="9.75" customHeight="1" x14ac:dyDescent="0.3">
      <c r="A23" s="169"/>
      <c r="B23" s="176"/>
      <c r="C23" s="175"/>
      <c r="D23" s="175"/>
      <c r="E23" s="175"/>
      <c r="F23" s="175"/>
      <c r="G23" s="175"/>
      <c r="H23" s="175"/>
      <c r="I23" s="175"/>
      <c r="J23" s="177"/>
      <c r="K23" s="175"/>
      <c r="L23" s="176"/>
      <c r="M23" s="175"/>
      <c r="N23" s="175"/>
      <c r="O23" s="175"/>
      <c r="P23" s="175"/>
      <c r="Q23" s="175"/>
      <c r="R23" s="175"/>
      <c r="S23" s="175"/>
      <c r="T23" s="177"/>
      <c r="U23" s="182"/>
      <c r="V23" s="175"/>
      <c r="W23" s="175"/>
      <c r="X23" s="175"/>
      <c r="Y23" s="175"/>
      <c r="Z23" s="175"/>
      <c r="AA23" s="175"/>
      <c r="AB23" s="175"/>
      <c r="AC23" s="175"/>
      <c r="AD23" s="177"/>
      <c r="AE23" s="175"/>
      <c r="AF23" s="176"/>
      <c r="AG23" s="175"/>
      <c r="AH23" s="175"/>
      <c r="AI23" s="175"/>
      <c r="AJ23" s="175"/>
      <c r="AK23" s="175"/>
      <c r="AL23" s="175"/>
      <c r="AM23" s="175"/>
      <c r="AN23" s="177"/>
      <c r="AO23" s="182"/>
      <c r="AP23" s="175"/>
      <c r="AQ23" s="175"/>
      <c r="AR23" s="175"/>
      <c r="AS23" s="175"/>
      <c r="AT23" s="175"/>
      <c r="AU23" s="175"/>
      <c r="AV23" s="175"/>
      <c r="AW23" s="175"/>
      <c r="AX23" s="177"/>
      <c r="AY23" s="175"/>
      <c r="AZ23" s="176"/>
      <c r="BA23" s="175"/>
      <c r="BB23" s="175"/>
      <c r="BC23" s="175"/>
      <c r="BD23" s="175"/>
      <c r="BE23" s="175"/>
      <c r="BF23" s="175"/>
      <c r="BG23" s="175"/>
      <c r="BH23" s="177"/>
      <c r="BI23" s="182"/>
      <c r="BJ23" s="175"/>
      <c r="BK23" s="175"/>
      <c r="BL23" s="175"/>
      <c r="BM23" s="175"/>
      <c r="BN23" s="175"/>
      <c r="BO23" s="175"/>
      <c r="BP23" s="175"/>
      <c r="BQ23" s="175"/>
      <c r="BR23" s="177"/>
    </row>
    <row r="24" spans="1:70" s="41" customFormat="1" ht="9" customHeight="1" x14ac:dyDescent="0.3">
      <c r="A24" s="234"/>
      <c r="B24" s="205"/>
      <c r="C24" s="204"/>
      <c r="D24" s="204"/>
      <c r="E24" s="204"/>
      <c r="F24" s="204"/>
      <c r="G24" s="204"/>
      <c r="H24" s="204"/>
      <c r="I24" s="204"/>
      <c r="J24" s="206"/>
      <c r="K24" s="204"/>
      <c r="L24" s="205"/>
      <c r="M24" s="204"/>
      <c r="N24" s="204"/>
      <c r="O24" s="204"/>
      <c r="P24" s="204"/>
      <c r="Q24" s="204"/>
      <c r="R24" s="204"/>
      <c r="S24" s="204"/>
      <c r="T24" s="206"/>
      <c r="U24" s="207"/>
      <c r="V24" s="204"/>
      <c r="W24" s="204"/>
      <c r="X24" s="204"/>
      <c r="Y24" s="204"/>
      <c r="Z24" s="204"/>
      <c r="AA24" s="204"/>
      <c r="AB24" s="204"/>
      <c r="AC24" s="204"/>
      <c r="AD24" s="206"/>
      <c r="AE24" s="204"/>
      <c r="AF24" s="205"/>
      <c r="AG24" s="204"/>
      <c r="AH24" s="204"/>
      <c r="AI24" s="204"/>
      <c r="AJ24" s="204"/>
      <c r="AK24" s="204"/>
      <c r="AL24" s="204"/>
      <c r="AM24" s="204"/>
      <c r="AN24" s="206"/>
      <c r="AO24" s="207"/>
      <c r="AP24" s="204"/>
      <c r="AQ24" s="204"/>
      <c r="AR24" s="204"/>
      <c r="AS24" s="204"/>
      <c r="AT24" s="204"/>
      <c r="AU24" s="204"/>
      <c r="AV24" s="204"/>
      <c r="AW24" s="204"/>
      <c r="AX24" s="206"/>
      <c r="AY24" s="204"/>
      <c r="AZ24" s="205"/>
      <c r="BA24" s="204"/>
      <c r="BB24" s="204"/>
      <c r="BC24" s="204"/>
      <c r="BD24" s="204"/>
      <c r="BE24" s="204"/>
      <c r="BF24" s="204"/>
      <c r="BG24" s="204"/>
      <c r="BH24" s="206"/>
      <c r="BI24" s="182"/>
      <c r="BJ24" s="204"/>
      <c r="BK24" s="204"/>
      <c r="BL24" s="204"/>
      <c r="BM24" s="204"/>
      <c r="BN24" s="204"/>
      <c r="BO24" s="204"/>
      <c r="BP24" s="204"/>
      <c r="BQ24" s="204"/>
      <c r="BR24" s="206"/>
    </row>
    <row r="25" spans="1:70" s="41" customFormat="1" ht="9" customHeight="1" x14ac:dyDescent="0.3">
      <c r="A25" s="234"/>
      <c r="B25" s="205"/>
      <c r="C25" s="204"/>
      <c r="D25" s="204"/>
      <c r="E25" s="204"/>
      <c r="F25" s="204"/>
      <c r="G25" s="204"/>
      <c r="H25" s="204"/>
      <c r="I25" s="204"/>
      <c r="J25" s="206"/>
      <c r="K25" s="204"/>
      <c r="L25" s="205"/>
      <c r="M25" s="204"/>
      <c r="N25" s="204"/>
      <c r="O25" s="204"/>
      <c r="P25" s="204"/>
      <c r="Q25" s="204"/>
      <c r="R25" s="204"/>
      <c r="S25" s="204"/>
      <c r="T25" s="206"/>
      <c r="U25" s="207"/>
      <c r="V25" s="204"/>
      <c r="W25" s="204"/>
      <c r="X25" s="204"/>
      <c r="Y25" s="204"/>
      <c r="Z25" s="204"/>
      <c r="AA25" s="204"/>
      <c r="AB25" s="204"/>
      <c r="AC25" s="204"/>
      <c r="AD25" s="206"/>
      <c r="AE25" s="204"/>
      <c r="AF25" s="205"/>
      <c r="AG25" s="204"/>
      <c r="AH25" s="204"/>
      <c r="AI25" s="204"/>
      <c r="AJ25" s="204"/>
      <c r="AK25" s="204"/>
      <c r="AL25" s="204"/>
      <c r="AM25" s="204"/>
      <c r="AN25" s="206"/>
      <c r="AO25" s="207"/>
      <c r="AP25" s="204"/>
      <c r="AQ25" s="204"/>
      <c r="AR25" s="204"/>
      <c r="AS25" s="204"/>
      <c r="AT25" s="204"/>
      <c r="AU25" s="204"/>
      <c r="AV25" s="204"/>
      <c r="AW25" s="204"/>
      <c r="AX25" s="206"/>
      <c r="AY25" s="204"/>
      <c r="AZ25" s="205"/>
      <c r="BA25" s="204"/>
      <c r="BB25" s="204"/>
      <c r="BC25" s="204"/>
      <c r="BD25" s="204"/>
      <c r="BE25" s="204"/>
      <c r="BF25" s="204"/>
      <c r="BG25" s="204"/>
      <c r="BH25" s="206"/>
      <c r="BI25" s="182"/>
      <c r="BJ25" s="204"/>
      <c r="BK25" s="204"/>
      <c r="BL25" s="204"/>
      <c r="BM25" s="204"/>
      <c r="BN25" s="204"/>
      <c r="BO25" s="204"/>
      <c r="BP25" s="204"/>
      <c r="BQ25" s="204"/>
      <c r="BR25" s="206"/>
    </row>
    <row r="26" spans="1:70" s="41" customFormat="1" ht="9" customHeight="1" x14ac:dyDescent="0.3">
      <c r="A26" s="234"/>
      <c r="B26" s="205"/>
      <c r="C26" s="204"/>
      <c r="D26" s="204"/>
      <c r="E26" s="204"/>
      <c r="F26" s="204"/>
      <c r="G26" s="204"/>
      <c r="H26" s="204"/>
      <c r="I26" s="204"/>
      <c r="J26" s="206"/>
      <c r="K26" s="204"/>
      <c r="L26" s="205"/>
      <c r="M26" s="204"/>
      <c r="N26" s="204"/>
      <c r="O26" s="204"/>
      <c r="P26" s="204"/>
      <c r="Q26" s="204"/>
      <c r="R26" s="204"/>
      <c r="S26" s="204"/>
      <c r="T26" s="206"/>
      <c r="U26" s="207"/>
      <c r="V26" s="204"/>
      <c r="W26" s="204"/>
      <c r="X26" s="204"/>
      <c r="Y26" s="204"/>
      <c r="Z26" s="204"/>
      <c r="AA26" s="204"/>
      <c r="AB26" s="204"/>
      <c r="AC26" s="204"/>
      <c r="AD26" s="206"/>
      <c r="AE26" s="204"/>
      <c r="AF26" s="205"/>
      <c r="AG26" s="204"/>
      <c r="AH26" s="204"/>
      <c r="AI26" s="204"/>
      <c r="AJ26" s="204"/>
      <c r="AK26" s="204"/>
      <c r="AL26" s="204"/>
      <c r="AM26" s="204"/>
      <c r="AN26" s="206"/>
      <c r="AO26" s="207"/>
      <c r="AP26" s="204"/>
      <c r="AQ26" s="204"/>
      <c r="AR26" s="204"/>
      <c r="AS26" s="204"/>
      <c r="AT26" s="204"/>
      <c r="AU26" s="204"/>
      <c r="AV26" s="204"/>
      <c r="AW26" s="204"/>
      <c r="AX26" s="206"/>
      <c r="AY26" s="204"/>
      <c r="AZ26" s="205"/>
      <c r="BA26" s="204"/>
      <c r="BB26" s="204"/>
      <c r="BC26" s="204"/>
      <c r="BD26" s="204"/>
      <c r="BE26" s="204"/>
      <c r="BF26" s="204"/>
      <c r="BG26" s="204"/>
      <c r="BH26" s="206"/>
      <c r="BI26" s="182"/>
      <c r="BJ26" s="204"/>
      <c r="BK26" s="204"/>
      <c r="BL26" s="204"/>
      <c r="BM26" s="204"/>
      <c r="BN26" s="204"/>
      <c r="BO26" s="204"/>
      <c r="BP26" s="204"/>
      <c r="BQ26" s="204"/>
      <c r="BR26" s="206"/>
    </row>
    <row r="27" spans="1:70" s="41" customFormat="1" ht="9" customHeight="1" x14ac:dyDescent="0.3">
      <c r="A27" s="234"/>
      <c r="B27" s="205"/>
      <c r="C27" s="204"/>
      <c r="D27" s="204"/>
      <c r="E27" s="204"/>
      <c r="F27" s="204"/>
      <c r="G27" s="204"/>
      <c r="H27" s="204"/>
      <c r="I27" s="204"/>
      <c r="J27" s="206"/>
      <c r="K27" s="204"/>
      <c r="L27" s="205"/>
      <c r="M27" s="204"/>
      <c r="N27" s="204"/>
      <c r="O27" s="204"/>
      <c r="P27" s="204"/>
      <c r="Q27" s="204"/>
      <c r="R27" s="204"/>
      <c r="S27" s="204"/>
      <c r="T27" s="206"/>
      <c r="U27" s="207"/>
      <c r="V27" s="204"/>
      <c r="W27" s="204"/>
      <c r="X27" s="204"/>
      <c r="Y27" s="204"/>
      <c r="Z27" s="204"/>
      <c r="AA27" s="204"/>
      <c r="AB27" s="204"/>
      <c r="AC27" s="204"/>
      <c r="AD27" s="206"/>
      <c r="AE27" s="204"/>
      <c r="AF27" s="205"/>
      <c r="AG27" s="204"/>
      <c r="AH27" s="204"/>
      <c r="AI27" s="204"/>
      <c r="AJ27" s="204"/>
      <c r="AK27" s="204"/>
      <c r="AL27" s="204"/>
      <c r="AM27" s="204"/>
      <c r="AN27" s="206"/>
      <c r="AO27" s="207"/>
      <c r="AP27" s="204"/>
      <c r="AQ27" s="204"/>
      <c r="AR27" s="204"/>
      <c r="AS27" s="204"/>
      <c r="AT27" s="204"/>
      <c r="AU27" s="204"/>
      <c r="AV27" s="204"/>
      <c r="AW27" s="204"/>
      <c r="AX27" s="206"/>
      <c r="AY27" s="204"/>
      <c r="AZ27" s="205"/>
      <c r="BA27" s="204"/>
      <c r="BB27" s="204"/>
      <c r="BC27" s="204"/>
      <c r="BD27" s="204"/>
      <c r="BE27" s="204"/>
      <c r="BF27" s="204"/>
      <c r="BG27" s="204"/>
      <c r="BH27" s="206"/>
      <c r="BI27" s="182"/>
      <c r="BJ27" s="204"/>
      <c r="BK27" s="204"/>
      <c r="BL27" s="204"/>
      <c r="BM27" s="204"/>
      <c r="BN27" s="204"/>
      <c r="BO27" s="204"/>
      <c r="BP27" s="204"/>
      <c r="BQ27" s="204"/>
      <c r="BR27" s="206"/>
    </row>
    <row r="28" spans="1:70" s="41" customFormat="1" ht="9" customHeight="1" x14ac:dyDescent="0.3">
      <c r="A28" s="234"/>
      <c r="B28" s="205"/>
      <c r="C28" s="204"/>
      <c r="D28" s="204"/>
      <c r="E28" s="204"/>
      <c r="F28" s="204"/>
      <c r="G28" s="204"/>
      <c r="H28" s="204"/>
      <c r="I28" s="204"/>
      <c r="J28" s="206"/>
      <c r="K28" s="204"/>
      <c r="L28" s="205"/>
      <c r="M28" s="204"/>
      <c r="N28" s="204"/>
      <c r="O28" s="204"/>
      <c r="P28" s="204"/>
      <c r="Q28" s="204"/>
      <c r="R28" s="204"/>
      <c r="S28" s="204"/>
      <c r="T28" s="206"/>
      <c r="U28" s="207"/>
      <c r="V28" s="204"/>
      <c r="W28" s="204"/>
      <c r="X28" s="204"/>
      <c r="Y28" s="204"/>
      <c r="Z28" s="204"/>
      <c r="AA28" s="204"/>
      <c r="AB28" s="204"/>
      <c r="AC28" s="204"/>
      <c r="AD28" s="206"/>
      <c r="AE28" s="204"/>
      <c r="AF28" s="205"/>
      <c r="AG28" s="204"/>
      <c r="AH28" s="204"/>
      <c r="AI28" s="204"/>
      <c r="AJ28" s="204"/>
      <c r="AK28" s="204"/>
      <c r="AL28" s="204"/>
      <c r="AM28" s="204"/>
      <c r="AN28" s="206"/>
      <c r="AO28" s="207"/>
      <c r="AP28" s="204"/>
      <c r="AQ28" s="204"/>
      <c r="AR28" s="204"/>
      <c r="AS28" s="204"/>
      <c r="AT28" s="204"/>
      <c r="AU28" s="204"/>
      <c r="AV28" s="204"/>
      <c r="AW28" s="204"/>
      <c r="AX28" s="206"/>
      <c r="AY28" s="204"/>
      <c r="AZ28" s="205"/>
      <c r="BA28" s="204"/>
      <c r="BB28" s="204"/>
      <c r="BC28" s="204"/>
      <c r="BD28" s="204"/>
      <c r="BE28" s="204"/>
      <c r="BF28" s="204"/>
      <c r="BG28" s="204"/>
      <c r="BH28" s="206"/>
      <c r="BI28" s="182"/>
      <c r="BJ28" s="204"/>
      <c r="BK28" s="204"/>
      <c r="BL28" s="204"/>
      <c r="BM28" s="204"/>
      <c r="BN28" s="204"/>
      <c r="BO28" s="204"/>
      <c r="BP28" s="204"/>
      <c r="BQ28" s="204"/>
      <c r="BR28" s="206"/>
    </row>
    <row r="29" spans="1:70" s="41" customFormat="1" ht="9" customHeight="1" x14ac:dyDescent="0.3">
      <c r="A29" s="234"/>
      <c r="B29" s="205"/>
      <c r="C29" s="204"/>
      <c r="D29" s="204"/>
      <c r="E29" s="204"/>
      <c r="F29" s="204"/>
      <c r="G29" s="477"/>
      <c r="H29" s="477"/>
      <c r="I29" s="477"/>
      <c r="J29" s="478"/>
      <c r="K29" s="204"/>
      <c r="L29" s="205"/>
      <c r="M29" s="204"/>
      <c r="N29" s="204"/>
      <c r="O29" s="204"/>
      <c r="P29" s="204"/>
      <c r="Q29" s="223"/>
      <c r="R29" s="223"/>
      <c r="S29" s="223"/>
      <c r="T29" s="224"/>
      <c r="U29" s="207"/>
      <c r="V29" s="204"/>
      <c r="W29" s="204"/>
      <c r="X29" s="204"/>
      <c r="Y29" s="204"/>
      <c r="Z29" s="204"/>
      <c r="AA29" s="204"/>
      <c r="AB29" s="204"/>
      <c r="AC29" s="204"/>
      <c r="AD29" s="206"/>
      <c r="AE29" s="204"/>
      <c r="AF29" s="205"/>
      <c r="AG29" s="204"/>
      <c r="AH29" s="204"/>
      <c r="AI29" s="204"/>
      <c r="AJ29" s="204"/>
      <c r="AK29" s="477"/>
      <c r="AL29" s="477"/>
      <c r="AM29" s="477"/>
      <c r="AN29" s="478"/>
      <c r="AO29" s="207"/>
      <c r="AP29" s="204"/>
      <c r="AQ29" s="204"/>
      <c r="AR29" s="204"/>
      <c r="AS29" s="204"/>
      <c r="AT29" s="204"/>
      <c r="AU29" s="204"/>
      <c r="AV29" s="204"/>
      <c r="AW29" s="204"/>
      <c r="AX29" s="206"/>
      <c r="AY29" s="204"/>
      <c r="AZ29" s="205"/>
      <c r="BA29" s="204"/>
      <c r="BB29" s="204"/>
      <c r="BC29" s="204"/>
      <c r="BD29" s="204"/>
      <c r="BE29" s="204"/>
      <c r="BF29" s="204"/>
      <c r="BG29" s="204"/>
      <c r="BH29" s="206"/>
      <c r="BI29" s="182"/>
      <c r="BJ29" s="204"/>
      <c r="BK29" s="204"/>
      <c r="BL29" s="204"/>
      <c r="BM29" s="204"/>
      <c r="BN29" s="204"/>
      <c r="BO29" s="204"/>
      <c r="BP29" s="204"/>
      <c r="BQ29" s="204"/>
      <c r="BR29" s="206"/>
    </row>
    <row r="30" spans="1:70" s="69" customFormat="1" ht="13.05" customHeight="1" x14ac:dyDescent="0.3">
      <c r="A30" s="215"/>
      <c r="B30" s="432" t="s">
        <v>408</v>
      </c>
      <c r="C30" s="432"/>
      <c r="D30" s="432"/>
      <c r="E30" s="432"/>
      <c r="F30" s="432"/>
      <c r="G30" s="433">
        <f>CEILING(2177*B3,1)</f>
        <v>3048</v>
      </c>
      <c r="H30" s="433"/>
      <c r="I30" s="433"/>
      <c r="J30" s="433"/>
      <c r="K30" s="190"/>
      <c r="L30" s="432" t="s">
        <v>408</v>
      </c>
      <c r="M30" s="432"/>
      <c r="N30" s="432"/>
      <c r="O30" s="432"/>
      <c r="P30" s="432"/>
      <c r="Q30" s="433">
        <f>CEILING(2385*B3,1)</f>
        <v>3339</v>
      </c>
      <c r="R30" s="433"/>
      <c r="S30" s="433"/>
      <c r="T30" s="433"/>
      <c r="U30" s="190"/>
      <c r="V30" s="432" t="s">
        <v>408</v>
      </c>
      <c r="W30" s="432"/>
      <c r="X30" s="432"/>
      <c r="Y30" s="432"/>
      <c r="Z30" s="432"/>
      <c r="AA30" s="433">
        <f>CEILING(2497*B3,1)</f>
        <v>3496</v>
      </c>
      <c r="AB30" s="433"/>
      <c r="AC30" s="433"/>
      <c r="AD30" s="433"/>
      <c r="AE30" s="190"/>
      <c r="AF30" s="432" t="s">
        <v>408</v>
      </c>
      <c r="AG30" s="432"/>
      <c r="AH30" s="432"/>
      <c r="AI30" s="432"/>
      <c r="AJ30" s="432"/>
      <c r="AK30" s="433">
        <f>CEILING(2593*B3,1)</f>
        <v>3631</v>
      </c>
      <c r="AL30" s="433"/>
      <c r="AM30" s="433"/>
      <c r="AN30" s="433"/>
      <c r="AO30" s="190"/>
      <c r="AP30" s="432" t="s">
        <v>408</v>
      </c>
      <c r="AQ30" s="432"/>
      <c r="AR30" s="432"/>
      <c r="AS30" s="432"/>
      <c r="AT30" s="432"/>
      <c r="AU30" s="433">
        <f>CEILING(2325*B3,1)</f>
        <v>3255</v>
      </c>
      <c r="AV30" s="433"/>
      <c r="AW30" s="433"/>
      <c r="AX30" s="433"/>
      <c r="AY30" s="190"/>
      <c r="AZ30" s="432" t="s">
        <v>408</v>
      </c>
      <c r="BA30" s="432"/>
      <c r="BB30" s="432"/>
      <c r="BC30" s="432"/>
      <c r="BD30" s="432"/>
      <c r="BE30" s="433">
        <f>CEILING(2694*B3,1)</f>
        <v>3772</v>
      </c>
      <c r="BF30" s="433"/>
      <c r="BG30" s="433"/>
      <c r="BH30" s="433"/>
      <c r="BI30" s="183"/>
      <c r="BJ30" s="432" t="s">
        <v>408</v>
      </c>
      <c r="BK30" s="432"/>
      <c r="BL30" s="432"/>
      <c r="BM30" s="432"/>
      <c r="BN30" s="432"/>
      <c r="BO30" s="433">
        <f>CEILING(2990*B3,1)</f>
        <v>4186</v>
      </c>
      <c r="BP30" s="433"/>
      <c r="BQ30" s="433"/>
      <c r="BR30" s="433"/>
    </row>
    <row r="31" spans="1:70" s="69" customFormat="1" ht="12" customHeight="1" x14ac:dyDescent="0.3">
      <c r="A31" s="215"/>
      <c r="B31" s="432" t="s">
        <v>409</v>
      </c>
      <c r="C31" s="432"/>
      <c r="D31" s="432"/>
      <c r="E31" s="432"/>
      <c r="F31" s="432"/>
      <c r="G31" s="433">
        <f>CEILING(2570*B3,1)</f>
        <v>3598</v>
      </c>
      <c r="H31" s="433"/>
      <c r="I31" s="433"/>
      <c r="J31" s="433"/>
      <c r="K31" s="190"/>
      <c r="L31" s="432" t="s">
        <v>409</v>
      </c>
      <c r="M31" s="432"/>
      <c r="N31" s="432"/>
      <c r="O31" s="432"/>
      <c r="P31" s="432"/>
      <c r="Q31" s="433">
        <f>CEILING(2682*B3,1)</f>
        <v>3755</v>
      </c>
      <c r="R31" s="433"/>
      <c r="S31" s="433"/>
      <c r="T31" s="433"/>
      <c r="U31" s="190"/>
      <c r="V31" s="432" t="s">
        <v>409</v>
      </c>
      <c r="W31" s="432"/>
      <c r="X31" s="432"/>
      <c r="Y31" s="432"/>
      <c r="Z31" s="432"/>
      <c r="AA31" s="433">
        <f>CEILING(2741*B3,1)</f>
        <v>3838</v>
      </c>
      <c r="AB31" s="433"/>
      <c r="AC31" s="433"/>
      <c r="AD31" s="433"/>
      <c r="AE31" s="190"/>
      <c r="AF31" s="432" t="s">
        <v>409</v>
      </c>
      <c r="AG31" s="432"/>
      <c r="AH31" s="432"/>
      <c r="AI31" s="432"/>
      <c r="AJ31" s="432"/>
      <c r="AK31" s="433">
        <f>CEILING(2853*B3,1)</f>
        <v>3995</v>
      </c>
      <c r="AL31" s="433"/>
      <c r="AM31" s="433"/>
      <c r="AN31" s="433"/>
      <c r="AO31" s="190"/>
      <c r="AP31" s="432" t="s">
        <v>409</v>
      </c>
      <c r="AQ31" s="432"/>
      <c r="AR31" s="432"/>
      <c r="AS31" s="432"/>
      <c r="AT31" s="432"/>
      <c r="AU31" s="433">
        <f>CEILING(2779*B3,1)</f>
        <v>3891</v>
      </c>
      <c r="AV31" s="433"/>
      <c r="AW31" s="433"/>
      <c r="AX31" s="433"/>
      <c r="AY31" s="190"/>
      <c r="AZ31" s="432" t="s">
        <v>409</v>
      </c>
      <c r="BA31" s="432"/>
      <c r="BB31" s="432"/>
      <c r="BC31" s="432"/>
      <c r="BD31" s="432"/>
      <c r="BE31" s="433">
        <f>CEILING(3236*B3,1)</f>
        <v>4531</v>
      </c>
      <c r="BF31" s="433"/>
      <c r="BG31" s="433"/>
      <c r="BH31" s="433"/>
      <c r="BI31" s="190"/>
      <c r="BJ31" s="432" t="s">
        <v>409</v>
      </c>
      <c r="BK31" s="432"/>
      <c r="BL31" s="432"/>
      <c r="BM31" s="432"/>
      <c r="BN31" s="432"/>
      <c r="BO31" s="433">
        <f>CEILING(3588*B3,1)</f>
        <v>5024</v>
      </c>
      <c r="BP31" s="433"/>
      <c r="BQ31" s="433"/>
      <c r="BR31" s="433"/>
    </row>
    <row r="32" spans="1:70" ht="1.5" customHeight="1" x14ac:dyDescent="0.3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216"/>
    </row>
    <row r="33" spans="1:70" s="41" customFormat="1" ht="9" customHeight="1" x14ac:dyDescent="0.3">
      <c r="A33" s="203"/>
      <c r="B33" s="429" t="s">
        <v>367</v>
      </c>
      <c r="C33" s="430"/>
      <c r="D33" s="431"/>
      <c r="E33" s="445" t="s">
        <v>395</v>
      </c>
      <c r="F33" s="445"/>
      <c r="G33" s="445"/>
      <c r="H33" s="445"/>
      <c r="I33" s="445"/>
      <c r="J33" s="446"/>
      <c r="K33" s="204"/>
      <c r="L33" s="429" t="s">
        <v>368</v>
      </c>
      <c r="M33" s="430"/>
      <c r="N33" s="431"/>
      <c r="O33" s="445" t="s">
        <v>395</v>
      </c>
      <c r="P33" s="445"/>
      <c r="Q33" s="445"/>
      <c r="R33" s="445"/>
      <c r="S33" s="445"/>
      <c r="T33" s="446"/>
      <c r="U33" s="204"/>
      <c r="V33" s="429" t="s">
        <v>369</v>
      </c>
      <c r="W33" s="430"/>
      <c r="X33" s="431"/>
      <c r="Y33" s="445" t="s">
        <v>331</v>
      </c>
      <c r="Z33" s="445"/>
      <c r="AA33" s="445"/>
      <c r="AB33" s="445"/>
      <c r="AC33" s="445"/>
      <c r="AD33" s="446"/>
      <c r="AE33" s="204"/>
      <c r="AF33" s="429" t="s">
        <v>370</v>
      </c>
      <c r="AG33" s="430"/>
      <c r="AH33" s="431"/>
      <c r="AI33" s="445" t="s">
        <v>331</v>
      </c>
      <c r="AJ33" s="445"/>
      <c r="AK33" s="445"/>
      <c r="AL33" s="445"/>
      <c r="AM33" s="445"/>
      <c r="AN33" s="446"/>
      <c r="AO33" s="204"/>
      <c r="AP33" s="429" t="s">
        <v>371</v>
      </c>
      <c r="AQ33" s="430"/>
      <c r="AR33" s="431"/>
      <c r="AS33" s="445" t="s">
        <v>331</v>
      </c>
      <c r="AT33" s="445"/>
      <c r="AU33" s="445"/>
      <c r="AV33" s="445"/>
      <c r="AW33" s="445"/>
      <c r="AX33" s="446"/>
      <c r="AY33" s="206"/>
      <c r="AZ33" s="429" t="s">
        <v>372</v>
      </c>
      <c r="BA33" s="430"/>
      <c r="BB33" s="431"/>
      <c r="BC33" s="445" t="s">
        <v>331</v>
      </c>
      <c r="BD33" s="445"/>
      <c r="BE33" s="445"/>
      <c r="BF33" s="445"/>
      <c r="BG33" s="445"/>
      <c r="BH33" s="446"/>
      <c r="BI33" s="204"/>
      <c r="BJ33" s="429" t="s">
        <v>373</v>
      </c>
      <c r="BK33" s="430"/>
      <c r="BL33" s="431"/>
      <c r="BM33" s="445" t="s">
        <v>331</v>
      </c>
      <c r="BN33" s="445"/>
      <c r="BO33" s="445"/>
      <c r="BP33" s="445"/>
      <c r="BQ33" s="445"/>
      <c r="BR33" s="446"/>
    </row>
    <row r="34" spans="1:70" s="34" customFormat="1" ht="9" customHeight="1" x14ac:dyDescent="0.3">
      <c r="A34" s="178"/>
      <c r="B34" s="423" t="s">
        <v>603</v>
      </c>
      <c r="C34" s="424"/>
      <c r="D34" s="424"/>
      <c r="E34" s="424"/>
      <c r="F34" s="424"/>
      <c r="G34" s="424"/>
      <c r="H34" s="424"/>
      <c r="I34" s="424"/>
      <c r="J34" s="425"/>
      <c r="K34" s="180"/>
      <c r="L34" s="423" t="s">
        <v>603</v>
      </c>
      <c r="M34" s="424"/>
      <c r="N34" s="424"/>
      <c r="O34" s="424"/>
      <c r="P34" s="424"/>
      <c r="Q34" s="424"/>
      <c r="R34" s="424"/>
      <c r="S34" s="424"/>
      <c r="T34" s="425"/>
      <c r="U34" s="180"/>
      <c r="V34" s="232"/>
      <c r="W34" s="223"/>
      <c r="X34" s="223"/>
      <c r="Y34" s="223"/>
      <c r="Z34" s="223"/>
      <c r="AA34" s="223"/>
      <c r="AB34" s="223"/>
      <c r="AC34" s="223"/>
      <c r="AD34" s="224"/>
      <c r="AE34" s="180"/>
      <c r="AF34" s="232"/>
      <c r="AG34" s="223"/>
      <c r="AH34" s="223"/>
      <c r="AI34" s="223"/>
      <c r="AJ34" s="223"/>
      <c r="AK34" s="223"/>
      <c r="AL34" s="223"/>
      <c r="AM34" s="223"/>
      <c r="AN34" s="224"/>
      <c r="AO34" s="180"/>
      <c r="AP34" s="232"/>
      <c r="AQ34" s="223"/>
      <c r="AR34" s="223"/>
      <c r="AS34" s="223"/>
      <c r="AT34" s="223"/>
      <c r="AU34" s="223"/>
      <c r="AV34" s="223"/>
      <c r="AW34" s="223"/>
      <c r="AX34" s="224"/>
      <c r="AY34" s="181"/>
      <c r="AZ34" s="232"/>
      <c r="BA34" s="223"/>
      <c r="BB34" s="223"/>
      <c r="BC34" s="223"/>
      <c r="BD34" s="223"/>
      <c r="BE34" s="223"/>
      <c r="BF34" s="223"/>
      <c r="BG34" s="223"/>
      <c r="BH34" s="224"/>
      <c r="BI34" s="180"/>
      <c r="BJ34" s="232"/>
      <c r="BK34" s="223"/>
      <c r="BL34" s="223"/>
      <c r="BM34" s="223"/>
      <c r="BN34" s="223"/>
      <c r="BO34" s="223"/>
      <c r="BP34" s="223"/>
      <c r="BQ34" s="223"/>
      <c r="BR34" s="224"/>
    </row>
    <row r="35" spans="1:70" ht="9" customHeight="1" x14ac:dyDescent="0.3">
      <c r="B35" s="176"/>
      <c r="C35" s="175"/>
      <c r="D35" s="175"/>
      <c r="E35" s="175"/>
      <c r="F35" s="175"/>
      <c r="G35" s="175"/>
      <c r="H35" s="175"/>
      <c r="I35" s="175"/>
      <c r="J35" s="177"/>
      <c r="K35" s="175"/>
      <c r="L35" s="176"/>
      <c r="M35" s="175"/>
      <c r="N35" s="175"/>
      <c r="O35" s="175"/>
      <c r="P35" s="175"/>
      <c r="Q35" s="175"/>
      <c r="R35" s="175"/>
      <c r="S35" s="175"/>
      <c r="T35" s="177"/>
      <c r="U35" s="175"/>
      <c r="V35" s="179"/>
      <c r="W35" s="180"/>
      <c r="X35" s="180"/>
      <c r="Y35" s="180"/>
      <c r="Z35" s="180"/>
      <c r="AA35" s="180"/>
      <c r="AB35" s="180"/>
      <c r="AC35" s="180"/>
      <c r="AD35" s="181"/>
      <c r="AE35" s="175"/>
      <c r="AF35" s="179"/>
      <c r="AG35" s="180"/>
      <c r="AH35" s="180"/>
      <c r="AI35" s="180"/>
      <c r="AJ35" s="180"/>
      <c r="AK35" s="180"/>
      <c r="AL35" s="180"/>
      <c r="AM35" s="180"/>
      <c r="AN35" s="181"/>
      <c r="AO35" s="177"/>
      <c r="AP35" s="179"/>
      <c r="AQ35" s="180"/>
      <c r="AR35" s="180"/>
      <c r="AS35" s="180"/>
      <c r="AT35" s="180"/>
      <c r="AU35" s="180"/>
      <c r="AV35" s="180"/>
      <c r="AW35" s="180"/>
      <c r="AX35" s="181"/>
      <c r="AY35" s="177"/>
      <c r="AZ35" s="179"/>
      <c r="BA35" s="180"/>
      <c r="BB35" s="180"/>
      <c r="BC35" s="180"/>
      <c r="BD35" s="180"/>
      <c r="BE35" s="180"/>
      <c r="BF35" s="180"/>
      <c r="BG35" s="180"/>
      <c r="BH35" s="181"/>
      <c r="BI35" s="175"/>
      <c r="BJ35" s="179"/>
      <c r="BK35" s="180"/>
      <c r="BL35" s="180"/>
      <c r="BM35" s="180"/>
      <c r="BN35" s="180"/>
      <c r="BO35" s="180"/>
      <c r="BP35" s="180"/>
      <c r="BQ35" s="180"/>
      <c r="BR35" s="181"/>
    </row>
    <row r="36" spans="1:70" ht="9" customHeight="1" x14ac:dyDescent="0.3">
      <c r="B36" s="176"/>
      <c r="C36" s="175"/>
      <c r="D36" s="175"/>
      <c r="E36" s="175"/>
      <c r="F36" s="175"/>
      <c r="G36" s="175"/>
      <c r="H36" s="175"/>
      <c r="I36" s="175"/>
      <c r="J36" s="177"/>
      <c r="K36" s="175"/>
      <c r="L36" s="176"/>
      <c r="M36" s="175"/>
      <c r="N36" s="175"/>
      <c r="O36" s="175"/>
      <c r="P36" s="175"/>
      <c r="Q36" s="175"/>
      <c r="R36" s="175"/>
      <c r="S36" s="175"/>
      <c r="T36" s="177"/>
      <c r="U36" s="175"/>
      <c r="V36" s="179"/>
      <c r="W36" s="180"/>
      <c r="X36" s="180"/>
      <c r="Y36" s="180"/>
      <c r="Z36" s="180"/>
      <c r="AA36" s="180"/>
      <c r="AB36" s="180"/>
      <c r="AC36" s="180"/>
      <c r="AD36" s="181"/>
      <c r="AE36" s="175"/>
      <c r="AF36" s="179"/>
      <c r="AG36" s="180"/>
      <c r="AH36" s="180"/>
      <c r="AI36" s="180"/>
      <c r="AJ36" s="180"/>
      <c r="AK36" s="180"/>
      <c r="AL36" s="180"/>
      <c r="AM36" s="180"/>
      <c r="AN36" s="181"/>
      <c r="AO36" s="177"/>
      <c r="AP36" s="179"/>
      <c r="AQ36" s="180"/>
      <c r="AR36" s="180"/>
      <c r="AS36" s="180"/>
      <c r="AT36" s="180"/>
      <c r="AU36" s="180"/>
      <c r="AV36" s="180"/>
      <c r="AW36" s="180"/>
      <c r="AX36" s="181"/>
      <c r="AY36" s="177"/>
      <c r="AZ36" s="179"/>
      <c r="BA36" s="180"/>
      <c r="BB36" s="180"/>
      <c r="BC36" s="180"/>
      <c r="BD36" s="180"/>
      <c r="BE36" s="180"/>
      <c r="BF36" s="180"/>
      <c r="BG36" s="180"/>
      <c r="BH36" s="181"/>
      <c r="BI36" s="175"/>
      <c r="BJ36" s="179"/>
      <c r="BK36" s="180"/>
      <c r="BL36" s="180"/>
      <c r="BM36" s="180"/>
      <c r="BN36" s="180"/>
      <c r="BO36" s="180"/>
      <c r="BP36" s="180"/>
      <c r="BQ36" s="180"/>
      <c r="BR36" s="181"/>
    </row>
    <row r="37" spans="1:70" ht="9.75" customHeight="1" x14ac:dyDescent="0.3">
      <c r="B37" s="176"/>
      <c r="C37" s="175"/>
      <c r="D37" s="175"/>
      <c r="E37" s="175"/>
      <c r="F37" s="175"/>
      <c r="G37" s="175"/>
      <c r="H37" s="175"/>
      <c r="I37" s="175"/>
      <c r="J37" s="177"/>
      <c r="K37" s="175"/>
      <c r="L37" s="176"/>
      <c r="M37" s="175"/>
      <c r="N37" s="175"/>
      <c r="O37" s="175"/>
      <c r="P37" s="175"/>
      <c r="Q37" s="175"/>
      <c r="R37" s="175"/>
      <c r="S37" s="175"/>
      <c r="T37" s="177"/>
      <c r="U37" s="175"/>
      <c r="V37" s="176"/>
      <c r="W37" s="175"/>
      <c r="X37" s="175"/>
      <c r="Y37" s="175"/>
      <c r="Z37" s="175"/>
      <c r="AA37" s="175"/>
      <c r="AB37" s="175"/>
      <c r="AC37" s="175"/>
      <c r="AD37" s="177"/>
      <c r="AE37" s="175"/>
      <c r="AF37" s="176"/>
      <c r="AG37" s="175"/>
      <c r="AH37" s="175"/>
      <c r="AI37" s="175"/>
      <c r="AJ37" s="175"/>
      <c r="AK37" s="175"/>
      <c r="AL37" s="175"/>
      <c r="AM37" s="175"/>
      <c r="AN37" s="177"/>
      <c r="AO37" s="177"/>
      <c r="AP37" s="176"/>
      <c r="AQ37" s="175"/>
      <c r="AR37" s="175"/>
      <c r="AS37" s="175"/>
      <c r="AT37" s="175"/>
      <c r="AU37" s="175"/>
      <c r="AV37" s="175"/>
      <c r="AW37" s="175"/>
      <c r="AX37" s="177"/>
      <c r="AY37" s="177"/>
      <c r="AZ37" s="176"/>
      <c r="BA37" s="175"/>
      <c r="BB37" s="175"/>
      <c r="BC37" s="175"/>
      <c r="BD37" s="175"/>
      <c r="BE37" s="175"/>
      <c r="BF37" s="175"/>
      <c r="BG37" s="175"/>
      <c r="BH37" s="177"/>
      <c r="BI37" s="175"/>
      <c r="BJ37" s="176"/>
      <c r="BK37" s="175"/>
      <c r="BL37" s="175"/>
      <c r="BM37" s="175"/>
      <c r="BN37" s="175"/>
      <c r="BO37" s="175"/>
      <c r="BP37" s="175"/>
      <c r="BQ37" s="175"/>
      <c r="BR37" s="177"/>
    </row>
    <row r="38" spans="1:70" s="41" customFormat="1" ht="9" customHeight="1" x14ac:dyDescent="0.3">
      <c r="A38" s="203"/>
      <c r="B38" s="205"/>
      <c r="C38" s="204"/>
      <c r="D38" s="204"/>
      <c r="E38" s="204"/>
      <c r="F38" s="204"/>
      <c r="G38" s="204"/>
      <c r="H38" s="204"/>
      <c r="I38" s="204"/>
      <c r="J38" s="206"/>
      <c r="K38" s="204"/>
      <c r="L38" s="205"/>
      <c r="M38" s="204"/>
      <c r="N38" s="204"/>
      <c r="O38" s="204"/>
      <c r="P38" s="204"/>
      <c r="Q38" s="204"/>
      <c r="R38" s="204"/>
      <c r="S38" s="204"/>
      <c r="T38" s="206"/>
      <c r="U38" s="182"/>
      <c r="V38" s="205"/>
      <c r="W38" s="204"/>
      <c r="X38" s="204"/>
      <c r="Y38" s="204"/>
      <c r="Z38" s="204"/>
      <c r="AA38" s="204"/>
      <c r="AB38" s="204"/>
      <c r="AC38" s="204"/>
      <c r="AD38" s="206"/>
      <c r="AE38" s="204"/>
      <c r="AF38" s="205"/>
      <c r="AG38" s="204"/>
      <c r="AH38" s="204"/>
      <c r="AI38" s="204"/>
      <c r="AJ38" s="204"/>
      <c r="AK38" s="204"/>
      <c r="AL38" s="204"/>
      <c r="AM38" s="204"/>
      <c r="AN38" s="206"/>
      <c r="AO38" s="206"/>
      <c r="AP38" s="205"/>
      <c r="AQ38" s="204"/>
      <c r="AR38" s="204"/>
      <c r="AS38" s="204"/>
      <c r="AT38" s="204"/>
      <c r="AU38" s="204"/>
      <c r="AV38" s="204"/>
      <c r="AW38" s="204"/>
      <c r="AX38" s="206"/>
      <c r="AY38" s="206"/>
      <c r="AZ38" s="205"/>
      <c r="BA38" s="204"/>
      <c r="BB38" s="204"/>
      <c r="BC38" s="204"/>
      <c r="BD38" s="204"/>
      <c r="BE38" s="204"/>
      <c r="BF38" s="204"/>
      <c r="BG38" s="204"/>
      <c r="BH38" s="206"/>
      <c r="BI38" s="204"/>
      <c r="BJ38" s="205"/>
      <c r="BK38" s="204"/>
      <c r="BL38" s="204"/>
      <c r="BM38" s="204"/>
      <c r="BN38" s="204"/>
      <c r="BO38" s="204"/>
      <c r="BP38" s="204"/>
      <c r="BQ38" s="204"/>
      <c r="BR38" s="206"/>
    </row>
    <row r="39" spans="1:70" s="41" customFormat="1" ht="9" customHeight="1" x14ac:dyDescent="0.3">
      <c r="A39" s="203"/>
      <c r="B39" s="176"/>
      <c r="C39" s="175"/>
      <c r="D39" s="175"/>
      <c r="E39" s="175"/>
      <c r="F39" s="175"/>
      <c r="G39" s="175"/>
      <c r="H39" s="175"/>
      <c r="I39" s="175"/>
      <c r="J39" s="177"/>
      <c r="K39" s="204"/>
      <c r="L39" s="205"/>
      <c r="M39" s="204"/>
      <c r="N39" s="204"/>
      <c r="O39" s="204"/>
      <c r="P39" s="204"/>
      <c r="Q39" s="204"/>
      <c r="R39" s="204"/>
      <c r="S39" s="204"/>
      <c r="T39" s="206"/>
      <c r="U39" s="182"/>
      <c r="V39" s="205"/>
      <c r="W39" s="204"/>
      <c r="X39" s="204"/>
      <c r="Y39" s="204"/>
      <c r="Z39" s="204"/>
      <c r="AA39" s="204"/>
      <c r="AB39" s="204"/>
      <c r="AC39" s="204"/>
      <c r="AD39" s="206"/>
      <c r="AE39" s="204"/>
      <c r="AF39" s="205"/>
      <c r="AG39" s="204"/>
      <c r="AH39" s="204"/>
      <c r="AI39" s="204"/>
      <c r="AJ39" s="204"/>
      <c r="AK39" s="204"/>
      <c r="AL39" s="204"/>
      <c r="AM39" s="204"/>
      <c r="AN39" s="206"/>
      <c r="AO39" s="206"/>
      <c r="AP39" s="205"/>
      <c r="AQ39" s="204"/>
      <c r="AR39" s="204"/>
      <c r="AS39" s="204"/>
      <c r="AT39" s="204"/>
      <c r="AU39" s="204"/>
      <c r="AV39" s="204"/>
      <c r="AW39" s="204"/>
      <c r="AX39" s="206"/>
      <c r="AY39" s="206"/>
      <c r="AZ39" s="205"/>
      <c r="BA39" s="204"/>
      <c r="BB39" s="204"/>
      <c r="BC39" s="204"/>
      <c r="BD39" s="204"/>
      <c r="BE39" s="204"/>
      <c r="BF39" s="204"/>
      <c r="BG39" s="204"/>
      <c r="BH39" s="206"/>
      <c r="BI39" s="204"/>
      <c r="BJ39" s="205"/>
      <c r="BK39" s="204"/>
      <c r="BL39" s="204"/>
      <c r="BM39" s="204"/>
      <c r="BN39" s="204"/>
      <c r="BO39" s="204"/>
      <c r="BP39" s="204"/>
      <c r="BQ39" s="204"/>
      <c r="BR39" s="206"/>
    </row>
    <row r="40" spans="1:70" s="41" customFormat="1" ht="9" customHeight="1" x14ac:dyDescent="0.3">
      <c r="A40" s="203"/>
      <c r="B40" s="176"/>
      <c r="C40" s="175"/>
      <c r="D40" s="175"/>
      <c r="E40" s="175"/>
      <c r="F40" s="175"/>
      <c r="G40" s="175"/>
      <c r="H40" s="175"/>
      <c r="I40" s="175"/>
      <c r="J40" s="177"/>
      <c r="K40" s="204"/>
      <c r="L40" s="205"/>
      <c r="M40" s="204"/>
      <c r="N40" s="204"/>
      <c r="O40" s="204"/>
      <c r="P40" s="204"/>
      <c r="Q40" s="204"/>
      <c r="R40" s="204"/>
      <c r="S40" s="204"/>
      <c r="T40" s="206"/>
      <c r="U40" s="175"/>
      <c r="V40" s="205"/>
      <c r="W40" s="204"/>
      <c r="X40" s="204"/>
      <c r="Y40" s="204"/>
      <c r="Z40" s="204"/>
      <c r="AA40" s="204"/>
      <c r="AB40" s="204"/>
      <c r="AC40" s="204"/>
      <c r="AD40" s="206"/>
      <c r="AE40" s="204"/>
      <c r="AF40" s="205"/>
      <c r="AG40" s="204"/>
      <c r="AH40" s="204"/>
      <c r="AI40" s="204"/>
      <c r="AJ40" s="204"/>
      <c r="AK40" s="204"/>
      <c r="AL40" s="204"/>
      <c r="AM40" s="204"/>
      <c r="AN40" s="206"/>
      <c r="AO40" s="206"/>
      <c r="AP40" s="205"/>
      <c r="AQ40" s="204"/>
      <c r="AR40" s="204"/>
      <c r="AS40" s="204"/>
      <c r="AT40" s="204"/>
      <c r="AU40" s="204"/>
      <c r="AV40" s="204"/>
      <c r="AW40" s="204"/>
      <c r="AX40" s="206"/>
      <c r="AY40" s="204"/>
      <c r="AZ40" s="205"/>
      <c r="BA40" s="204"/>
      <c r="BB40" s="204"/>
      <c r="BC40" s="204"/>
      <c r="BD40" s="204"/>
      <c r="BE40" s="204"/>
      <c r="BF40" s="204"/>
      <c r="BG40" s="204"/>
      <c r="BH40" s="206"/>
      <c r="BI40" s="204"/>
      <c r="BJ40" s="205"/>
      <c r="BK40" s="204"/>
      <c r="BL40" s="204"/>
      <c r="BM40" s="204"/>
      <c r="BN40" s="204"/>
      <c r="BO40" s="204"/>
      <c r="BP40" s="204"/>
      <c r="BQ40" s="204"/>
      <c r="BR40" s="206"/>
    </row>
    <row r="41" spans="1:70" s="41" customFormat="1" ht="9" customHeight="1" x14ac:dyDescent="0.3">
      <c r="A41" s="203"/>
      <c r="B41" s="176"/>
      <c r="C41" s="175"/>
      <c r="D41" s="175"/>
      <c r="E41" s="175"/>
      <c r="F41" s="175"/>
      <c r="G41" s="175"/>
      <c r="H41" s="175"/>
      <c r="I41" s="175"/>
      <c r="J41" s="177"/>
      <c r="K41" s="204"/>
      <c r="L41" s="205"/>
      <c r="M41" s="204"/>
      <c r="N41" s="204"/>
      <c r="O41" s="204"/>
      <c r="P41" s="204"/>
      <c r="Q41" s="204"/>
      <c r="R41" s="204"/>
      <c r="S41" s="204"/>
      <c r="T41" s="206"/>
      <c r="U41" s="175"/>
      <c r="V41" s="205"/>
      <c r="W41" s="204"/>
      <c r="X41" s="204"/>
      <c r="Y41" s="204"/>
      <c r="Z41" s="204"/>
      <c r="AA41" s="204"/>
      <c r="AB41" s="204"/>
      <c r="AC41" s="204"/>
      <c r="AD41" s="206"/>
      <c r="AE41" s="204"/>
      <c r="AF41" s="205"/>
      <c r="AG41" s="204"/>
      <c r="AH41" s="204"/>
      <c r="AI41" s="204"/>
      <c r="AJ41" s="204"/>
      <c r="AK41" s="204"/>
      <c r="AL41" s="204"/>
      <c r="AM41" s="204"/>
      <c r="AN41" s="206"/>
      <c r="AO41" s="206"/>
      <c r="AP41" s="205"/>
      <c r="AQ41" s="204"/>
      <c r="AR41" s="204"/>
      <c r="AS41" s="204"/>
      <c r="AT41" s="204"/>
      <c r="AU41" s="204"/>
      <c r="AV41" s="204"/>
      <c r="AW41" s="204"/>
      <c r="AX41" s="206"/>
      <c r="AY41" s="204"/>
      <c r="AZ41" s="205"/>
      <c r="BA41" s="204"/>
      <c r="BB41" s="204"/>
      <c r="BC41" s="204"/>
      <c r="BD41" s="204"/>
      <c r="BE41" s="204"/>
      <c r="BF41" s="204"/>
      <c r="BG41" s="204"/>
      <c r="BH41" s="206"/>
      <c r="BI41" s="204"/>
      <c r="BJ41" s="205"/>
      <c r="BK41" s="204"/>
      <c r="BL41" s="204"/>
      <c r="BM41" s="204"/>
      <c r="BN41" s="204"/>
      <c r="BO41" s="204"/>
      <c r="BP41" s="204"/>
      <c r="BQ41" s="204"/>
      <c r="BR41" s="206"/>
    </row>
    <row r="42" spans="1:70" s="41" customFormat="1" ht="9" customHeight="1" x14ac:dyDescent="0.3">
      <c r="A42" s="203"/>
      <c r="B42" s="176"/>
      <c r="C42" s="175"/>
      <c r="D42" s="175"/>
      <c r="E42" s="175"/>
      <c r="F42" s="175"/>
      <c r="G42" s="175"/>
      <c r="H42" s="175"/>
      <c r="I42" s="175"/>
      <c r="J42" s="177"/>
      <c r="K42" s="204"/>
      <c r="L42" s="205"/>
      <c r="M42" s="204"/>
      <c r="N42" s="204"/>
      <c r="O42" s="204"/>
      <c r="P42" s="204"/>
      <c r="Q42" s="204"/>
      <c r="R42" s="204"/>
      <c r="S42" s="204"/>
      <c r="T42" s="206"/>
      <c r="U42" s="175"/>
      <c r="V42" s="205"/>
      <c r="W42" s="204"/>
      <c r="X42" s="204"/>
      <c r="Y42" s="204"/>
      <c r="Z42" s="204"/>
      <c r="AA42" s="204"/>
      <c r="AB42" s="204"/>
      <c r="AC42" s="204"/>
      <c r="AD42" s="206"/>
      <c r="AE42" s="204"/>
      <c r="AF42" s="205"/>
      <c r="AG42" s="204"/>
      <c r="AH42" s="204"/>
      <c r="AI42" s="204"/>
      <c r="AJ42" s="204"/>
      <c r="AK42" s="204"/>
      <c r="AL42" s="204"/>
      <c r="AM42" s="204"/>
      <c r="AN42" s="206"/>
      <c r="AO42" s="206"/>
      <c r="AP42" s="205"/>
      <c r="AQ42" s="204"/>
      <c r="AR42" s="204"/>
      <c r="AS42" s="204"/>
      <c r="AT42" s="204"/>
      <c r="AU42" s="204"/>
      <c r="AV42" s="204"/>
      <c r="AW42" s="204"/>
      <c r="AX42" s="206"/>
      <c r="AY42" s="204"/>
      <c r="AZ42" s="205"/>
      <c r="BA42" s="204"/>
      <c r="BB42" s="204"/>
      <c r="BC42" s="204"/>
      <c r="BD42" s="204"/>
      <c r="BE42" s="204"/>
      <c r="BF42" s="204"/>
      <c r="BG42" s="204"/>
      <c r="BH42" s="206"/>
      <c r="BI42" s="204"/>
      <c r="BJ42" s="205"/>
      <c r="BK42" s="204"/>
      <c r="BL42" s="204"/>
      <c r="BM42" s="204"/>
      <c r="BN42" s="204"/>
      <c r="BO42" s="204"/>
      <c r="BP42" s="204"/>
      <c r="BQ42" s="204"/>
      <c r="BR42" s="206"/>
    </row>
    <row r="43" spans="1:70" s="41" customFormat="1" ht="9" customHeight="1" x14ac:dyDescent="0.3">
      <c r="A43" s="203"/>
      <c r="B43" s="205"/>
      <c r="C43" s="204"/>
      <c r="D43" s="204"/>
      <c r="E43" s="204"/>
      <c r="F43" s="204"/>
      <c r="G43" s="204"/>
      <c r="H43" s="204"/>
      <c r="I43" s="204"/>
      <c r="J43" s="206"/>
      <c r="K43" s="204"/>
      <c r="L43" s="205"/>
      <c r="M43" s="204"/>
      <c r="N43" s="204"/>
      <c r="O43" s="204"/>
      <c r="P43" s="204"/>
      <c r="Q43" s="204"/>
      <c r="R43" s="204"/>
      <c r="S43" s="204"/>
      <c r="T43" s="206"/>
      <c r="U43" s="175"/>
      <c r="V43" s="176"/>
      <c r="W43" s="175"/>
      <c r="X43" s="175"/>
      <c r="Y43" s="175"/>
      <c r="Z43" s="175"/>
      <c r="AA43" s="175"/>
      <c r="AB43" s="175"/>
      <c r="AC43" s="175"/>
      <c r="AD43" s="177"/>
      <c r="AE43" s="204"/>
      <c r="AF43" s="176"/>
      <c r="AG43" s="175"/>
      <c r="AH43" s="175"/>
      <c r="AI43" s="175"/>
      <c r="AJ43" s="175"/>
      <c r="AK43" s="175"/>
      <c r="AL43" s="175"/>
      <c r="AM43" s="175"/>
      <c r="AN43" s="177"/>
      <c r="AO43" s="206"/>
      <c r="AP43" s="176"/>
      <c r="AQ43" s="175"/>
      <c r="AR43" s="175"/>
      <c r="AS43" s="175"/>
      <c r="AT43" s="175"/>
      <c r="AU43" s="175"/>
      <c r="AV43" s="175"/>
      <c r="AW43" s="175"/>
      <c r="AX43" s="177"/>
      <c r="AY43" s="204"/>
      <c r="AZ43" s="176"/>
      <c r="BA43" s="175"/>
      <c r="BB43" s="175"/>
      <c r="BC43" s="175"/>
      <c r="BD43" s="175"/>
      <c r="BE43" s="175"/>
      <c r="BF43" s="175"/>
      <c r="BG43" s="175"/>
      <c r="BH43" s="177"/>
      <c r="BI43" s="204"/>
      <c r="BJ43" s="176"/>
      <c r="BK43" s="175"/>
      <c r="BL43" s="175"/>
      <c r="BM43" s="175"/>
      <c r="BN43" s="175"/>
      <c r="BO43" s="175"/>
      <c r="BP43" s="175"/>
      <c r="BQ43" s="175"/>
      <c r="BR43" s="177"/>
    </row>
    <row r="44" spans="1:70" s="41" customFormat="1" ht="10.95" customHeight="1" x14ac:dyDescent="0.3">
      <c r="A44" s="203"/>
      <c r="B44" s="432" t="s">
        <v>408</v>
      </c>
      <c r="C44" s="432"/>
      <c r="D44" s="432"/>
      <c r="E44" s="432"/>
      <c r="F44" s="432"/>
      <c r="G44" s="433">
        <f>CEILING(2632*B3,1)</f>
        <v>3685</v>
      </c>
      <c r="H44" s="433"/>
      <c r="I44" s="433"/>
      <c r="J44" s="433"/>
      <c r="K44" s="190"/>
      <c r="L44" s="432" t="s">
        <v>408</v>
      </c>
      <c r="M44" s="432"/>
      <c r="N44" s="432"/>
      <c r="O44" s="432"/>
      <c r="P44" s="432"/>
      <c r="Q44" s="433">
        <f>CEILING(2913*B3,1)</f>
        <v>4079</v>
      </c>
      <c r="R44" s="489"/>
      <c r="S44" s="489"/>
      <c r="T44" s="489"/>
      <c r="U44" s="175"/>
      <c r="V44" s="232"/>
      <c r="W44" s="223"/>
      <c r="X44" s="223"/>
      <c r="Y44" s="223"/>
      <c r="Z44" s="223"/>
      <c r="AA44" s="223"/>
      <c r="AB44" s="223"/>
      <c r="AC44" s="223"/>
      <c r="AD44" s="224"/>
      <c r="AE44" s="204"/>
      <c r="AF44" s="232"/>
      <c r="AG44" s="223"/>
      <c r="AH44" s="223"/>
      <c r="AI44" s="223"/>
      <c r="AJ44" s="223"/>
      <c r="AK44" s="223"/>
      <c r="AL44" s="223"/>
      <c r="AM44" s="223"/>
      <c r="AN44" s="224"/>
      <c r="AO44" s="204"/>
      <c r="AP44" s="232"/>
      <c r="AQ44" s="223"/>
      <c r="AR44" s="223"/>
      <c r="AS44" s="223"/>
      <c r="AT44" s="223"/>
      <c r="AU44" s="223"/>
      <c r="AV44" s="223"/>
      <c r="AW44" s="223"/>
      <c r="AX44" s="224"/>
      <c r="AY44" s="204"/>
      <c r="AZ44" s="232"/>
      <c r="BA44" s="223"/>
      <c r="BB44" s="223"/>
      <c r="BC44" s="223"/>
      <c r="BD44" s="223"/>
      <c r="BE44" s="223"/>
      <c r="BF44" s="223"/>
      <c r="BG44" s="223"/>
      <c r="BH44" s="224"/>
      <c r="BI44" s="204"/>
      <c r="BJ44" s="232"/>
      <c r="BK44" s="223"/>
      <c r="BL44" s="223"/>
      <c r="BM44" s="223"/>
      <c r="BN44" s="223"/>
      <c r="BO44" s="223"/>
      <c r="BP44" s="223"/>
      <c r="BQ44" s="223"/>
      <c r="BR44" s="224"/>
    </row>
    <row r="45" spans="1:70" s="69" customFormat="1" ht="12" customHeight="1" x14ac:dyDescent="0.3">
      <c r="A45" s="215"/>
      <c r="B45" s="432" t="s">
        <v>409</v>
      </c>
      <c r="C45" s="432"/>
      <c r="D45" s="432"/>
      <c r="E45" s="432"/>
      <c r="F45" s="432"/>
      <c r="G45" s="433">
        <f>CEILING(3172*B3,1)</f>
        <v>4441</v>
      </c>
      <c r="H45" s="433"/>
      <c r="I45" s="433"/>
      <c r="J45" s="433"/>
      <c r="K45" s="190"/>
      <c r="L45" s="432" t="s">
        <v>409</v>
      </c>
      <c r="M45" s="432"/>
      <c r="N45" s="432"/>
      <c r="O45" s="432"/>
      <c r="P45" s="432"/>
      <c r="Q45" s="433">
        <f>CEILING(3516*B3,1)</f>
        <v>4923</v>
      </c>
      <c r="R45" s="433"/>
      <c r="S45" s="433"/>
      <c r="T45" s="433"/>
      <c r="U45" s="183"/>
      <c r="V45" s="432" t="s">
        <v>410</v>
      </c>
      <c r="W45" s="432"/>
      <c r="X45" s="432"/>
      <c r="Y45" s="432"/>
      <c r="Z45" s="432"/>
      <c r="AA45" s="433">
        <f>CEILING(1882*B3,1)</f>
        <v>2635</v>
      </c>
      <c r="AB45" s="433"/>
      <c r="AC45" s="433"/>
      <c r="AD45" s="433"/>
      <c r="AE45" s="190"/>
      <c r="AF45" s="432" t="s">
        <v>410</v>
      </c>
      <c r="AG45" s="432"/>
      <c r="AH45" s="432"/>
      <c r="AI45" s="432"/>
      <c r="AJ45" s="432"/>
      <c r="AK45" s="433">
        <f>CEILING(2213*B3,1)</f>
        <v>3099</v>
      </c>
      <c r="AL45" s="433"/>
      <c r="AM45" s="433"/>
      <c r="AN45" s="433"/>
      <c r="AO45" s="190"/>
      <c r="AP45" s="432" t="s">
        <v>410</v>
      </c>
      <c r="AQ45" s="432"/>
      <c r="AR45" s="432"/>
      <c r="AS45" s="432"/>
      <c r="AT45" s="432"/>
      <c r="AU45" s="433">
        <f>CEILING(2521*B3,1)</f>
        <v>3530</v>
      </c>
      <c r="AV45" s="433"/>
      <c r="AW45" s="433"/>
      <c r="AX45" s="433"/>
      <c r="AY45" s="190"/>
      <c r="AZ45" s="432" t="s">
        <v>410</v>
      </c>
      <c r="BA45" s="432"/>
      <c r="BB45" s="432"/>
      <c r="BC45" s="432"/>
      <c r="BD45" s="432"/>
      <c r="BE45" s="433">
        <f>CEILING(2409*B3,1)</f>
        <v>3373</v>
      </c>
      <c r="BF45" s="433"/>
      <c r="BG45" s="433"/>
      <c r="BH45" s="433"/>
      <c r="BI45" s="190"/>
      <c r="BJ45" s="432" t="s">
        <v>410</v>
      </c>
      <c r="BK45" s="432"/>
      <c r="BL45" s="432"/>
      <c r="BM45" s="432"/>
      <c r="BN45" s="432"/>
      <c r="BO45" s="433">
        <f>CEILING(2706*B3,1)</f>
        <v>3789</v>
      </c>
      <c r="BP45" s="433"/>
      <c r="BQ45" s="433"/>
      <c r="BR45" s="433"/>
    </row>
    <row r="46" spans="1:70" ht="1.5" customHeight="1" x14ac:dyDescent="0.3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97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</row>
    <row r="47" spans="1:70" ht="9" customHeight="1" x14ac:dyDescent="0.3">
      <c r="B47" s="429" t="s">
        <v>374</v>
      </c>
      <c r="C47" s="430"/>
      <c r="D47" s="431"/>
      <c r="E47" s="445" t="s">
        <v>331</v>
      </c>
      <c r="F47" s="445"/>
      <c r="G47" s="445"/>
      <c r="H47" s="445"/>
      <c r="I47" s="445"/>
      <c r="J47" s="446"/>
      <c r="K47" s="175"/>
      <c r="L47" s="429" t="s">
        <v>375</v>
      </c>
      <c r="M47" s="430"/>
      <c r="N47" s="431"/>
      <c r="O47" s="445" t="s">
        <v>331</v>
      </c>
      <c r="P47" s="445"/>
      <c r="Q47" s="445"/>
      <c r="R47" s="445"/>
      <c r="S47" s="445"/>
      <c r="T47" s="446"/>
      <c r="U47" s="175"/>
      <c r="V47" s="429" t="s">
        <v>376</v>
      </c>
      <c r="W47" s="430"/>
      <c r="X47" s="431"/>
      <c r="Y47" s="445" t="s">
        <v>331</v>
      </c>
      <c r="Z47" s="445"/>
      <c r="AA47" s="445"/>
      <c r="AB47" s="445"/>
      <c r="AC47" s="445"/>
      <c r="AD47" s="446"/>
      <c r="AE47" s="175"/>
      <c r="AF47" s="429" t="s">
        <v>377</v>
      </c>
      <c r="AG47" s="430"/>
      <c r="AH47" s="431"/>
      <c r="AI47" s="445" t="s">
        <v>331</v>
      </c>
      <c r="AJ47" s="445"/>
      <c r="AK47" s="445"/>
      <c r="AL47" s="445"/>
      <c r="AM47" s="445"/>
      <c r="AN47" s="446"/>
      <c r="AO47" s="175"/>
      <c r="AP47" s="429" t="s">
        <v>378</v>
      </c>
      <c r="AQ47" s="430"/>
      <c r="AR47" s="431"/>
      <c r="AS47" s="445" t="s">
        <v>331</v>
      </c>
      <c r="AT47" s="445"/>
      <c r="AU47" s="445"/>
      <c r="AV47" s="445"/>
      <c r="AW47" s="445"/>
      <c r="AX47" s="446"/>
      <c r="AY47" s="175"/>
      <c r="AZ47" s="429" t="s">
        <v>379</v>
      </c>
      <c r="BA47" s="430"/>
      <c r="BB47" s="431"/>
      <c r="BC47" s="445" t="s">
        <v>395</v>
      </c>
      <c r="BD47" s="445"/>
      <c r="BE47" s="445"/>
      <c r="BF47" s="445"/>
      <c r="BG47" s="445"/>
      <c r="BH47" s="446"/>
      <c r="BI47" s="175"/>
      <c r="BJ47" s="429" t="s">
        <v>380</v>
      </c>
      <c r="BK47" s="430"/>
      <c r="BL47" s="431"/>
      <c r="BM47" s="445" t="s">
        <v>395</v>
      </c>
      <c r="BN47" s="445"/>
      <c r="BO47" s="445"/>
      <c r="BP47" s="445"/>
      <c r="BQ47" s="445"/>
      <c r="BR47" s="446"/>
    </row>
    <row r="48" spans="1:70" s="34" customFormat="1" ht="9" customHeight="1" x14ac:dyDescent="0.3">
      <c r="A48" s="178"/>
      <c r="B48" s="232"/>
      <c r="C48" s="223"/>
      <c r="D48" s="223"/>
      <c r="E48" s="223"/>
      <c r="F48" s="223"/>
      <c r="G48" s="223"/>
      <c r="H48" s="223"/>
      <c r="I48" s="223"/>
      <c r="J48" s="224"/>
      <c r="K48" s="180"/>
      <c r="L48" s="232"/>
      <c r="M48" s="223"/>
      <c r="N48" s="223"/>
      <c r="O48" s="223"/>
      <c r="P48" s="223"/>
      <c r="Q48" s="223"/>
      <c r="R48" s="223"/>
      <c r="S48" s="223"/>
      <c r="T48" s="224"/>
      <c r="U48" s="180"/>
      <c r="V48" s="232"/>
      <c r="W48" s="223"/>
      <c r="X48" s="223"/>
      <c r="Y48" s="223"/>
      <c r="Z48" s="223"/>
      <c r="AA48" s="223"/>
      <c r="AB48" s="223"/>
      <c r="AC48" s="223"/>
      <c r="AD48" s="224"/>
      <c r="AE48" s="180"/>
      <c r="AF48" s="232"/>
      <c r="AG48" s="223"/>
      <c r="AH48" s="223"/>
      <c r="AI48" s="223"/>
      <c r="AJ48" s="223"/>
      <c r="AK48" s="223"/>
      <c r="AL48" s="223"/>
      <c r="AM48" s="223"/>
      <c r="AN48" s="224"/>
      <c r="AO48" s="180"/>
      <c r="AP48" s="232"/>
      <c r="AQ48" s="223"/>
      <c r="AR48" s="223"/>
      <c r="AS48" s="223"/>
      <c r="AT48" s="223"/>
      <c r="AU48" s="223"/>
      <c r="AV48" s="223"/>
      <c r="AW48" s="223"/>
      <c r="AX48" s="224"/>
      <c r="AY48" s="180"/>
      <c r="AZ48" s="423" t="s">
        <v>731</v>
      </c>
      <c r="BA48" s="424"/>
      <c r="BB48" s="424"/>
      <c r="BC48" s="424"/>
      <c r="BD48" s="424"/>
      <c r="BE48" s="424"/>
      <c r="BF48" s="424"/>
      <c r="BG48" s="424"/>
      <c r="BH48" s="425"/>
      <c r="BI48" s="180"/>
      <c r="BJ48" s="423" t="s">
        <v>731</v>
      </c>
      <c r="BK48" s="424"/>
      <c r="BL48" s="424"/>
      <c r="BM48" s="424"/>
      <c r="BN48" s="424"/>
      <c r="BO48" s="424"/>
      <c r="BP48" s="424"/>
      <c r="BQ48" s="424"/>
      <c r="BR48" s="425"/>
    </row>
    <row r="49" spans="1:70" s="34" customFormat="1" ht="9" customHeight="1" x14ac:dyDescent="0.3">
      <c r="A49" s="178"/>
      <c r="B49" s="179"/>
      <c r="C49" s="180"/>
      <c r="D49" s="180"/>
      <c r="E49" s="180"/>
      <c r="F49" s="180"/>
      <c r="G49" s="180"/>
      <c r="H49" s="180"/>
      <c r="I49" s="180"/>
      <c r="J49" s="181"/>
      <c r="K49" s="180"/>
      <c r="L49" s="179"/>
      <c r="M49" s="180"/>
      <c r="N49" s="180"/>
      <c r="O49" s="180"/>
      <c r="P49" s="180"/>
      <c r="Q49" s="180"/>
      <c r="R49" s="180"/>
      <c r="S49" s="180"/>
      <c r="T49" s="181"/>
      <c r="U49" s="180"/>
      <c r="V49" s="179"/>
      <c r="W49" s="180"/>
      <c r="X49" s="180"/>
      <c r="Y49" s="180"/>
      <c r="Z49" s="180"/>
      <c r="AA49" s="180"/>
      <c r="AB49" s="180"/>
      <c r="AC49" s="180"/>
      <c r="AD49" s="181"/>
      <c r="AE49" s="180"/>
      <c r="AF49" s="179"/>
      <c r="AG49" s="180"/>
      <c r="AH49" s="180"/>
      <c r="AI49" s="180"/>
      <c r="AJ49" s="180"/>
      <c r="AK49" s="180"/>
      <c r="AL49" s="180"/>
      <c r="AM49" s="180"/>
      <c r="AN49" s="181"/>
      <c r="AO49" s="180"/>
      <c r="AP49" s="179"/>
      <c r="AQ49" s="180"/>
      <c r="AR49" s="180"/>
      <c r="AS49" s="180"/>
      <c r="AT49" s="180"/>
      <c r="AU49" s="180"/>
      <c r="AV49" s="180"/>
      <c r="AW49" s="180"/>
      <c r="AX49" s="181"/>
      <c r="AY49" s="180"/>
      <c r="AZ49" s="423" t="s">
        <v>729</v>
      </c>
      <c r="BA49" s="424"/>
      <c r="BB49" s="424"/>
      <c r="BC49" s="424"/>
      <c r="BD49" s="424"/>
      <c r="BE49" s="424"/>
      <c r="BF49" s="424"/>
      <c r="BG49" s="424"/>
      <c r="BH49" s="425"/>
      <c r="BI49" s="180"/>
      <c r="BJ49" s="423" t="s">
        <v>729</v>
      </c>
      <c r="BK49" s="424"/>
      <c r="BL49" s="424"/>
      <c r="BM49" s="424"/>
      <c r="BN49" s="424"/>
      <c r="BO49" s="424"/>
      <c r="BP49" s="424"/>
      <c r="BQ49" s="424"/>
      <c r="BR49" s="425"/>
    </row>
    <row r="50" spans="1:70" s="34" customFormat="1" ht="9" customHeight="1" x14ac:dyDescent="0.3">
      <c r="A50" s="178"/>
      <c r="B50" s="179"/>
      <c r="C50" s="180"/>
      <c r="D50" s="180"/>
      <c r="E50" s="180"/>
      <c r="F50" s="180"/>
      <c r="G50" s="180"/>
      <c r="H50" s="180"/>
      <c r="I50" s="180"/>
      <c r="J50" s="181"/>
      <c r="K50" s="180"/>
      <c r="L50" s="179"/>
      <c r="M50" s="180"/>
      <c r="N50" s="180"/>
      <c r="O50" s="180"/>
      <c r="P50" s="180"/>
      <c r="Q50" s="180"/>
      <c r="R50" s="180"/>
      <c r="S50" s="180"/>
      <c r="T50" s="181"/>
      <c r="U50" s="180"/>
      <c r="V50" s="179"/>
      <c r="W50" s="180"/>
      <c r="X50" s="180"/>
      <c r="Y50" s="180"/>
      <c r="Z50" s="180"/>
      <c r="AA50" s="180"/>
      <c r="AB50" s="180"/>
      <c r="AC50" s="180"/>
      <c r="AD50" s="181"/>
      <c r="AE50" s="180"/>
      <c r="AF50" s="179"/>
      <c r="AG50" s="180"/>
      <c r="AH50" s="180"/>
      <c r="AI50" s="180"/>
      <c r="AJ50" s="180"/>
      <c r="AK50" s="180"/>
      <c r="AL50" s="180"/>
      <c r="AM50" s="180"/>
      <c r="AN50" s="181"/>
      <c r="AO50" s="180"/>
      <c r="AP50" s="179"/>
      <c r="AQ50" s="180"/>
      <c r="AR50" s="180"/>
      <c r="AS50" s="180"/>
      <c r="AT50" s="180"/>
      <c r="AU50" s="180"/>
      <c r="AV50" s="180"/>
      <c r="AW50" s="180"/>
      <c r="AX50" s="181"/>
      <c r="AY50" s="180"/>
      <c r="AZ50" s="179"/>
      <c r="BA50" s="180"/>
      <c r="BB50" s="180"/>
      <c r="BC50" s="180"/>
      <c r="BD50" s="180"/>
      <c r="BE50" s="180"/>
      <c r="BF50" s="180"/>
      <c r="BG50" s="180"/>
      <c r="BH50" s="181"/>
      <c r="BI50" s="180"/>
      <c r="BJ50" s="179"/>
      <c r="BK50" s="180"/>
      <c r="BL50" s="180"/>
      <c r="BM50" s="180"/>
      <c r="BN50" s="180"/>
      <c r="BO50" s="180"/>
      <c r="BP50" s="180"/>
      <c r="BQ50" s="180"/>
      <c r="BR50" s="181"/>
    </row>
    <row r="51" spans="1:70" ht="9" customHeight="1" x14ac:dyDescent="0.3">
      <c r="B51" s="176"/>
      <c r="C51" s="175"/>
      <c r="D51" s="175"/>
      <c r="E51" s="175"/>
      <c r="F51" s="175"/>
      <c r="G51" s="175"/>
      <c r="H51" s="175"/>
      <c r="I51" s="175"/>
      <c r="J51" s="177"/>
      <c r="K51" s="175"/>
      <c r="L51" s="176"/>
      <c r="M51" s="175"/>
      <c r="N51" s="175"/>
      <c r="O51" s="175"/>
      <c r="P51" s="175"/>
      <c r="Q51" s="175"/>
      <c r="R51" s="175"/>
      <c r="S51" s="175"/>
      <c r="T51" s="177"/>
      <c r="U51" s="175"/>
      <c r="V51" s="176"/>
      <c r="W51" s="175"/>
      <c r="X51" s="175"/>
      <c r="Y51" s="175"/>
      <c r="Z51" s="175"/>
      <c r="AA51" s="175"/>
      <c r="AB51" s="175"/>
      <c r="AC51" s="175"/>
      <c r="AD51" s="177"/>
      <c r="AE51" s="175"/>
      <c r="AF51" s="176"/>
      <c r="AG51" s="175"/>
      <c r="AH51" s="175"/>
      <c r="AI51" s="175"/>
      <c r="AJ51" s="175"/>
      <c r="AK51" s="175"/>
      <c r="AL51" s="175"/>
      <c r="AM51" s="175"/>
      <c r="AN51" s="177"/>
      <c r="AO51" s="175"/>
      <c r="AP51" s="176"/>
      <c r="AQ51" s="175"/>
      <c r="AR51" s="175"/>
      <c r="AS51" s="175"/>
      <c r="AT51" s="175"/>
      <c r="AU51" s="175"/>
      <c r="AV51" s="175"/>
      <c r="AW51" s="175"/>
      <c r="AX51" s="177"/>
      <c r="AY51" s="175"/>
      <c r="AZ51" s="176"/>
      <c r="BA51" s="175"/>
      <c r="BB51" s="175"/>
      <c r="BC51" s="175"/>
      <c r="BD51" s="175"/>
      <c r="BE51" s="175"/>
      <c r="BF51" s="175"/>
      <c r="BG51" s="175"/>
      <c r="BH51" s="177"/>
      <c r="BI51" s="175"/>
      <c r="BJ51" s="176"/>
      <c r="BK51" s="175"/>
      <c r="BL51" s="175"/>
      <c r="BM51" s="175"/>
      <c r="BN51" s="175"/>
      <c r="BO51" s="175"/>
      <c r="BP51" s="175"/>
      <c r="BQ51" s="175"/>
      <c r="BR51" s="177"/>
    </row>
    <row r="52" spans="1:70" s="41" customFormat="1" ht="9" customHeight="1" x14ac:dyDescent="0.3">
      <c r="A52" s="203"/>
      <c r="B52" s="205"/>
      <c r="C52" s="204"/>
      <c r="D52" s="204"/>
      <c r="E52" s="204"/>
      <c r="F52" s="204"/>
      <c r="G52" s="204"/>
      <c r="H52" s="204"/>
      <c r="I52" s="204"/>
      <c r="J52" s="206"/>
      <c r="K52" s="204"/>
      <c r="L52" s="205"/>
      <c r="M52" s="204"/>
      <c r="N52" s="204"/>
      <c r="O52" s="204"/>
      <c r="P52" s="204"/>
      <c r="Q52" s="204"/>
      <c r="R52" s="204"/>
      <c r="S52" s="204"/>
      <c r="T52" s="206"/>
      <c r="U52" s="204"/>
      <c r="V52" s="205"/>
      <c r="W52" s="204"/>
      <c r="X52" s="204"/>
      <c r="Y52" s="204"/>
      <c r="Z52" s="204"/>
      <c r="AA52" s="204"/>
      <c r="AB52" s="204"/>
      <c r="AC52" s="204"/>
      <c r="AD52" s="206"/>
      <c r="AE52" s="204"/>
      <c r="AF52" s="205"/>
      <c r="AG52" s="204"/>
      <c r="AH52" s="204"/>
      <c r="AI52" s="204"/>
      <c r="AJ52" s="204"/>
      <c r="AK52" s="204"/>
      <c r="AL52" s="204"/>
      <c r="AM52" s="204"/>
      <c r="AN52" s="206"/>
      <c r="AO52" s="204"/>
      <c r="AP52" s="205"/>
      <c r="AQ52" s="204"/>
      <c r="AR52" s="204"/>
      <c r="AS52" s="204"/>
      <c r="AT52" s="204"/>
      <c r="AU52" s="204"/>
      <c r="AV52" s="204"/>
      <c r="AW52" s="204"/>
      <c r="AX52" s="206"/>
      <c r="AY52" s="204"/>
      <c r="AZ52" s="205"/>
      <c r="BA52" s="204"/>
      <c r="BB52" s="204"/>
      <c r="BC52" s="204"/>
      <c r="BD52" s="204"/>
      <c r="BE52" s="204"/>
      <c r="BF52" s="204"/>
      <c r="BG52" s="204"/>
      <c r="BH52" s="206"/>
      <c r="BI52" s="204"/>
      <c r="BJ52" s="205"/>
      <c r="BK52" s="204"/>
      <c r="BL52" s="204"/>
      <c r="BM52" s="204"/>
      <c r="BN52" s="204"/>
      <c r="BO52" s="204"/>
      <c r="BP52" s="204"/>
      <c r="BQ52" s="204"/>
      <c r="BR52" s="206"/>
    </row>
    <row r="53" spans="1:70" s="41" customFormat="1" ht="9" customHeight="1" x14ac:dyDescent="0.3">
      <c r="A53" s="203"/>
      <c r="B53" s="205"/>
      <c r="C53" s="204"/>
      <c r="D53" s="204"/>
      <c r="E53" s="204"/>
      <c r="F53" s="204"/>
      <c r="G53" s="204"/>
      <c r="H53" s="204"/>
      <c r="I53" s="204"/>
      <c r="J53" s="206"/>
      <c r="K53" s="204"/>
      <c r="L53" s="205"/>
      <c r="M53" s="204"/>
      <c r="N53" s="204"/>
      <c r="O53" s="204"/>
      <c r="P53" s="204"/>
      <c r="Q53" s="204"/>
      <c r="R53" s="204"/>
      <c r="S53" s="204"/>
      <c r="T53" s="206"/>
      <c r="U53" s="204"/>
      <c r="V53" s="205"/>
      <c r="W53" s="204"/>
      <c r="X53" s="204"/>
      <c r="Y53" s="204"/>
      <c r="Z53" s="204"/>
      <c r="AA53" s="204"/>
      <c r="AB53" s="204"/>
      <c r="AC53" s="204"/>
      <c r="AD53" s="206"/>
      <c r="AE53" s="204"/>
      <c r="AF53" s="205"/>
      <c r="AG53" s="204"/>
      <c r="AH53" s="204"/>
      <c r="AI53" s="204"/>
      <c r="AJ53" s="204"/>
      <c r="AK53" s="204"/>
      <c r="AL53" s="204"/>
      <c r="AM53" s="204"/>
      <c r="AN53" s="206"/>
      <c r="AO53" s="204"/>
      <c r="AP53" s="205"/>
      <c r="AQ53" s="204"/>
      <c r="AR53" s="204"/>
      <c r="AS53" s="204"/>
      <c r="AT53" s="204"/>
      <c r="AU53" s="204"/>
      <c r="AV53" s="204"/>
      <c r="AW53" s="204"/>
      <c r="AX53" s="206"/>
      <c r="AY53" s="204"/>
      <c r="AZ53" s="205"/>
      <c r="BA53" s="204"/>
      <c r="BB53" s="204"/>
      <c r="BC53" s="204"/>
      <c r="BD53" s="204"/>
      <c r="BE53" s="204"/>
      <c r="BF53" s="204"/>
      <c r="BG53" s="204"/>
      <c r="BH53" s="206"/>
      <c r="BI53" s="204"/>
      <c r="BJ53" s="205"/>
      <c r="BK53" s="204"/>
      <c r="BL53" s="204"/>
      <c r="BM53" s="204"/>
      <c r="BN53" s="204"/>
      <c r="BO53" s="204"/>
      <c r="BP53" s="204"/>
      <c r="BQ53" s="204"/>
      <c r="BR53" s="206"/>
    </row>
    <row r="54" spans="1:70" ht="9" customHeight="1" x14ac:dyDescent="0.3">
      <c r="B54" s="176"/>
      <c r="C54" s="175"/>
      <c r="D54" s="175"/>
      <c r="E54" s="175"/>
      <c r="F54" s="175"/>
      <c r="G54" s="175"/>
      <c r="H54" s="175"/>
      <c r="I54" s="175"/>
      <c r="J54" s="177"/>
      <c r="K54" s="175"/>
      <c r="L54" s="176"/>
      <c r="M54" s="175"/>
      <c r="N54" s="175"/>
      <c r="O54" s="175"/>
      <c r="P54" s="175"/>
      <c r="Q54" s="175"/>
      <c r="R54" s="175"/>
      <c r="S54" s="175"/>
      <c r="T54" s="177"/>
      <c r="U54" s="175"/>
      <c r="V54" s="176"/>
      <c r="W54" s="175"/>
      <c r="X54" s="175"/>
      <c r="Y54" s="175"/>
      <c r="Z54" s="175"/>
      <c r="AA54" s="175"/>
      <c r="AB54" s="175"/>
      <c r="AC54" s="175"/>
      <c r="AD54" s="177"/>
      <c r="AE54" s="175"/>
      <c r="AF54" s="176"/>
      <c r="AG54" s="175"/>
      <c r="AH54" s="175"/>
      <c r="AI54" s="175"/>
      <c r="AJ54" s="175"/>
      <c r="AK54" s="175"/>
      <c r="AL54" s="175"/>
      <c r="AM54" s="175"/>
      <c r="AN54" s="177"/>
      <c r="AO54" s="175"/>
      <c r="AP54" s="176"/>
      <c r="AQ54" s="175"/>
      <c r="AR54" s="175"/>
      <c r="AS54" s="175"/>
      <c r="AT54" s="175"/>
      <c r="AU54" s="175"/>
      <c r="AV54" s="175"/>
      <c r="AW54" s="175"/>
      <c r="AX54" s="177"/>
      <c r="AY54" s="175"/>
      <c r="AZ54" s="176"/>
      <c r="BA54" s="175"/>
      <c r="BB54" s="175"/>
      <c r="BC54" s="175"/>
      <c r="BD54" s="175"/>
      <c r="BE54" s="175"/>
      <c r="BF54" s="175"/>
      <c r="BG54" s="175"/>
      <c r="BH54" s="177"/>
      <c r="BI54" s="175"/>
      <c r="BJ54" s="176"/>
      <c r="BK54" s="175"/>
      <c r="BL54" s="175"/>
      <c r="BM54" s="175"/>
      <c r="BN54" s="175"/>
      <c r="BO54" s="175"/>
      <c r="BP54" s="175"/>
      <c r="BQ54" s="175"/>
      <c r="BR54" s="177"/>
    </row>
    <row r="55" spans="1:70" ht="9" customHeight="1" x14ac:dyDescent="0.3">
      <c r="B55" s="176"/>
      <c r="C55" s="175"/>
      <c r="D55" s="175"/>
      <c r="E55" s="175"/>
      <c r="F55" s="175"/>
      <c r="G55" s="175"/>
      <c r="H55" s="175"/>
      <c r="I55" s="175"/>
      <c r="J55" s="177"/>
      <c r="K55" s="175"/>
      <c r="L55" s="176"/>
      <c r="M55" s="175"/>
      <c r="N55" s="175"/>
      <c r="O55" s="175"/>
      <c r="P55" s="175"/>
      <c r="Q55" s="175"/>
      <c r="R55" s="175"/>
      <c r="S55" s="175"/>
      <c r="T55" s="177"/>
      <c r="U55" s="175"/>
      <c r="V55" s="176"/>
      <c r="W55" s="175"/>
      <c r="X55" s="175"/>
      <c r="Y55" s="175"/>
      <c r="Z55" s="175"/>
      <c r="AA55" s="175"/>
      <c r="AB55" s="175"/>
      <c r="AC55" s="175"/>
      <c r="AD55" s="177"/>
      <c r="AE55" s="175"/>
      <c r="AF55" s="176"/>
      <c r="AG55" s="175"/>
      <c r="AH55" s="175"/>
      <c r="AI55" s="175"/>
      <c r="AJ55" s="175"/>
      <c r="AK55" s="175"/>
      <c r="AL55" s="175"/>
      <c r="AM55" s="175"/>
      <c r="AN55" s="177"/>
      <c r="AO55" s="175"/>
      <c r="AP55" s="176"/>
      <c r="AQ55" s="175"/>
      <c r="AR55" s="175"/>
      <c r="AS55" s="175"/>
      <c r="AT55" s="175"/>
      <c r="AU55" s="175"/>
      <c r="AV55" s="175"/>
      <c r="AW55" s="175"/>
      <c r="AX55" s="177"/>
      <c r="AY55" s="175"/>
      <c r="AZ55" s="176"/>
      <c r="BA55" s="175"/>
      <c r="BB55" s="175"/>
      <c r="BC55" s="175"/>
      <c r="BD55" s="175"/>
      <c r="BE55" s="175"/>
      <c r="BF55" s="175"/>
      <c r="BG55" s="175"/>
      <c r="BH55" s="177"/>
      <c r="BI55" s="175"/>
      <c r="BJ55" s="176"/>
      <c r="BK55" s="175"/>
      <c r="BL55" s="175"/>
      <c r="BM55" s="175"/>
      <c r="BN55" s="175"/>
      <c r="BO55" s="175"/>
      <c r="BP55" s="175"/>
      <c r="BQ55" s="175"/>
      <c r="BR55" s="177"/>
    </row>
    <row r="56" spans="1:70" ht="9" customHeight="1" x14ac:dyDescent="0.3">
      <c r="B56" s="176"/>
      <c r="C56" s="175"/>
      <c r="D56" s="175"/>
      <c r="E56" s="175"/>
      <c r="F56" s="175"/>
      <c r="G56" s="175"/>
      <c r="H56" s="175"/>
      <c r="I56" s="175"/>
      <c r="J56" s="177"/>
      <c r="K56" s="175"/>
      <c r="L56" s="176"/>
      <c r="M56" s="175"/>
      <c r="N56" s="175"/>
      <c r="O56" s="175"/>
      <c r="P56" s="175"/>
      <c r="Q56" s="175"/>
      <c r="R56" s="175"/>
      <c r="S56" s="175"/>
      <c r="T56" s="177"/>
      <c r="U56" s="175"/>
      <c r="V56" s="176"/>
      <c r="W56" s="175"/>
      <c r="X56" s="175"/>
      <c r="Y56" s="175"/>
      <c r="Z56" s="175"/>
      <c r="AA56" s="175"/>
      <c r="AB56" s="175"/>
      <c r="AC56" s="175"/>
      <c r="AD56" s="177"/>
      <c r="AE56" s="175"/>
      <c r="AF56" s="176"/>
      <c r="AG56" s="175"/>
      <c r="AH56" s="175"/>
      <c r="AI56" s="175"/>
      <c r="AJ56" s="175"/>
      <c r="AK56" s="175"/>
      <c r="AL56" s="175"/>
      <c r="AM56" s="175"/>
      <c r="AN56" s="177"/>
      <c r="AO56" s="175"/>
      <c r="AP56" s="176"/>
      <c r="AQ56" s="175"/>
      <c r="AR56" s="175"/>
      <c r="AS56" s="175"/>
      <c r="AT56" s="175"/>
      <c r="AU56" s="175"/>
      <c r="AV56" s="175"/>
      <c r="AW56" s="175"/>
      <c r="AX56" s="177"/>
      <c r="AY56" s="175"/>
      <c r="AZ56" s="176"/>
      <c r="BA56" s="175"/>
      <c r="BB56" s="175"/>
      <c r="BC56" s="175"/>
      <c r="BD56" s="175"/>
      <c r="BE56" s="175"/>
      <c r="BF56" s="175"/>
      <c r="BG56" s="175"/>
      <c r="BH56" s="177"/>
      <c r="BI56" s="175"/>
      <c r="BJ56" s="176"/>
      <c r="BK56" s="175"/>
      <c r="BL56" s="175"/>
      <c r="BM56" s="175"/>
      <c r="BN56" s="175"/>
      <c r="BO56" s="175"/>
      <c r="BP56" s="175"/>
      <c r="BQ56" s="175"/>
      <c r="BR56" s="177"/>
    </row>
    <row r="57" spans="1:70" ht="9" customHeight="1" x14ac:dyDescent="0.3">
      <c r="B57" s="176"/>
      <c r="C57" s="175"/>
      <c r="D57" s="175"/>
      <c r="E57" s="175"/>
      <c r="F57" s="175"/>
      <c r="G57" s="175"/>
      <c r="H57" s="175"/>
      <c r="I57" s="175"/>
      <c r="J57" s="177"/>
      <c r="K57" s="175"/>
      <c r="L57" s="176"/>
      <c r="M57" s="175"/>
      <c r="N57" s="175"/>
      <c r="O57" s="175"/>
      <c r="P57" s="175"/>
      <c r="Q57" s="175"/>
      <c r="R57" s="175"/>
      <c r="S57" s="175"/>
      <c r="T57" s="177"/>
      <c r="U57" s="175"/>
      <c r="V57" s="176"/>
      <c r="W57" s="175"/>
      <c r="X57" s="175"/>
      <c r="Y57" s="175"/>
      <c r="Z57" s="175"/>
      <c r="AA57" s="175"/>
      <c r="AB57" s="175"/>
      <c r="AC57" s="175"/>
      <c r="AD57" s="177"/>
      <c r="AE57" s="175"/>
      <c r="AF57" s="176"/>
      <c r="AG57" s="175"/>
      <c r="AH57" s="175"/>
      <c r="AI57" s="175"/>
      <c r="AJ57" s="175"/>
      <c r="AK57" s="175"/>
      <c r="AL57" s="175"/>
      <c r="AM57" s="175"/>
      <c r="AN57" s="177"/>
      <c r="AO57" s="175"/>
      <c r="AP57" s="176"/>
      <c r="AQ57" s="175"/>
      <c r="AR57" s="175"/>
      <c r="AS57" s="175"/>
      <c r="AT57" s="175"/>
      <c r="AU57" s="175"/>
      <c r="AV57" s="175"/>
      <c r="AW57" s="175"/>
      <c r="AX57" s="177"/>
      <c r="AY57" s="175"/>
      <c r="AZ57" s="176"/>
      <c r="BA57" s="175"/>
      <c r="BB57" s="175"/>
      <c r="BC57" s="175"/>
      <c r="BD57" s="175"/>
      <c r="BE57" s="175"/>
      <c r="BF57" s="175"/>
      <c r="BG57" s="175"/>
      <c r="BH57" s="177"/>
      <c r="BI57" s="175"/>
      <c r="BJ57" s="176"/>
      <c r="BK57" s="175"/>
      <c r="BL57" s="175"/>
      <c r="BM57" s="175"/>
      <c r="BN57" s="175"/>
      <c r="BO57" s="175"/>
      <c r="BP57" s="175"/>
      <c r="BQ57" s="175"/>
      <c r="BR57" s="177"/>
    </row>
    <row r="58" spans="1:70" ht="9" customHeight="1" x14ac:dyDescent="0.3">
      <c r="B58" s="232"/>
      <c r="C58" s="223"/>
      <c r="D58" s="223"/>
      <c r="E58" s="223"/>
      <c r="F58" s="223"/>
      <c r="G58" s="223"/>
      <c r="H58" s="223"/>
      <c r="I58" s="223"/>
      <c r="J58" s="224"/>
      <c r="K58" s="175"/>
      <c r="L58" s="232"/>
      <c r="M58" s="223"/>
      <c r="N58" s="223"/>
      <c r="O58" s="223"/>
      <c r="P58" s="223"/>
      <c r="Q58" s="223"/>
      <c r="R58" s="223"/>
      <c r="S58" s="223"/>
      <c r="T58" s="224"/>
      <c r="U58" s="175"/>
      <c r="V58" s="232"/>
      <c r="W58" s="223"/>
      <c r="X58" s="223"/>
      <c r="Y58" s="223"/>
      <c r="Z58" s="223"/>
      <c r="AA58" s="223"/>
      <c r="AB58" s="223"/>
      <c r="AC58" s="223"/>
      <c r="AD58" s="224"/>
      <c r="AE58" s="175"/>
      <c r="AF58" s="232"/>
      <c r="AG58" s="223"/>
      <c r="AH58" s="223"/>
      <c r="AI58" s="223"/>
      <c r="AJ58" s="223"/>
      <c r="AK58" s="223"/>
      <c r="AL58" s="223"/>
      <c r="AM58" s="223"/>
      <c r="AN58" s="224"/>
      <c r="AO58" s="175"/>
      <c r="AP58" s="232"/>
      <c r="AQ58" s="223"/>
      <c r="AR58" s="223"/>
      <c r="AS58" s="223"/>
      <c r="AT58" s="223"/>
      <c r="AU58" s="223"/>
      <c r="AV58" s="223"/>
      <c r="AW58" s="223"/>
      <c r="AX58" s="224"/>
      <c r="AY58" s="175"/>
      <c r="AZ58" s="476" t="s">
        <v>724</v>
      </c>
      <c r="BA58" s="477"/>
      <c r="BB58" s="477"/>
      <c r="BC58" s="477"/>
      <c r="BD58" s="477"/>
      <c r="BE58" s="477"/>
      <c r="BF58" s="477"/>
      <c r="BG58" s="477"/>
      <c r="BH58" s="478"/>
      <c r="BI58" s="175"/>
      <c r="BJ58" s="476" t="s">
        <v>724</v>
      </c>
      <c r="BK58" s="477"/>
      <c r="BL58" s="477"/>
      <c r="BM58" s="477"/>
      <c r="BN58" s="477"/>
      <c r="BO58" s="477"/>
      <c r="BP58" s="477"/>
      <c r="BQ58" s="477"/>
      <c r="BR58" s="478"/>
    </row>
    <row r="59" spans="1:70" s="66" customFormat="1" ht="12" customHeight="1" x14ac:dyDescent="0.3">
      <c r="A59" s="196"/>
      <c r="B59" s="432" t="s">
        <v>410</v>
      </c>
      <c r="C59" s="432"/>
      <c r="D59" s="432"/>
      <c r="E59" s="432"/>
      <c r="F59" s="432"/>
      <c r="G59" s="433">
        <f>CEILING(2902*B3,1)</f>
        <v>4063</v>
      </c>
      <c r="H59" s="433"/>
      <c r="I59" s="433"/>
      <c r="J59" s="433"/>
      <c r="K59" s="183"/>
      <c r="L59" s="432" t="s">
        <v>410</v>
      </c>
      <c r="M59" s="432"/>
      <c r="N59" s="432"/>
      <c r="O59" s="432"/>
      <c r="P59" s="432"/>
      <c r="Q59" s="433">
        <f>CEILING(3172*B3,1)</f>
        <v>4441</v>
      </c>
      <c r="R59" s="433"/>
      <c r="S59" s="433"/>
      <c r="T59" s="433"/>
      <c r="U59" s="183"/>
      <c r="V59" s="432" t="s">
        <v>410</v>
      </c>
      <c r="W59" s="432"/>
      <c r="X59" s="432"/>
      <c r="Y59" s="432"/>
      <c r="Z59" s="432"/>
      <c r="AA59" s="433">
        <f>CEILING(2486*B3,1)</f>
        <v>3481</v>
      </c>
      <c r="AB59" s="433"/>
      <c r="AC59" s="433"/>
      <c r="AD59" s="433"/>
      <c r="AE59" s="183"/>
      <c r="AF59" s="432" t="s">
        <v>410</v>
      </c>
      <c r="AG59" s="432"/>
      <c r="AH59" s="432"/>
      <c r="AI59" s="432"/>
      <c r="AJ59" s="432"/>
      <c r="AK59" s="433">
        <f>CEILING(2608*B3,1)</f>
        <v>3652</v>
      </c>
      <c r="AL59" s="433"/>
      <c r="AM59" s="433"/>
      <c r="AN59" s="433"/>
      <c r="AO59" s="183"/>
      <c r="AP59" s="432" t="s">
        <v>410</v>
      </c>
      <c r="AQ59" s="432"/>
      <c r="AR59" s="432"/>
      <c r="AS59" s="432"/>
      <c r="AT59" s="432"/>
      <c r="AU59" s="433">
        <f>CEILING(2682*B3,1)</f>
        <v>3755</v>
      </c>
      <c r="AV59" s="433"/>
      <c r="AW59" s="433"/>
      <c r="AX59" s="433"/>
      <c r="AY59" s="183"/>
      <c r="AZ59" s="432" t="s">
        <v>411</v>
      </c>
      <c r="BA59" s="432"/>
      <c r="BB59" s="432"/>
      <c r="BC59" s="432"/>
      <c r="BD59" s="432"/>
      <c r="BE59" s="433">
        <f>CEILING(2361*B3,1)</f>
        <v>3306</v>
      </c>
      <c r="BF59" s="433"/>
      <c r="BG59" s="433"/>
      <c r="BH59" s="433"/>
      <c r="BI59" s="183"/>
      <c r="BJ59" s="432" t="s">
        <v>411</v>
      </c>
      <c r="BK59" s="432"/>
      <c r="BL59" s="432"/>
      <c r="BM59" s="432"/>
      <c r="BN59" s="432"/>
      <c r="BO59" s="433">
        <f>CEILING(2730*B3,1)</f>
        <v>3822</v>
      </c>
      <c r="BP59" s="433"/>
      <c r="BQ59" s="433"/>
      <c r="BR59" s="433"/>
    </row>
    <row r="60" spans="1:70" ht="1.5" customHeight="1" x14ac:dyDescent="0.3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</row>
    <row r="61" spans="1:70" ht="9" customHeight="1" x14ac:dyDescent="0.3">
      <c r="B61" s="429" t="s">
        <v>381</v>
      </c>
      <c r="C61" s="430"/>
      <c r="D61" s="431"/>
      <c r="E61" s="445" t="s">
        <v>395</v>
      </c>
      <c r="F61" s="445"/>
      <c r="G61" s="445"/>
      <c r="H61" s="445"/>
      <c r="I61" s="445"/>
      <c r="J61" s="446"/>
      <c r="K61" s="175"/>
      <c r="L61" s="429" t="s">
        <v>382</v>
      </c>
      <c r="M61" s="430"/>
      <c r="N61" s="431"/>
      <c r="O61" s="445" t="s">
        <v>395</v>
      </c>
      <c r="P61" s="445"/>
      <c r="Q61" s="445"/>
      <c r="R61" s="445"/>
      <c r="S61" s="445"/>
      <c r="T61" s="446"/>
      <c r="U61" s="175"/>
      <c r="V61" s="429" t="s">
        <v>383</v>
      </c>
      <c r="W61" s="430"/>
      <c r="X61" s="431"/>
      <c r="Y61" s="445" t="s">
        <v>395</v>
      </c>
      <c r="Z61" s="445"/>
      <c r="AA61" s="445"/>
      <c r="AB61" s="445"/>
      <c r="AC61" s="445"/>
      <c r="AD61" s="446"/>
      <c r="AE61" s="175"/>
      <c r="AF61" s="429" t="s">
        <v>384</v>
      </c>
      <c r="AG61" s="430"/>
      <c r="AH61" s="431"/>
      <c r="AI61" s="445" t="s">
        <v>396</v>
      </c>
      <c r="AJ61" s="445"/>
      <c r="AK61" s="445"/>
      <c r="AL61" s="445"/>
      <c r="AM61" s="445"/>
      <c r="AN61" s="446"/>
      <c r="AO61" s="175"/>
      <c r="AP61" s="429" t="s">
        <v>385</v>
      </c>
      <c r="AQ61" s="430"/>
      <c r="AR61" s="431"/>
      <c r="AS61" s="445" t="s">
        <v>396</v>
      </c>
      <c r="AT61" s="445"/>
      <c r="AU61" s="445"/>
      <c r="AV61" s="445"/>
      <c r="AW61" s="445"/>
      <c r="AX61" s="446"/>
      <c r="AY61" s="175"/>
      <c r="AZ61" s="429" t="s">
        <v>386</v>
      </c>
      <c r="BA61" s="430"/>
      <c r="BB61" s="431"/>
      <c r="BC61" s="445" t="s">
        <v>396</v>
      </c>
      <c r="BD61" s="445"/>
      <c r="BE61" s="445"/>
      <c r="BF61" s="445"/>
      <c r="BG61" s="445"/>
      <c r="BH61" s="446"/>
      <c r="BI61" s="204"/>
      <c r="BJ61" s="429" t="s">
        <v>387</v>
      </c>
      <c r="BK61" s="430"/>
      <c r="BL61" s="431"/>
      <c r="BM61" s="445" t="s">
        <v>397</v>
      </c>
      <c r="BN61" s="445"/>
      <c r="BO61" s="445"/>
      <c r="BP61" s="445"/>
      <c r="BQ61" s="445"/>
      <c r="BR61" s="446"/>
    </row>
    <row r="62" spans="1:70" ht="9" customHeight="1" x14ac:dyDescent="0.3">
      <c r="B62" s="423" t="s">
        <v>731</v>
      </c>
      <c r="C62" s="424"/>
      <c r="D62" s="424"/>
      <c r="E62" s="424"/>
      <c r="F62" s="424"/>
      <c r="G62" s="424"/>
      <c r="H62" s="424"/>
      <c r="I62" s="424"/>
      <c r="J62" s="425"/>
      <c r="K62" s="180"/>
      <c r="L62" s="423" t="s">
        <v>731</v>
      </c>
      <c r="M62" s="424"/>
      <c r="N62" s="424"/>
      <c r="O62" s="424"/>
      <c r="P62" s="424"/>
      <c r="Q62" s="424"/>
      <c r="R62" s="424"/>
      <c r="S62" s="424"/>
      <c r="T62" s="425"/>
      <c r="U62" s="180"/>
      <c r="V62" s="423" t="s">
        <v>731</v>
      </c>
      <c r="W62" s="424"/>
      <c r="X62" s="424"/>
      <c r="Y62" s="424"/>
      <c r="Z62" s="424"/>
      <c r="AA62" s="424"/>
      <c r="AB62" s="424"/>
      <c r="AC62" s="424"/>
      <c r="AD62" s="425"/>
      <c r="AE62" s="180"/>
      <c r="AF62" s="232"/>
      <c r="AG62" s="223"/>
      <c r="AH62" s="223"/>
      <c r="AI62" s="223"/>
      <c r="AJ62" s="223"/>
      <c r="AK62" s="223"/>
      <c r="AL62" s="223"/>
      <c r="AM62" s="223"/>
      <c r="AN62" s="224"/>
      <c r="AO62" s="180"/>
      <c r="AP62" s="232"/>
      <c r="AQ62" s="223"/>
      <c r="AR62" s="223"/>
      <c r="AS62" s="223"/>
      <c r="AT62" s="223"/>
      <c r="AU62" s="223"/>
      <c r="AV62" s="223"/>
      <c r="AW62" s="223"/>
      <c r="AX62" s="224"/>
      <c r="AY62" s="175"/>
      <c r="AZ62" s="232"/>
      <c r="BA62" s="223"/>
      <c r="BB62" s="223"/>
      <c r="BC62" s="223"/>
      <c r="BD62" s="223"/>
      <c r="BE62" s="223"/>
      <c r="BF62" s="223"/>
      <c r="BG62" s="223"/>
      <c r="BH62" s="224"/>
      <c r="BI62" s="204"/>
      <c r="BJ62" s="232"/>
      <c r="BK62" s="223"/>
      <c r="BL62" s="223"/>
      <c r="BM62" s="223"/>
      <c r="BN62" s="223"/>
      <c r="BO62" s="223"/>
      <c r="BP62" s="223"/>
      <c r="BQ62" s="223"/>
      <c r="BR62" s="224"/>
    </row>
    <row r="63" spans="1:70" ht="9" customHeight="1" x14ac:dyDescent="0.3">
      <c r="B63" s="423" t="s">
        <v>729</v>
      </c>
      <c r="C63" s="424"/>
      <c r="D63" s="424"/>
      <c r="E63" s="424"/>
      <c r="F63" s="424"/>
      <c r="G63" s="424"/>
      <c r="H63" s="424"/>
      <c r="I63" s="424"/>
      <c r="J63" s="425"/>
      <c r="K63" s="180"/>
      <c r="L63" s="423" t="s">
        <v>729</v>
      </c>
      <c r="M63" s="424"/>
      <c r="N63" s="424"/>
      <c r="O63" s="424"/>
      <c r="P63" s="424"/>
      <c r="Q63" s="424"/>
      <c r="R63" s="424"/>
      <c r="S63" s="424"/>
      <c r="T63" s="425"/>
      <c r="U63" s="180"/>
      <c r="V63" s="423" t="s">
        <v>729</v>
      </c>
      <c r="W63" s="424"/>
      <c r="X63" s="424"/>
      <c r="Y63" s="424"/>
      <c r="Z63" s="424"/>
      <c r="AA63" s="424"/>
      <c r="AB63" s="424"/>
      <c r="AC63" s="424"/>
      <c r="AD63" s="425"/>
      <c r="AE63" s="180"/>
      <c r="AF63" s="179"/>
      <c r="AG63" s="180"/>
      <c r="AH63" s="180"/>
      <c r="AI63" s="180"/>
      <c r="AJ63" s="180"/>
      <c r="AK63" s="180"/>
      <c r="AL63" s="180"/>
      <c r="AM63" s="180"/>
      <c r="AN63" s="181"/>
      <c r="AO63" s="180"/>
      <c r="AP63" s="179"/>
      <c r="AQ63" s="180"/>
      <c r="AR63" s="180"/>
      <c r="AS63" s="180"/>
      <c r="AT63" s="180"/>
      <c r="AU63" s="180"/>
      <c r="AV63" s="180"/>
      <c r="AW63" s="180"/>
      <c r="AX63" s="181"/>
      <c r="AY63" s="175"/>
      <c r="AZ63" s="232"/>
      <c r="BA63" s="223"/>
      <c r="BB63" s="223"/>
      <c r="BC63" s="180"/>
      <c r="BD63" s="180"/>
      <c r="BE63" s="180"/>
      <c r="BF63" s="180"/>
      <c r="BG63" s="180"/>
      <c r="BH63" s="181"/>
      <c r="BI63" s="204"/>
      <c r="BJ63" s="232"/>
      <c r="BK63" s="223"/>
      <c r="BL63" s="223"/>
      <c r="BM63" s="180"/>
      <c r="BN63" s="180"/>
      <c r="BO63" s="180"/>
      <c r="BP63" s="180"/>
      <c r="BQ63" s="180"/>
      <c r="BR63" s="181"/>
    </row>
    <row r="64" spans="1:70" ht="9" customHeight="1" x14ac:dyDescent="0.3">
      <c r="B64" s="179"/>
      <c r="C64" s="180"/>
      <c r="D64" s="180"/>
      <c r="E64" s="180"/>
      <c r="F64" s="180"/>
      <c r="G64" s="180"/>
      <c r="H64" s="180"/>
      <c r="I64" s="180"/>
      <c r="J64" s="181"/>
      <c r="K64" s="180"/>
      <c r="L64" s="179"/>
      <c r="M64" s="180"/>
      <c r="N64" s="180"/>
      <c r="O64" s="180"/>
      <c r="P64" s="180"/>
      <c r="Q64" s="180"/>
      <c r="R64" s="180"/>
      <c r="S64" s="180"/>
      <c r="T64" s="181"/>
      <c r="U64" s="180"/>
      <c r="V64" s="179"/>
      <c r="W64" s="180"/>
      <c r="X64" s="180"/>
      <c r="Y64" s="180"/>
      <c r="Z64" s="180"/>
      <c r="AA64" s="180"/>
      <c r="AB64" s="180"/>
      <c r="AC64" s="180"/>
      <c r="AD64" s="181"/>
      <c r="AE64" s="180"/>
      <c r="AF64" s="179"/>
      <c r="AG64" s="180"/>
      <c r="AH64" s="180"/>
      <c r="AI64" s="180"/>
      <c r="AJ64" s="180"/>
      <c r="AK64" s="180"/>
      <c r="AL64" s="180"/>
      <c r="AM64" s="180"/>
      <c r="AN64" s="181"/>
      <c r="AO64" s="180"/>
      <c r="AP64" s="179"/>
      <c r="AQ64" s="180"/>
      <c r="AR64" s="180"/>
      <c r="AS64" s="180"/>
      <c r="AT64" s="180"/>
      <c r="AU64" s="180"/>
      <c r="AV64" s="180"/>
      <c r="AW64" s="180"/>
      <c r="AX64" s="181"/>
      <c r="AY64" s="175"/>
      <c r="AZ64" s="232"/>
      <c r="BA64" s="223"/>
      <c r="BB64" s="223"/>
      <c r="BC64" s="223"/>
      <c r="BD64" s="223"/>
      <c r="BE64" s="223"/>
      <c r="BF64" s="223"/>
      <c r="BG64" s="223"/>
      <c r="BH64" s="224"/>
      <c r="BI64" s="204"/>
      <c r="BJ64" s="179"/>
      <c r="BK64" s="180"/>
      <c r="BL64" s="180"/>
      <c r="BM64" s="180"/>
      <c r="BN64" s="180"/>
      <c r="BO64" s="180"/>
      <c r="BP64" s="180"/>
      <c r="BQ64" s="180"/>
      <c r="BR64" s="181"/>
    </row>
    <row r="65" spans="1:80" ht="9" customHeight="1" x14ac:dyDescent="0.3">
      <c r="B65" s="176"/>
      <c r="C65" s="175"/>
      <c r="D65" s="175"/>
      <c r="E65" s="175"/>
      <c r="F65" s="175"/>
      <c r="G65" s="175"/>
      <c r="H65" s="175"/>
      <c r="I65" s="175"/>
      <c r="J65" s="177"/>
      <c r="K65" s="175"/>
      <c r="L65" s="176"/>
      <c r="M65" s="175"/>
      <c r="N65" s="175"/>
      <c r="O65" s="175"/>
      <c r="P65" s="175"/>
      <c r="Q65" s="175"/>
      <c r="R65" s="175"/>
      <c r="S65" s="175"/>
      <c r="T65" s="177"/>
      <c r="U65" s="175"/>
      <c r="V65" s="176"/>
      <c r="W65" s="175"/>
      <c r="X65" s="175"/>
      <c r="Y65" s="175"/>
      <c r="Z65" s="175"/>
      <c r="AA65" s="175"/>
      <c r="AB65" s="175"/>
      <c r="AC65" s="175"/>
      <c r="AD65" s="177"/>
      <c r="AE65" s="175"/>
      <c r="AF65" s="176"/>
      <c r="AG65" s="175"/>
      <c r="AH65" s="175"/>
      <c r="AI65" s="175"/>
      <c r="AJ65" s="175"/>
      <c r="AK65" s="175"/>
      <c r="AL65" s="175"/>
      <c r="AM65" s="175"/>
      <c r="AN65" s="177"/>
      <c r="AO65" s="175"/>
      <c r="AP65" s="176"/>
      <c r="AQ65" s="175"/>
      <c r="AR65" s="175"/>
      <c r="AS65" s="175"/>
      <c r="AT65" s="175"/>
      <c r="AU65" s="175"/>
      <c r="AV65" s="175"/>
      <c r="AW65" s="175"/>
      <c r="AX65" s="177"/>
      <c r="AY65" s="175"/>
      <c r="AZ65" s="232"/>
      <c r="BA65" s="223"/>
      <c r="BB65" s="223"/>
      <c r="BC65" s="223"/>
      <c r="BD65" s="223"/>
      <c r="BE65" s="223"/>
      <c r="BF65" s="223"/>
      <c r="BG65" s="223"/>
      <c r="BH65" s="224"/>
      <c r="BI65" s="204"/>
      <c r="BJ65" s="232"/>
      <c r="BK65" s="223"/>
      <c r="BL65" s="223"/>
      <c r="BM65" s="223"/>
      <c r="BN65" s="223"/>
      <c r="BO65" s="223"/>
      <c r="BP65" s="223"/>
      <c r="BQ65" s="223"/>
      <c r="BR65" s="224"/>
    </row>
    <row r="66" spans="1:80" ht="9" customHeight="1" x14ac:dyDescent="0.3">
      <c r="B66" s="205"/>
      <c r="C66" s="204"/>
      <c r="D66" s="204"/>
      <c r="E66" s="204"/>
      <c r="F66" s="204"/>
      <c r="G66" s="204"/>
      <c r="H66" s="204"/>
      <c r="I66" s="204"/>
      <c r="J66" s="206"/>
      <c r="K66" s="175"/>
      <c r="L66" s="205"/>
      <c r="M66" s="204"/>
      <c r="N66" s="204"/>
      <c r="O66" s="204"/>
      <c r="P66" s="204"/>
      <c r="Q66" s="204"/>
      <c r="R66" s="204"/>
      <c r="S66" s="204"/>
      <c r="T66" s="206"/>
      <c r="U66" s="175"/>
      <c r="V66" s="205"/>
      <c r="W66" s="204"/>
      <c r="X66" s="204"/>
      <c r="Y66" s="204"/>
      <c r="Z66" s="204"/>
      <c r="AA66" s="204"/>
      <c r="AB66" s="204"/>
      <c r="AC66" s="204"/>
      <c r="AD66" s="206"/>
      <c r="AE66" s="175"/>
      <c r="AF66" s="176"/>
      <c r="AG66" s="175"/>
      <c r="AH66" s="175"/>
      <c r="AI66" s="175"/>
      <c r="AJ66" s="175"/>
      <c r="AK66" s="175"/>
      <c r="AL66" s="175"/>
      <c r="AM66" s="175"/>
      <c r="AN66" s="177"/>
      <c r="AO66" s="175"/>
      <c r="AP66" s="176"/>
      <c r="AQ66" s="175"/>
      <c r="AR66" s="175"/>
      <c r="AS66" s="175"/>
      <c r="AT66" s="175"/>
      <c r="AU66" s="175"/>
      <c r="AV66" s="175"/>
      <c r="AW66" s="175"/>
      <c r="AX66" s="177"/>
      <c r="AY66" s="175"/>
      <c r="AZ66" s="232"/>
      <c r="BA66" s="223"/>
      <c r="BB66" s="223"/>
      <c r="BC66" s="223"/>
      <c r="BD66" s="223"/>
      <c r="BE66" s="223"/>
      <c r="BF66" s="223"/>
      <c r="BG66" s="223"/>
      <c r="BH66" s="224"/>
      <c r="BI66" s="204"/>
      <c r="BJ66" s="232"/>
      <c r="BK66" s="223"/>
      <c r="BL66" s="223"/>
      <c r="BM66" s="223"/>
      <c r="BN66" s="223"/>
      <c r="BO66" s="223"/>
      <c r="BP66" s="223"/>
      <c r="BQ66" s="223"/>
      <c r="BR66" s="224"/>
    </row>
    <row r="67" spans="1:80" ht="9" customHeight="1" x14ac:dyDescent="0.3">
      <c r="B67" s="205"/>
      <c r="C67" s="204"/>
      <c r="D67" s="204"/>
      <c r="E67" s="204"/>
      <c r="F67" s="204"/>
      <c r="G67" s="204"/>
      <c r="H67" s="204"/>
      <c r="I67" s="204"/>
      <c r="J67" s="206"/>
      <c r="K67" s="175"/>
      <c r="L67" s="205"/>
      <c r="M67" s="204"/>
      <c r="N67" s="204"/>
      <c r="O67" s="204"/>
      <c r="P67" s="204"/>
      <c r="Q67" s="204"/>
      <c r="R67" s="204"/>
      <c r="S67" s="204"/>
      <c r="T67" s="206"/>
      <c r="U67" s="175"/>
      <c r="V67" s="205"/>
      <c r="W67" s="204"/>
      <c r="X67" s="204"/>
      <c r="Y67" s="204"/>
      <c r="Z67" s="204"/>
      <c r="AA67" s="204"/>
      <c r="AB67" s="204"/>
      <c r="AC67" s="204"/>
      <c r="AD67" s="206"/>
      <c r="AE67" s="175"/>
      <c r="AF67" s="176"/>
      <c r="AG67" s="175"/>
      <c r="AH67" s="175"/>
      <c r="AI67" s="175"/>
      <c r="AJ67" s="175"/>
      <c r="AK67" s="175"/>
      <c r="AL67" s="175"/>
      <c r="AM67" s="175"/>
      <c r="AN67" s="177"/>
      <c r="AO67" s="175"/>
      <c r="AP67" s="176"/>
      <c r="AQ67" s="175"/>
      <c r="AR67" s="175"/>
      <c r="AS67" s="175"/>
      <c r="AT67" s="175"/>
      <c r="AU67" s="175"/>
      <c r="AV67" s="175"/>
      <c r="AW67" s="175"/>
      <c r="AX67" s="177"/>
      <c r="AY67" s="175"/>
      <c r="AZ67" s="232"/>
      <c r="BA67" s="223"/>
      <c r="BB67" s="223"/>
      <c r="BC67" s="223"/>
      <c r="BD67" s="223"/>
      <c r="BE67" s="223"/>
      <c r="BF67" s="223"/>
      <c r="BG67" s="223"/>
      <c r="BH67" s="224"/>
      <c r="BI67" s="204"/>
      <c r="BJ67" s="232"/>
      <c r="BK67" s="223"/>
      <c r="BL67" s="223"/>
      <c r="BM67" s="223"/>
      <c r="BN67" s="223"/>
      <c r="BO67" s="223"/>
      <c r="BP67" s="223"/>
      <c r="BQ67" s="223"/>
      <c r="BR67" s="224"/>
    </row>
    <row r="68" spans="1:80" ht="9" customHeight="1" x14ac:dyDescent="0.3">
      <c r="B68" s="205"/>
      <c r="C68" s="204"/>
      <c r="D68" s="204"/>
      <c r="E68" s="204"/>
      <c r="F68" s="204"/>
      <c r="G68" s="204"/>
      <c r="H68" s="204"/>
      <c r="I68" s="204"/>
      <c r="J68" s="206"/>
      <c r="K68" s="175"/>
      <c r="L68" s="205"/>
      <c r="M68" s="204"/>
      <c r="N68" s="204"/>
      <c r="O68" s="204"/>
      <c r="P68" s="204"/>
      <c r="Q68" s="204"/>
      <c r="R68" s="204"/>
      <c r="S68" s="204"/>
      <c r="T68" s="206"/>
      <c r="U68" s="175"/>
      <c r="V68" s="205"/>
      <c r="W68" s="204"/>
      <c r="X68" s="204"/>
      <c r="Y68" s="204"/>
      <c r="Z68" s="204"/>
      <c r="AA68" s="204"/>
      <c r="AB68" s="204"/>
      <c r="AC68" s="204"/>
      <c r="AD68" s="206"/>
      <c r="AE68" s="175"/>
      <c r="AF68" s="176"/>
      <c r="AG68" s="175"/>
      <c r="AH68" s="175"/>
      <c r="AI68" s="175"/>
      <c r="AJ68" s="175"/>
      <c r="AK68" s="175"/>
      <c r="AL68" s="175"/>
      <c r="AM68" s="175"/>
      <c r="AN68" s="177"/>
      <c r="AO68" s="175"/>
      <c r="AP68" s="176"/>
      <c r="AQ68" s="175"/>
      <c r="AR68" s="175"/>
      <c r="AS68" s="175"/>
      <c r="AT68" s="175"/>
      <c r="AU68" s="175"/>
      <c r="AV68" s="175"/>
      <c r="AW68" s="175"/>
      <c r="AX68" s="177"/>
      <c r="AY68" s="175"/>
      <c r="AZ68" s="232"/>
      <c r="BA68" s="223"/>
      <c r="BB68" s="223"/>
      <c r="BC68" s="223"/>
      <c r="BD68" s="223"/>
      <c r="BE68" s="223"/>
      <c r="BF68" s="223"/>
      <c r="BG68" s="223"/>
      <c r="BH68" s="224"/>
      <c r="BI68" s="204"/>
      <c r="BJ68" s="232"/>
      <c r="BK68" s="223"/>
      <c r="BL68" s="223"/>
      <c r="BM68" s="223"/>
      <c r="BN68" s="223"/>
      <c r="BO68" s="223"/>
      <c r="BP68" s="223"/>
      <c r="BQ68" s="223"/>
      <c r="BR68" s="224"/>
    </row>
    <row r="69" spans="1:80" ht="9" customHeight="1" x14ac:dyDescent="0.3">
      <c r="B69" s="205"/>
      <c r="C69" s="204"/>
      <c r="D69" s="204"/>
      <c r="E69" s="204"/>
      <c r="F69" s="204"/>
      <c r="G69" s="204"/>
      <c r="H69" s="204"/>
      <c r="I69" s="204"/>
      <c r="J69" s="206"/>
      <c r="K69" s="175"/>
      <c r="L69" s="205"/>
      <c r="M69" s="204"/>
      <c r="N69" s="204"/>
      <c r="O69" s="204"/>
      <c r="P69" s="204"/>
      <c r="Q69" s="204"/>
      <c r="R69" s="204"/>
      <c r="S69" s="204"/>
      <c r="T69" s="206"/>
      <c r="U69" s="175"/>
      <c r="V69" s="205"/>
      <c r="W69" s="204"/>
      <c r="X69" s="204"/>
      <c r="Y69" s="204"/>
      <c r="Z69" s="204"/>
      <c r="AA69" s="204"/>
      <c r="AB69" s="204"/>
      <c r="AC69" s="204"/>
      <c r="AD69" s="206"/>
      <c r="AE69" s="175"/>
      <c r="AF69" s="176"/>
      <c r="AG69" s="175"/>
      <c r="AH69" s="175"/>
      <c r="AI69" s="175"/>
      <c r="AJ69" s="175"/>
      <c r="AK69" s="175"/>
      <c r="AL69" s="175"/>
      <c r="AM69" s="175"/>
      <c r="AN69" s="177"/>
      <c r="AO69" s="175"/>
      <c r="AP69" s="176"/>
      <c r="AQ69" s="175"/>
      <c r="AR69" s="175"/>
      <c r="AS69" s="175"/>
      <c r="AT69" s="175"/>
      <c r="AU69" s="175"/>
      <c r="AV69" s="175"/>
      <c r="AW69" s="175"/>
      <c r="AX69" s="177"/>
      <c r="AY69" s="175"/>
      <c r="AZ69" s="232"/>
      <c r="BA69" s="223"/>
      <c r="BB69" s="223"/>
      <c r="BC69" s="223"/>
      <c r="BD69" s="223"/>
      <c r="BE69" s="223"/>
      <c r="BF69" s="223"/>
      <c r="BG69" s="223"/>
      <c r="BH69" s="224"/>
      <c r="BI69" s="204"/>
      <c r="BJ69" s="232"/>
      <c r="BK69" s="223"/>
      <c r="BL69" s="223"/>
      <c r="BM69" s="223"/>
      <c r="BN69" s="223"/>
      <c r="BO69" s="223"/>
      <c r="BP69" s="223"/>
      <c r="BQ69" s="223"/>
      <c r="BR69" s="224"/>
    </row>
    <row r="70" spans="1:80" s="41" customFormat="1" ht="9" customHeight="1" x14ac:dyDescent="0.3">
      <c r="A70" s="203"/>
      <c r="B70" s="205"/>
      <c r="C70" s="204"/>
      <c r="D70" s="204"/>
      <c r="E70" s="204"/>
      <c r="F70" s="204"/>
      <c r="G70" s="204"/>
      <c r="H70" s="204"/>
      <c r="I70" s="204"/>
      <c r="J70" s="206"/>
      <c r="K70" s="204"/>
      <c r="L70" s="205"/>
      <c r="M70" s="204"/>
      <c r="N70" s="204"/>
      <c r="O70" s="204"/>
      <c r="P70" s="204"/>
      <c r="Q70" s="204"/>
      <c r="R70" s="204"/>
      <c r="S70" s="204"/>
      <c r="T70" s="206"/>
      <c r="U70" s="204"/>
      <c r="V70" s="205"/>
      <c r="W70" s="204"/>
      <c r="X70" s="204"/>
      <c r="Y70" s="204"/>
      <c r="Z70" s="204"/>
      <c r="AA70" s="204"/>
      <c r="AB70" s="204"/>
      <c r="AC70" s="204"/>
      <c r="AD70" s="206"/>
      <c r="AE70" s="204"/>
      <c r="AF70" s="205"/>
      <c r="AG70" s="204"/>
      <c r="AH70" s="204"/>
      <c r="AI70" s="204"/>
      <c r="AJ70" s="204"/>
      <c r="AK70" s="204"/>
      <c r="AL70" s="204"/>
      <c r="AM70" s="204"/>
      <c r="AN70" s="206"/>
      <c r="AO70" s="204"/>
      <c r="AP70" s="205"/>
      <c r="AQ70" s="204"/>
      <c r="AR70" s="204"/>
      <c r="AS70" s="204"/>
      <c r="AT70" s="204"/>
      <c r="AU70" s="204"/>
      <c r="AV70" s="204"/>
      <c r="AW70" s="204"/>
      <c r="AX70" s="206"/>
      <c r="AY70" s="204"/>
      <c r="AZ70" s="232"/>
      <c r="BA70" s="223"/>
      <c r="BB70" s="223"/>
      <c r="BC70" s="223"/>
      <c r="BD70" s="223"/>
      <c r="BE70" s="223"/>
      <c r="BF70" s="223"/>
      <c r="BG70" s="223"/>
      <c r="BH70" s="224"/>
      <c r="BI70" s="175"/>
      <c r="BJ70" s="232"/>
      <c r="BK70" s="223"/>
      <c r="BL70" s="223"/>
      <c r="BM70" s="223"/>
      <c r="BN70" s="223"/>
      <c r="BO70" s="223"/>
      <c r="BP70" s="223"/>
      <c r="BQ70" s="223"/>
      <c r="BR70" s="224"/>
    </row>
    <row r="71" spans="1:80" ht="10.95" customHeight="1" x14ac:dyDescent="0.3">
      <c r="B71" s="176"/>
      <c r="C71" s="175"/>
      <c r="D71" s="175"/>
      <c r="E71" s="175"/>
      <c r="F71" s="175"/>
      <c r="G71" s="175"/>
      <c r="H71" s="175"/>
      <c r="I71" s="175"/>
      <c r="J71" s="177"/>
      <c r="K71" s="175"/>
      <c r="L71" s="176"/>
      <c r="M71" s="175"/>
      <c r="N71" s="175"/>
      <c r="O71" s="175"/>
      <c r="P71" s="175"/>
      <c r="Q71" s="175"/>
      <c r="R71" s="175"/>
      <c r="S71" s="175"/>
      <c r="T71" s="177"/>
      <c r="U71" s="175"/>
      <c r="V71" s="176"/>
      <c r="W71" s="175"/>
      <c r="X71" s="175"/>
      <c r="Y71" s="175"/>
      <c r="Z71" s="175"/>
      <c r="AA71" s="175"/>
      <c r="AB71" s="175"/>
      <c r="AC71" s="175"/>
      <c r="AD71" s="177"/>
      <c r="AE71" s="175"/>
      <c r="AF71" s="176"/>
      <c r="AG71" s="175"/>
      <c r="AH71" s="175"/>
      <c r="AI71" s="175"/>
      <c r="AJ71" s="175"/>
      <c r="AK71" s="175"/>
      <c r="AL71" s="175"/>
      <c r="AM71" s="175"/>
      <c r="AN71" s="177"/>
      <c r="AO71" s="175"/>
      <c r="AP71" s="176"/>
      <c r="AQ71" s="175"/>
      <c r="AR71" s="175"/>
      <c r="AS71" s="175"/>
      <c r="AT71" s="175"/>
      <c r="AU71" s="175"/>
      <c r="AV71" s="175"/>
      <c r="AW71" s="175"/>
      <c r="AX71" s="177"/>
      <c r="AY71" s="175"/>
      <c r="AZ71" s="232"/>
      <c r="BA71" s="223"/>
      <c r="BB71" s="223"/>
      <c r="BC71" s="223"/>
      <c r="BD71" s="223"/>
      <c r="BE71" s="223"/>
      <c r="BF71" s="223"/>
      <c r="BG71" s="223"/>
      <c r="BH71" s="224"/>
      <c r="BI71" s="204"/>
      <c r="BJ71" s="432" t="s">
        <v>412</v>
      </c>
      <c r="BK71" s="432"/>
      <c r="BL71" s="432"/>
      <c r="BM71" s="432"/>
      <c r="BN71" s="432"/>
      <c r="BO71" s="433">
        <f>CEILING(1073*B3,1)</f>
        <v>1503</v>
      </c>
      <c r="BP71" s="433"/>
      <c r="BQ71" s="433"/>
      <c r="BR71" s="433"/>
    </row>
    <row r="72" spans="1:80" ht="12" customHeight="1" x14ac:dyDescent="0.3">
      <c r="B72" s="476" t="s">
        <v>724</v>
      </c>
      <c r="C72" s="477"/>
      <c r="D72" s="477"/>
      <c r="E72" s="477"/>
      <c r="F72" s="477"/>
      <c r="G72" s="477"/>
      <c r="H72" s="477"/>
      <c r="I72" s="477"/>
      <c r="J72" s="478"/>
      <c r="K72" s="175"/>
      <c r="L72" s="476" t="s">
        <v>724</v>
      </c>
      <c r="M72" s="477"/>
      <c r="N72" s="477"/>
      <c r="O72" s="477"/>
      <c r="P72" s="477"/>
      <c r="Q72" s="477"/>
      <c r="R72" s="477"/>
      <c r="S72" s="477"/>
      <c r="T72" s="478"/>
      <c r="U72" s="175"/>
      <c r="V72" s="476" t="s">
        <v>724</v>
      </c>
      <c r="W72" s="477"/>
      <c r="X72" s="477"/>
      <c r="Y72" s="477"/>
      <c r="Z72" s="477"/>
      <c r="AA72" s="477"/>
      <c r="AB72" s="477"/>
      <c r="AC72" s="477"/>
      <c r="AD72" s="478"/>
      <c r="AE72" s="175"/>
      <c r="AF72" s="432" t="s">
        <v>765</v>
      </c>
      <c r="AG72" s="432"/>
      <c r="AH72" s="432"/>
      <c r="AI72" s="432"/>
      <c r="AJ72" s="432"/>
      <c r="AK72" s="433">
        <f>CEILING(593*B3,1)</f>
        <v>831</v>
      </c>
      <c r="AL72" s="433"/>
      <c r="AM72" s="433"/>
      <c r="AN72" s="433"/>
      <c r="AO72" s="183"/>
      <c r="AP72" s="432" t="s">
        <v>826</v>
      </c>
      <c r="AQ72" s="432"/>
      <c r="AR72" s="432"/>
      <c r="AS72" s="432"/>
      <c r="AT72" s="432"/>
      <c r="AU72" s="433">
        <f>CEILING(251*B3,1)</f>
        <v>352</v>
      </c>
      <c r="AV72" s="433"/>
      <c r="AW72" s="433"/>
      <c r="AX72" s="433"/>
      <c r="AY72" s="183"/>
      <c r="AZ72" s="432" t="s">
        <v>828</v>
      </c>
      <c r="BA72" s="432"/>
      <c r="BB72" s="432"/>
      <c r="BC72" s="432"/>
      <c r="BD72" s="432"/>
      <c r="BE72" s="433">
        <f>CEILING(298*B3,1)</f>
        <v>418</v>
      </c>
      <c r="BF72" s="433"/>
      <c r="BG72" s="433"/>
      <c r="BH72" s="433"/>
      <c r="BI72" s="235"/>
      <c r="BJ72" s="432" t="s">
        <v>413</v>
      </c>
      <c r="BK72" s="432"/>
      <c r="BL72" s="432"/>
      <c r="BM72" s="432"/>
      <c r="BN72" s="432"/>
      <c r="BO72" s="433">
        <f>CEILING(1540*B3,1)</f>
        <v>2156</v>
      </c>
      <c r="BP72" s="433"/>
      <c r="BQ72" s="433"/>
      <c r="BR72" s="433"/>
    </row>
    <row r="73" spans="1:80" s="66" customFormat="1" ht="12" customHeight="1" x14ac:dyDescent="0.3">
      <c r="A73" s="196"/>
      <c r="B73" s="432" t="s">
        <v>411</v>
      </c>
      <c r="C73" s="432"/>
      <c r="D73" s="432"/>
      <c r="E73" s="432"/>
      <c r="F73" s="432"/>
      <c r="G73" s="433">
        <f>CEILING(2706*B3,1)</f>
        <v>3789</v>
      </c>
      <c r="H73" s="433"/>
      <c r="I73" s="433"/>
      <c r="J73" s="433"/>
      <c r="K73" s="183"/>
      <c r="L73" s="432" t="s">
        <v>411</v>
      </c>
      <c r="M73" s="432"/>
      <c r="N73" s="432"/>
      <c r="O73" s="432"/>
      <c r="P73" s="432"/>
      <c r="Q73" s="433">
        <f>CEILING(2889*B3,1)</f>
        <v>4045</v>
      </c>
      <c r="R73" s="433"/>
      <c r="S73" s="433"/>
      <c r="T73" s="433"/>
      <c r="U73" s="183"/>
      <c r="V73" s="432" t="s">
        <v>411</v>
      </c>
      <c r="W73" s="432"/>
      <c r="X73" s="432"/>
      <c r="Y73" s="432"/>
      <c r="Z73" s="432"/>
      <c r="AA73" s="433">
        <f>CEILING(3074*B3,1)</f>
        <v>4304</v>
      </c>
      <c r="AB73" s="433"/>
      <c r="AC73" s="433"/>
      <c r="AD73" s="433"/>
      <c r="AE73" s="183"/>
      <c r="AF73" s="432" t="s">
        <v>766</v>
      </c>
      <c r="AG73" s="432"/>
      <c r="AH73" s="432"/>
      <c r="AI73" s="432"/>
      <c r="AJ73" s="432"/>
      <c r="AK73" s="433">
        <f>CEILING(852*B3,1)</f>
        <v>1193</v>
      </c>
      <c r="AL73" s="433"/>
      <c r="AM73" s="433"/>
      <c r="AN73" s="433"/>
      <c r="AO73" s="183"/>
      <c r="AP73" s="432" t="s">
        <v>827</v>
      </c>
      <c r="AQ73" s="432"/>
      <c r="AR73" s="432"/>
      <c r="AS73" s="432"/>
      <c r="AT73" s="432"/>
      <c r="AU73" s="433">
        <f>CEILING(274*B3,1)</f>
        <v>384</v>
      </c>
      <c r="AV73" s="433"/>
      <c r="AW73" s="433"/>
      <c r="AX73" s="433"/>
      <c r="AY73" s="183"/>
      <c r="AZ73" s="432" t="s">
        <v>829</v>
      </c>
      <c r="BA73" s="432"/>
      <c r="BB73" s="432"/>
      <c r="BC73" s="432"/>
      <c r="BD73" s="432"/>
      <c r="BE73" s="433">
        <f>CEILING(361*B3,1)</f>
        <v>506</v>
      </c>
      <c r="BF73" s="433"/>
      <c r="BG73" s="433"/>
      <c r="BH73" s="433"/>
      <c r="BI73" s="183"/>
      <c r="BJ73" s="432" t="s">
        <v>414</v>
      </c>
      <c r="BK73" s="432"/>
      <c r="BL73" s="432"/>
      <c r="BM73" s="432"/>
      <c r="BN73" s="432"/>
      <c r="BO73" s="433">
        <f>CEILING(2043*B3,1)</f>
        <v>2861</v>
      </c>
      <c r="BP73" s="433"/>
      <c r="BQ73" s="433"/>
      <c r="BR73" s="433"/>
    </row>
    <row r="74" spans="1:80" ht="1.5" customHeight="1" x14ac:dyDescent="0.3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</row>
    <row r="75" spans="1:80" ht="9" customHeight="1" x14ac:dyDescent="0.3">
      <c r="B75" s="429" t="s">
        <v>388</v>
      </c>
      <c r="C75" s="430"/>
      <c r="D75" s="431"/>
      <c r="E75" s="445" t="s">
        <v>398</v>
      </c>
      <c r="F75" s="445"/>
      <c r="G75" s="445"/>
      <c r="H75" s="445"/>
      <c r="I75" s="445"/>
      <c r="J75" s="446"/>
      <c r="K75" s="175"/>
      <c r="L75" s="429" t="s">
        <v>389</v>
      </c>
      <c r="M75" s="430"/>
      <c r="N75" s="431"/>
      <c r="O75" s="445" t="s">
        <v>399</v>
      </c>
      <c r="P75" s="445"/>
      <c r="Q75" s="445"/>
      <c r="R75" s="445"/>
      <c r="S75" s="445"/>
      <c r="T75" s="446"/>
      <c r="U75" s="175"/>
      <c r="V75" s="429" t="s">
        <v>390</v>
      </c>
      <c r="W75" s="430"/>
      <c r="X75" s="431"/>
      <c r="Y75" s="445" t="s">
        <v>400</v>
      </c>
      <c r="Z75" s="445"/>
      <c r="AA75" s="445"/>
      <c r="AB75" s="445"/>
      <c r="AC75" s="445"/>
      <c r="AD75" s="446"/>
      <c r="AE75" s="175"/>
      <c r="AF75" s="429" t="s">
        <v>391</v>
      </c>
      <c r="AG75" s="430"/>
      <c r="AH75" s="431"/>
      <c r="AI75" s="445" t="s">
        <v>402</v>
      </c>
      <c r="AJ75" s="445"/>
      <c r="AK75" s="445"/>
      <c r="AL75" s="445"/>
      <c r="AM75" s="445"/>
      <c r="AN75" s="446"/>
      <c r="AO75" s="175"/>
      <c r="AP75" s="479" t="s">
        <v>392</v>
      </c>
      <c r="AQ75" s="480"/>
      <c r="AR75" s="481"/>
      <c r="AS75" s="445" t="s">
        <v>400</v>
      </c>
      <c r="AT75" s="445"/>
      <c r="AU75" s="445"/>
      <c r="AV75" s="445"/>
      <c r="AW75" s="445"/>
      <c r="AX75" s="446"/>
      <c r="AY75" s="175"/>
      <c r="AZ75" s="429" t="s">
        <v>393</v>
      </c>
      <c r="BA75" s="430"/>
      <c r="BB75" s="431"/>
      <c r="BC75" s="482" t="s">
        <v>404</v>
      </c>
      <c r="BD75" s="482"/>
      <c r="BE75" s="482"/>
      <c r="BF75" s="482"/>
      <c r="BG75" s="482"/>
      <c r="BH75" s="483"/>
      <c r="BI75" s="204"/>
      <c r="BJ75" s="429" t="s">
        <v>394</v>
      </c>
      <c r="BK75" s="430"/>
      <c r="BL75" s="431"/>
      <c r="BM75" s="482" t="s">
        <v>404</v>
      </c>
      <c r="BN75" s="482"/>
      <c r="BO75" s="482"/>
      <c r="BP75" s="482"/>
      <c r="BQ75" s="482"/>
      <c r="BR75" s="483"/>
      <c r="BT75" s="470"/>
      <c r="BU75" s="470"/>
      <c r="BV75" s="470"/>
      <c r="BW75" s="470"/>
      <c r="BX75" s="470"/>
      <c r="BY75" s="470"/>
      <c r="BZ75" s="470"/>
      <c r="CA75" s="470"/>
      <c r="CB75" s="470"/>
    </row>
    <row r="76" spans="1:80" ht="9" customHeight="1" x14ac:dyDescent="0.3">
      <c r="B76" s="232"/>
      <c r="C76" s="223"/>
      <c r="D76" s="223"/>
      <c r="E76" s="223"/>
      <c r="F76" s="223"/>
      <c r="G76" s="223"/>
      <c r="H76" s="223"/>
      <c r="I76" s="223"/>
      <c r="J76" s="224"/>
      <c r="K76" s="175"/>
      <c r="L76" s="232"/>
      <c r="M76" s="223"/>
      <c r="N76" s="223"/>
      <c r="O76" s="223"/>
      <c r="P76" s="223"/>
      <c r="Q76" s="223"/>
      <c r="R76" s="223"/>
      <c r="S76" s="223"/>
      <c r="T76" s="224"/>
      <c r="U76" s="175"/>
      <c r="V76" s="423" t="s">
        <v>401</v>
      </c>
      <c r="W76" s="424"/>
      <c r="X76" s="424"/>
      <c r="Y76" s="424"/>
      <c r="Z76" s="424"/>
      <c r="AA76" s="424"/>
      <c r="AB76" s="424"/>
      <c r="AC76" s="424"/>
      <c r="AD76" s="425"/>
      <c r="AE76" s="175"/>
      <c r="AF76" s="423" t="s">
        <v>401</v>
      </c>
      <c r="AG76" s="424"/>
      <c r="AH76" s="424"/>
      <c r="AI76" s="424"/>
      <c r="AJ76" s="424"/>
      <c r="AK76" s="424"/>
      <c r="AL76" s="424"/>
      <c r="AM76" s="424"/>
      <c r="AN76" s="425"/>
      <c r="AO76" s="175"/>
      <c r="AP76" s="484" t="s">
        <v>725</v>
      </c>
      <c r="AQ76" s="486" t="s">
        <v>727</v>
      </c>
      <c r="AR76" s="424" t="s">
        <v>403</v>
      </c>
      <c r="AS76" s="424"/>
      <c r="AT76" s="424"/>
      <c r="AU76" s="424"/>
      <c r="AV76" s="424"/>
      <c r="AW76" s="424"/>
      <c r="AX76" s="425"/>
      <c r="AY76" s="175"/>
      <c r="AZ76" s="423" t="s">
        <v>405</v>
      </c>
      <c r="BA76" s="424"/>
      <c r="BB76" s="424"/>
      <c r="BC76" s="424"/>
      <c r="BD76" s="424"/>
      <c r="BE76" s="424"/>
      <c r="BF76" s="424"/>
      <c r="BG76" s="424"/>
      <c r="BH76" s="425"/>
      <c r="BI76" s="206"/>
      <c r="BJ76" s="424" t="s">
        <v>406</v>
      </c>
      <c r="BK76" s="424"/>
      <c r="BL76" s="424"/>
      <c r="BM76" s="424"/>
      <c r="BN76" s="424"/>
      <c r="BO76" s="424"/>
      <c r="BP76" s="424"/>
      <c r="BQ76" s="424"/>
      <c r="BR76" s="425"/>
      <c r="BT76" s="50"/>
      <c r="BU76" s="50"/>
      <c r="BV76" s="50"/>
      <c r="BW76" s="50"/>
      <c r="BX76" s="50"/>
      <c r="BY76" s="50"/>
      <c r="BZ76" s="50"/>
      <c r="CA76" s="50"/>
      <c r="CB76" s="50"/>
    </row>
    <row r="77" spans="1:80" ht="9" customHeight="1" x14ac:dyDescent="0.3">
      <c r="B77" s="176"/>
      <c r="C77" s="175"/>
      <c r="D77" s="175"/>
      <c r="E77" s="175"/>
      <c r="F77" s="175"/>
      <c r="G77" s="175"/>
      <c r="H77" s="175"/>
      <c r="I77" s="175"/>
      <c r="J77" s="177"/>
      <c r="K77" s="175"/>
      <c r="L77" s="176"/>
      <c r="M77" s="175"/>
      <c r="N77" s="175"/>
      <c r="O77" s="175"/>
      <c r="P77" s="175"/>
      <c r="Q77" s="175"/>
      <c r="R77" s="175"/>
      <c r="S77" s="175"/>
      <c r="T77" s="177"/>
      <c r="U77" s="175"/>
      <c r="V77" s="176"/>
      <c r="W77" s="175"/>
      <c r="X77" s="175"/>
      <c r="Y77" s="175"/>
      <c r="Z77" s="175"/>
      <c r="AA77" s="175"/>
      <c r="AB77" s="175"/>
      <c r="AC77" s="175"/>
      <c r="AD77" s="177"/>
      <c r="AE77" s="175"/>
      <c r="AF77" s="176"/>
      <c r="AG77" s="175"/>
      <c r="AH77" s="175"/>
      <c r="AI77" s="175"/>
      <c r="AJ77" s="175"/>
      <c r="AK77" s="175"/>
      <c r="AL77" s="175"/>
      <c r="AM77" s="175"/>
      <c r="AN77" s="177"/>
      <c r="AO77" s="175"/>
      <c r="AP77" s="485"/>
      <c r="AQ77" s="487"/>
      <c r="AR77" s="175"/>
      <c r="AS77" s="175"/>
      <c r="AT77" s="175"/>
      <c r="AU77" s="175"/>
      <c r="AV77" s="175"/>
      <c r="AW77" s="175"/>
      <c r="AX77" s="177"/>
      <c r="AY77" s="175"/>
      <c r="AZ77" s="488" t="s">
        <v>728</v>
      </c>
      <c r="BA77" s="223"/>
      <c r="BB77" s="223"/>
      <c r="BC77" s="180"/>
      <c r="BD77" s="180"/>
      <c r="BE77" s="180"/>
      <c r="BF77" s="180"/>
      <c r="BG77" s="180"/>
      <c r="BH77" s="181"/>
      <c r="BI77" s="206"/>
      <c r="BJ77" s="488" t="s">
        <v>728</v>
      </c>
      <c r="BK77" s="223"/>
      <c r="BL77" s="223"/>
      <c r="BM77" s="180"/>
      <c r="BN77" s="180"/>
      <c r="BO77" s="180"/>
      <c r="BP77" s="180"/>
      <c r="BQ77" s="180"/>
      <c r="BR77" s="181"/>
      <c r="BT77" s="50"/>
      <c r="BU77" s="50"/>
      <c r="BV77" s="50"/>
      <c r="BW77" s="34"/>
      <c r="BX77" s="34"/>
      <c r="BY77" s="34"/>
      <c r="BZ77" s="34"/>
      <c r="CA77" s="34"/>
      <c r="CB77" s="34"/>
    </row>
    <row r="78" spans="1:80" ht="9" customHeight="1" x14ac:dyDescent="0.3">
      <c r="B78" s="176"/>
      <c r="C78" s="175"/>
      <c r="D78" s="175"/>
      <c r="E78" s="175"/>
      <c r="F78" s="175"/>
      <c r="G78" s="175"/>
      <c r="H78" s="175"/>
      <c r="I78" s="175"/>
      <c r="J78" s="177"/>
      <c r="K78" s="175"/>
      <c r="L78" s="176"/>
      <c r="M78" s="175"/>
      <c r="N78" s="175"/>
      <c r="O78" s="175"/>
      <c r="P78" s="175"/>
      <c r="Q78" s="175"/>
      <c r="R78" s="175"/>
      <c r="S78" s="175"/>
      <c r="T78" s="177"/>
      <c r="U78" s="175"/>
      <c r="V78" s="176"/>
      <c r="W78" s="175"/>
      <c r="X78" s="175"/>
      <c r="Y78" s="175"/>
      <c r="Z78" s="175"/>
      <c r="AA78" s="175"/>
      <c r="AB78" s="175"/>
      <c r="AC78" s="175"/>
      <c r="AD78" s="177"/>
      <c r="AE78" s="175"/>
      <c r="AF78" s="176"/>
      <c r="AG78" s="175"/>
      <c r="AH78" s="175"/>
      <c r="AI78" s="175"/>
      <c r="AJ78" s="175"/>
      <c r="AK78" s="175"/>
      <c r="AL78" s="175"/>
      <c r="AM78" s="175"/>
      <c r="AN78" s="177"/>
      <c r="AO78" s="175"/>
      <c r="AP78" s="485"/>
      <c r="AQ78" s="487"/>
      <c r="AR78" s="175"/>
      <c r="AS78" s="175"/>
      <c r="AT78" s="175"/>
      <c r="AU78" s="175"/>
      <c r="AV78" s="175"/>
      <c r="AW78" s="175"/>
      <c r="AX78" s="177"/>
      <c r="AY78" s="175"/>
      <c r="AZ78" s="488"/>
      <c r="BA78" s="223"/>
      <c r="BB78" s="223"/>
      <c r="BC78" s="180"/>
      <c r="BD78" s="180"/>
      <c r="BE78" s="180"/>
      <c r="BF78" s="180"/>
      <c r="BG78" s="180"/>
      <c r="BH78" s="181"/>
      <c r="BI78" s="206"/>
      <c r="BJ78" s="488"/>
      <c r="BK78" s="223"/>
      <c r="BL78" s="223"/>
      <c r="BM78" s="180"/>
      <c r="BN78" s="180"/>
      <c r="BO78" s="180"/>
      <c r="BP78" s="180"/>
      <c r="BQ78" s="180"/>
      <c r="BR78" s="181"/>
      <c r="BT78" s="50"/>
      <c r="BU78" s="50"/>
      <c r="BV78" s="50"/>
      <c r="BW78" s="34"/>
      <c r="BX78" s="34"/>
      <c r="BY78" s="34"/>
      <c r="BZ78" s="34"/>
      <c r="CA78" s="34"/>
      <c r="CB78" s="34"/>
    </row>
    <row r="79" spans="1:80" ht="9" customHeight="1" x14ac:dyDescent="0.3">
      <c r="B79" s="176"/>
      <c r="C79" s="175"/>
      <c r="D79" s="175"/>
      <c r="E79" s="175"/>
      <c r="F79" s="175"/>
      <c r="G79" s="175"/>
      <c r="H79" s="175"/>
      <c r="I79" s="175"/>
      <c r="J79" s="177"/>
      <c r="K79" s="175"/>
      <c r="L79" s="176"/>
      <c r="M79" s="175"/>
      <c r="N79" s="175"/>
      <c r="O79" s="175"/>
      <c r="P79" s="175"/>
      <c r="Q79" s="175"/>
      <c r="R79" s="175"/>
      <c r="S79" s="175"/>
      <c r="T79" s="177"/>
      <c r="U79" s="175"/>
      <c r="V79" s="176"/>
      <c r="W79" s="175"/>
      <c r="X79" s="175"/>
      <c r="Y79" s="175"/>
      <c r="Z79" s="175"/>
      <c r="AA79" s="175"/>
      <c r="AB79" s="175"/>
      <c r="AC79" s="175"/>
      <c r="AD79" s="177"/>
      <c r="AE79" s="175"/>
      <c r="AF79" s="176"/>
      <c r="AG79" s="175"/>
      <c r="AH79" s="175"/>
      <c r="AI79" s="175"/>
      <c r="AJ79" s="175"/>
      <c r="AK79" s="175"/>
      <c r="AL79" s="175"/>
      <c r="AM79" s="175"/>
      <c r="AN79" s="177"/>
      <c r="AO79" s="175"/>
      <c r="AP79" s="485"/>
      <c r="AQ79" s="487"/>
      <c r="AR79" s="175"/>
      <c r="AS79" s="175"/>
      <c r="AT79" s="175"/>
      <c r="AU79" s="175"/>
      <c r="AV79" s="175"/>
      <c r="AW79" s="175"/>
      <c r="AX79" s="177"/>
      <c r="AY79" s="175"/>
      <c r="AZ79" s="488"/>
      <c r="BA79" s="223"/>
      <c r="BB79" s="223"/>
      <c r="BC79" s="180"/>
      <c r="BD79" s="180"/>
      <c r="BE79" s="180"/>
      <c r="BF79" s="180"/>
      <c r="BG79" s="180"/>
      <c r="BH79" s="181"/>
      <c r="BI79" s="206"/>
      <c r="BJ79" s="488"/>
      <c r="BK79" s="223"/>
      <c r="BL79" s="223"/>
      <c r="BM79" s="180"/>
      <c r="BN79" s="180"/>
      <c r="BO79" s="180"/>
      <c r="BP79" s="180"/>
      <c r="BQ79" s="180"/>
      <c r="BR79" s="181"/>
      <c r="BT79" s="50"/>
      <c r="BU79" s="50"/>
      <c r="BV79" s="50"/>
      <c r="BW79" s="34"/>
      <c r="BX79" s="34"/>
      <c r="BY79" s="34"/>
      <c r="BZ79" s="34"/>
      <c r="CA79" s="34"/>
      <c r="CB79" s="34"/>
    </row>
    <row r="80" spans="1:80" ht="9" customHeight="1" x14ac:dyDescent="0.3">
      <c r="B80" s="176"/>
      <c r="C80" s="175"/>
      <c r="D80" s="175"/>
      <c r="E80" s="175"/>
      <c r="F80" s="175"/>
      <c r="G80" s="175"/>
      <c r="H80" s="175"/>
      <c r="I80" s="175"/>
      <c r="J80" s="177"/>
      <c r="K80" s="175"/>
      <c r="L80" s="176"/>
      <c r="M80" s="175"/>
      <c r="N80" s="175"/>
      <c r="O80" s="175"/>
      <c r="P80" s="175"/>
      <c r="Q80" s="175"/>
      <c r="R80" s="175"/>
      <c r="S80" s="175"/>
      <c r="T80" s="177"/>
      <c r="U80" s="175"/>
      <c r="V80" s="176"/>
      <c r="W80" s="175"/>
      <c r="X80" s="175"/>
      <c r="Y80" s="175"/>
      <c r="Z80" s="175"/>
      <c r="AA80" s="175"/>
      <c r="AB80" s="175"/>
      <c r="AC80" s="175"/>
      <c r="AD80" s="177"/>
      <c r="AE80" s="175"/>
      <c r="AF80" s="176"/>
      <c r="AG80" s="175"/>
      <c r="AH80" s="175"/>
      <c r="AI80" s="175"/>
      <c r="AJ80" s="175"/>
      <c r="AK80" s="175"/>
      <c r="AL80" s="175"/>
      <c r="AM80" s="175"/>
      <c r="AN80" s="177"/>
      <c r="AO80" s="175"/>
      <c r="AP80" s="485"/>
      <c r="AQ80" s="487"/>
      <c r="AR80" s="175"/>
      <c r="AS80" s="175"/>
      <c r="AT80" s="175"/>
      <c r="AU80" s="175"/>
      <c r="AV80" s="175"/>
      <c r="AW80" s="175"/>
      <c r="AX80" s="177"/>
      <c r="AY80" s="175"/>
      <c r="AZ80" s="488"/>
      <c r="BA80" s="223"/>
      <c r="BB80" s="223"/>
      <c r="BC80" s="180"/>
      <c r="BD80" s="180"/>
      <c r="BE80" s="180"/>
      <c r="BF80" s="180"/>
      <c r="BG80" s="180"/>
      <c r="BH80" s="181"/>
      <c r="BI80" s="206"/>
      <c r="BJ80" s="488"/>
      <c r="BK80" s="223"/>
      <c r="BL80" s="223"/>
      <c r="BM80" s="180"/>
      <c r="BN80" s="180"/>
      <c r="BO80" s="180"/>
      <c r="BP80" s="180"/>
      <c r="BQ80" s="180"/>
      <c r="BR80" s="181"/>
      <c r="BT80" s="50"/>
      <c r="BU80" s="50"/>
      <c r="BV80" s="50"/>
      <c r="BW80" s="34"/>
      <c r="BX80" s="34"/>
      <c r="BY80" s="34"/>
      <c r="BZ80" s="34"/>
      <c r="CA80" s="34"/>
      <c r="CB80" s="34"/>
    </row>
    <row r="81" spans="1:80" ht="9" customHeight="1" x14ac:dyDescent="0.3">
      <c r="B81" s="176"/>
      <c r="C81" s="175"/>
      <c r="D81" s="175"/>
      <c r="E81" s="175"/>
      <c r="F81" s="175"/>
      <c r="G81" s="175"/>
      <c r="H81" s="175"/>
      <c r="I81" s="175"/>
      <c r="J81" s="177"/>
      <c r="K81" s="175"/>
      <c r="L81" s="176"/>
      <c r="M81" s="175"/>
      <c r="N81" s="175"/>
      <c r="O81" s="175"/>
      <c r="P81" s="175"/>
      <c r="Q81" s="175"/>
      <c r="R81" s="175"/>
      <c r="S81" s="175"/>
      <c r="T81" s="177"/>
      <c r="U81" s="175"/>
      <c r="V81" s="176"/>
      <c r="W81" s="175"/>
      <c r="X81" s="175"/>
      <c r="Y81" s="175"/>
      <c r="Z81" s="175"/>
      <c r="AA81" s="175"/>
      <c r="AB81" s="175"/>
      <c r="AC81" s="175"/>
      <c r="AD81" s="177"/>
      <c r="AE81" s="175"/>
      <c r="AF81" s="176"/>
      <c r="AG81" s="175"/>
      <c r="AH81" s="175"/>
      <c r="AI81" s="175"/>
      <c r="AJ81" s="175"/>
      <c r="AK81" s="175"/>
      <c r="AL81" s="175"/>
      <c r="AM81" s="175"/>
      <c r="AN81" s="177"/>
      <c r="AO81" s="175"/>
      <c r="AP81" s="485"/>
      <c r="AQ81" s="487"/>
      <c r="AR81" s="175"/>
      <c r="AS81" s="175"/>
      <c r="AT81" s="175"/>
      <c r="AU81" s="175"/>
      <c r="AV81" s="175"/>
      <c r="AW81" s="175"/>
      <c r="AX81" s="177"/>
      <c r="AY81" s="175"/>
      <c r="AZ81" s="488"/>
      <c r="BA81" s="223"/>
      <c r="BB81" s="223"/>
      <c r="BC81" s="180"/>
      <c r="BD81" s="180"/>
      <c r="BE81" s="180"/>
      <c r="BF81" s="180"/>
      <c r="BG81" s="180"/>
      <c r="BH81" s="181"/>
      <c r="BI81" s="206"/>
      <c r="BJ81" s="488"/>
      <c r="BK81" s="223"/>
      <c r="BL81" s="223"/>
      <c r="BM81" s="180"/>
      <c r="BN81" s="180"/>
      <c r="BO81" s="180"/>
      <c r="BP81" s="180"/>
      <c r="BQ81" s="180"/>
      <c r="BR81" s="181"/>
      <c r="BT81" s="50"/>
      <c r="BU81" s="50"/>
      <c r="BV81" s="50"/>
      <c r="BW81" s="34"/>
      <c r="BX81" s="34"/>
      <c r="BY81" s="34"/>
      <c r="BZ81" s="34"/>
      <c r="CA81" s="34"/>
      <c r="CB81" s="34"/>
    </row>
    <row r="82" spans="1:80" ht="9" customHeight="1" x14ac:dyDescent="0.3">
      <c r="B82" s="176"/>
      <c r="C82" s="175"/>
      <c r="D82" s="175"/>
      <c r="E82" s="175"/>
      <c r="F82" s="175"/>
      <c r="G82" s="175"/>
      <c r="H82" s="175"/>
      <c r="I82" s="175"/>
      <c r="J82" s="177"/>
      <c r="K82" s="175"/>
      <c r="L82" s="176"/>
      <c r="M82" s="175"/>
      <c r="N82" s="175"/>
      <c r="O82" s="175"/>
      <c r="P82" s="175"/>
      <c r="Q82" s="175"/>
      <c r="R82" s="175"/>
      <c r="S82" s="175"/>
      <c r="T82" s="177"/>
      <c r="U82" s="175"/>
      <c r="V82" s="176"/>
      <c r="W82" s="175"/>
      <c r="X82" s="175"/>
      <c r="Y82" s="175"/>
      <c r="Z82" s="175"/>
      <c r="AA82" s="175"/>
      <c r="AB82" s="175"/>
      <c r="AC82" s="175"/>
      <c r="AD82" s="177"/>
      <c r="AE82" s="175"/>
      <c r="AF82" s="176"/>
      <c r="AG82" s="175"/>
      <c r="AH82" s="175"/>
      <c r="AI82" s="175"/>
      <c r="AJ82" s="175"/>
      <c r="AK82" s="175"/>
      <c r="AL82" s="175"/>
      <c r="AM82" s="175"/>
      <c r="AN82" s="177"/>
      <c r="AO82" s="175"/>
      <c r="AP82" s="485"/>
      <c r="AQ82" s="487"/>
      <c r="AR82" s="175"/>
      <c r="AS82" s="175"/>
      <c r="AT82" s="175"/>
      <c r="AU82" s="175"/>
      <c r="AV82" s="175"/>
      <c r="AW82" s="175"/>
      <c r="AX82" s="177"/>
      <c r="AY82" s="175"/>
      <c r="AZ82" s="488"/>
      <c r="BA82" s="180"/>
      <c r="BB82" s="180"/>
      <c r="BC82" s="180"/>
      <c r="BD82" s="180"/>
      <c r="BE82" s="180"/>
      <c r="BF82" s="180"/>
      <c r="BG82" s="180"/>
      <c r="BH82" s="181"/>
      <c r="BI82" s="206"/>
      <c r="BJ82" s="488"/>
      <c r="BK82" s="180"/>
      <c r="BL82" s="180"/>
      <c r="BM82" s="180"/>
      <c r="BN82" s="180"/>
      <c r="BO82" s="180"/>
      <c r="BP82" s="180"/>
      <c r="BQ82" s="180"/>
      <c r="BR82" s="181"/>
      <c r="BT82" s="50"/>
      <c r="BU82" s="50"/>
      <c r="BV82" s="50"/>
      <c r="BW82" s="50"/>
      <c r="BX82" s="50"/>
      <c r="BY82" s="50"/>
      <c r="BZ82" s="50"/>
      <c r="CA82" s="50"/>
      <c r="CB82" s="50"/>
    </row>
    <row r="83" spans="1:80" ht="9" customHeight="1" x14ac:dyDescent="0.3">
      <c r="B83" s="176"/>
      <c r="C83" s="175"/>
      <c r="D83" s="175"/>
      <c r="E83" s="175"/>
      <c r="F83" s="175"/>
      <c r="G83" s="175"/>
      <c r="H83" s="175"/>
      <c r="I83" s="175"/>
      <c r="J83" s="177"/>
      <c r="K83" s="175"/>
      <c r="L83" s="176"/>
      <c r="M83" s="175"/>
      <c r="N83" s="175"/>
      <c r="O83" s="175"/>
      <c r="P83" s="175"/>
      <c r="Q83" s="175"/>
      <c r="R83" s="175"/>
      <c r="S83" s="175"/>
      <c r="T83" s="177"/>
      <c r="U83" s="175"/>
      <c r="V83" s="176"/>
      <c r="W83" s="175"/>
      <c r="X83" s="175"/>
      <c r="Y83" s="175"/>
      <c r="Z83" s="175"/>
      <c r="AA83" s="175"/>
      <c r="AB83" s="175"/>
      <c r="AC83" s="175"/>
      <c r="AD83" s="177"/>
      <c r="AE83" s="175"/>
      <c r="AF83" s="176"/>
      <c r="AG83" s="175"/>
      <c r="AH83" s="175"/>
      <c r="AI83" s="175"/>
      <c r="AJ83" s="175"/>
      <c r="AK83" s="175"/>
      <c r="AL83" s="175"/>
      <c r="AM83" s="175"/>
      <c r="AN83" s="177"/>
      <c r="AO83" s="175"/>
      <c r="AP83" s="485"/>
      <c r="AQ83" s="487"/>
      <c r="AR83" s="175"/>
      <c r="AS83" s="175"/>
      <c r="AT83" s="175"/>
      <c r="AU83" s="175"/>
      <c r="AV83" s="175"/>
      <c r="AW83" s="175"/>
      <c r="AX83" s="177"/>
      <c r="AY83" s="175"/>
      <c r="AZ83" s="488"/>
      <c r="BA83" s="223"/>
      <c r="BB83" s="223"/>
      <c r="BC83" s="223"/>
      <c r="BD83" s="223"/>
      <c r="BE83" s="223"/>
      <c r="BF83" s="223"/>
      <c r="BG83" s="223"/>
      <c r="BH83" s="224"/>
      <c r="BI83" s="206"/>
      <c r="BJ83" s="488"/>
      <c r="BK83" s="223"/>
      <c r="BL83" s="223"/>
      <c r="BM83" s="223"/>
      <c r="BN83" s="223"/>
      <c r="BO83" s="223"/>
      <c r="BP83" s="223"/>
      <c r="BQ83" s="223"/>
      <c r="BR83" s="224"/>
      <c r="BT83" s="473"/>
      <c r="BU83" s="473"/>
      <c r="BV83" s="473"/>
      <c r="BW83" s="473"/>
      <c r="BX83" s="473"/>
      <c r="BY83" s="470"/>
      <c r="BZ83" s="470"/>
      <c r="CA83" s="470"/>
      <c r="CB83" s="470"/>
    </row>
    <row r="84" spans="1:80" ht="9" customHeight="1" x14ac:dyDescent="0.3">
      <c r="B84" s="176"/>
      <c r="C84" s="175"/>
      <c r="D84" s="175"/>
      <c r="E84" s="175"/>
      <c r="F84" s="175"/>
      <c r="G84" s="175"/>
      <c r="H84" s="175"/>
      <c r="I84" s="175"/>
      <c r="J84" s="177"/>
      <c r="K84" s="175"/>
      <c r="L84" s="176"/>
      <c r="M84" s="175"/>
      <c r="N84" s="175"/>
      <c r="O84" s="175"/>
      <c r="P84" s="175"/>
      <c r="Q84" s="175"/>
      <c r="R84" s="175"/>
      <c r="S84" s="175"/>
      <c r="T84" s="177"/>
      <c r="U84" s="175"/>
      <c r="V84" s="176"/>
      <c r="W84" s="175"/>
      <c r="X84" s="175"/>
      <c r="Y84" s="175"/>
      <c r="Z84" s="175"/>
      <c r="AA84" s="175"/>
      <c r="AB84" s="175"/>
      <c r="AC84" s="175"/>
      <c r="AD84" s="177"/>
      <c r="AE84" s="175"/>
      <c r="AF84" s="176"/>
      <c r="AG84" s="175"/>
      <c r="AH84" s="175"/>
      <c r="AI84" s="175"/>
      <c r="AJ84" s="175"/>
      <c r="AK84" s="175"/>
      <c r="AL84" s="175"/>
      <c r="AM84" s="175"/>
      <c r="AN84" s="177"/>
      <c r="AO84" s="175"/>
      <c r="AP84" s="485"/>
      <c r="AQ84" s="487"/>
      <c r="AR84" s="175"/>
      <c r="AS84" s="175"/>
      <c r="AT84" s="175"/>
      <c r="AU84" s="175"/>
      <c r="AV84" s="175"/>
      <c r="AW84" s="175"/>
      <c r="AX84" s="177"/>
      <c r="AY84" s="175"/>
      <c r="AZ84" s="488"/>
      <c r="BA84" s="223"/>
      <c r="BB84" s="223"/>
      <c r="BC84" s="223"/>
      <c r="BD84" s="223"/>
      <c r="BE84" s="223"/>
      <c r="BF84" s="223"/>
      <c r="BG84" s="223"/>
      <c r="BH84" s="224"/>
      <c r="BI84" s="204"/>
      <c r="BJ84" s="488"/>
      <c r="BK84" s="223"/>
      <c r="BL84" s="223"/>
      <c r="BM84" s="223"/>
      <c r="BN84" s="223"/>
      <c r="BO84" s="223"/>
      <c r="BP84" s="223"/>
      <c r="BQ84" s="223"/>
      <c r="BR84" s="224"/>
      <c r="BT84" s="41"/>
      <c r="BU84" s="41"/>
      <c r="BV84" s="41"/>
      <c r="BW84" s="41"/>
      <c r="BX84" s="41"/>
    </row>
    <row r="85" spans="1:80" ht="9" customHeight="1" x14ac:dyDescent="0.3">
      <c r="B85" s="176"/>
      <c r="C85" s="175"/>
      <c r="D85" s="175"/>
      <c r="E85" s="175"/>
      <c r="F85" s="175"/>
      <c r="G85" s="175"/>
      <c r="H85" s="175"/>
      <c r="I85" s="175"/>
      <c r="J85" s="177"/>
      <c r="K85" s="175"/>
      <c r="L85" s="176"/>
      <c r="M85" s="175"/>
      <c r="N85" s="175"/>
      <c r="O85" s="175"/>
      <c r="P85" s="175"/>
      <c r="Q85" s="175"/>
      <c r="R85" s="175"/>
      <c r="S85" s="175"/>
      <c r="T85" s="177"/>
      <c r="U85" s="175"/>
      <c r="V85" s="176"/>
      <c r="W85" s="175"/>
      <c r="X85" s="175"/>
      <c r="Y85" s="175"/>
      <c r="Z85" s="175"/>
      <c r="AA85" s="175"/>
      <c r="AB85" s="175"/>
      <c r="AC85" s="175"/>
      <c r="AD85" s="177"/>
      <c r="AE85" s="175"/>
      <c r="AF85" s="176"/>
      <c r="AG85" s="175"/>
      <c r="AH85" s="175"/>
      <c r="AI85" s="175"/>
      <c r="AJ85" s="175"/>
      <c r="AK85" s="175"/>
      <c r="AL85" s="175"/>
      <c r="AM85" s="175"/>
      <c r="AN85" s="177"/>
      <c r="AO85" s="175"/>
      <c r="AP85" s="485"/>
      <c r="AQ85" s="487"/>
      <c r="AR85" s="175"/>
      <c r="AS85" s="175"/>
      <c r="AT85" s="175"/>
      <c r="AU85" s="175"/>
      <c r="AV85" s="175"/>
      <c r="AW85" s="175"/>
      <c r="AX85" s="177"/>
      <c r="AY85" s="175"/>
      <c r="AZ85" s="488"/>
      <c r="BA85" s="223"/>
      <c r="BB85" s="223"/>
      <c r="BC85" s="223"/>
      <c r="BD85" s="223"/>
      <c r="BE85" s="223"/>
      <c r="BF85" s="223"/>
      <c r="BG85" s="223"/>
      <c r="BH85" s="224"/>
      <c r="BI85" s="204"/>
      <c r="BJ85" s="488"/>
      <c r="BK85" s="223"/>
      <c r="BL85" s="223"/>
      <c r="BM85" s="223"/>
      <c r="BN85" s="223"/>
      <c r="BO85" s="223"/>
      <c r="BP85" s="223"/>
      <c r="BQ85" s="223"/>
      <c r="BR85" s="224"/>
      <c r="BT85" s="41"/>
      <c r="BU85" s="41"/>
      <c r="BV85" s="41"/>
      <c r="BW85" s="41"/>
      <c r="BX85" s="41"/>
    </row>
    <row r="86" spans="1:80" ht="9" customHeight="1" x14ac:dyDescent="0.3">
      <c r="B86" s="176"/>
      <c r="C86" s="175"/>
      <c r="D86" s="175"/>
      <c r="E86" s="175"/>
      <c r="F86" s="175"/>
      <c r="G86" s="175"/>
      <c r="H86" s="175"/>
      <c r="I86" s="175"/>
      <c r="J86" s="177"/>
      <c r="K86" s="175"/>
      <c r="L86" s="176"/>
      <c r="M86" s="175"/>
      <c r="N86" s="175"/>
      <c r="O86" s="175"/>
      <c r="P86" s="175"/>
      <c r="Q86" s="175"/>
      <c r="R86" s="175"/>
      <c r="S86" s="175"/>
      <c r="T86" s="177"/>
      <c r="U86" s="175"/>
      <c r="V86" s="176"/>
      <c r="W86" s="175"/>
      <c r="X86" s="175"/>
      <c r="Y86" s="175"/>
      <c r="Z86" s="175"/>
      <c r="AA86" s="175"/>
      <c r="AB86" s="175"/>
      <c r="AC86" s="175"/>
      <c r="AD86" s="177"/>
      <c r="AE86" s="175"/>
      <c r="AF86" s="176"/>
      <c r="AG86" s="175"/>
      <c r="AH86" s="175"/>
      <c r="AI86" s="175"/>
      <c r="AJ86" s="175"/>
      <c r="AK86" s="175"/>
      <c r="AL86" s="175"/>
      <c r="AM86" s="175"/>
      <c r="AN86" s="177"/>
      <c r="AO86" s="175"/>
      <c r="AP86" s="485"/>
      <c r="AQ86" s="487"/>
      <c r="AR86" s="175"/>
      <c r="AS86" s="175"/>
      <c r="AT86" s="175"/>
      <c r="AU86" s="175"/>
      <c r="AV86" s="175"/>
      <c r="AW86" s="175"/>
      <c r="AX86" s="177"/>
      <c r="AY86" s="175"/>
      <c r="AZ86" s="488"/>
      <c r="BA86" s="223"/>
      <c r="BB86" s="223"/>
      <c r="BC86" s="223"/>
      <c r="BD86" s="223"/>
      <c r="BE86" s="223"/>
      <c r="BF86" s="223"/>
      <c r="BG86" s="223"/>
      <c r="BH86" s="224"/>
      <c r="BI86" s="204"/>
      <c r="BJ86" s="488"/>
      <c r="BK86" s="223"/>
      <c r="BL86" s="223"/>
      <c r="BM86" s="223"/>
      <c r="BN86" s="223"/>
      <c r="BO86" s="223"/>
      <c r="BP86" s="223"/>
      <c r="BQ86" s="223"/>
      <c r="BR86" s="224"/>
      <c r="BT86" s="41"/>
      <c r="BU86" s="41"/>
      <c r="BV86" s="41"/>
      <c r="BW86" s="41"/>
      <c r="BX86" s="41"/>
    </row>
    <row r="87" spans="1:80" ht="9" customHeight="1" x14ac:dyDescent="0.3">
      <c r="B87" s="176"/>
      <c r="C87" s="175"/>
      <c r="D87" s="175"/>
      <c r="E87" s="175"/>
      <c r="F87" s="175"/>
      <c r="G87" s="175"/>
      <c r="H87" s="175"/>
      <c r="I87" s="175"/>
      <c r="J87" s="177"/>
      <c r="K87" s="175"/>
      <c r="L87" s="176"/>
      <c r="M87" s="175"/>
      <c r="N87" s="175"/>
      <c r="O87" s="175"/>
      <c r="P87" s="175"/>
      <c r="Q87" s="175"/>
      <c r="R87" s="175"/>
      <c r="S87" s="175"/>
      <c r="T87" s="177"/>
      <c r="U87" s="175"/>
      <c r="V87" s="176"/>
      <c r="W87" s="175"/>
      <c r="X87" s="175"/>
      <c r="Y87" s="175"/>
      <c r="Z87" s="175"/>
      <c r="AA87" s="175"/>
      <c r="AB87" s="175"/>
      <c r="AC87" s="175"/>
      <c r="AD87" s="177"/>
      <c r="AE87" s="175"/>
      <c r="AF87" s="176"/>
      <c r="AG87" s="175"/>
      <c r="AH87" s="175"/>
      <c r="AI87" s="175"/>
      <c r="AJ87" s="175"/>
      <c r="AK87" s="175"/>
      <c r="AL87" s="175"/>
      <c r="AM87" s="175"/>
      <c r="AN87" s="177"/>
      <c r="AO87" s="175"/>
      <c r="AP87" s="485"/>
      <c r="AQ87" s="487"/>
      <c r="AR87" s="175"/>
      <c r="AS87" s="175"/>
      <c r="AT87" s="175"/>
      <c r="AU87" s="175"/>
      <c r="AV87" s="175"/>
      <c r="AW87" s="175"/>
      <c r="AX87" s="177"/>
      <c r="AY87" s="175"/>
      <c r="AZ87" s="488"/>
      <c r="BA87" s="223"/>
      <c r="BB87" s="223"/>
      <c r="BC87" s="223"/>
      <c r="BD87" s="223"/>
      <c r="BE87" s="223"/>
      <c r="BF87" s="223"/>
      <c r="BG87" s="223"/>
      <c r="BH87" s="224"/>
      <c r="BI87" s="204"/>
      <c r="BJ87" s="488"/>
      <c r="BK87" s="223"/>
      <c r="BL87" s="223"/>
      <c r="BM87" s="223"/>
      <c r="BN87" s="223"/>
      <c r="BO87" s="223"/>
      <c r="BP87" s="223"/>
      <c r="BQ87" s="223"/>
      <c r="BR87" s="224"/>
      <c r="BT87" s="41"/>
      <c r="BU87" s="41"/>
      <c r="BV87" s="41"/>
      <c r="BW87" s="41"/>
      <c r="BX87" s="41"/>
    </row>
    <row r="88" spans="1:80" ht="9" customHeight="1" x14ac:dyDescent="0.3">
      <c r="B88" s="176"/>
      <c r="C88" s="175"/>
      <c r="D88" s="175"/>
      <c r="E88" s="175"/>
      <c r="F88" s="175"/>
      <c r="G88" s="175"/>
      <c r="H88" s="175"/>
      <c r="I88" s="175"/>
      <c r="J88" s="177"/>
      <c r="K88" s="175"/>
      <c r="L88" s="176"/>
      <c r="M88" s="175"/>
      <c r="N88" s="175"/>
      <c r="O88" s="175"/>
      <c r="P88" s="175"/>
      <c r="Q88" s="175"/>
      <c r="R88" s="175"/>
      <c r="S88" s="175"/>
      <c r="T88" s="177"/>
      <c r="U88" s="175"/>
      <c r="V88" s="176"/>
      <c r="W88" s="175"/>
      <c r="X88" s="175"/>
      <c r="Y88" s="175"/>
      <c r="Z88" s="175"/>
      <c r="AA88" s="175"/>
      <c r="AB88" s="175"/>
      <c r="AC88" s="175"/>
      <c r="AD88" s="177"/>
      <c r="AE88" s="175"/>
      <c r="AF88" s="176"/>
      <c r="AG88" s="175"/>
      <c r="AH88" s="175"/>
      <c r="AI88" s="175"/>
      <c r="AJ88" s="175"/>
      <c r="AK88" s="175"/>
      <c r="AL88" s="175"/>
      <c r="AM88" s="175"/>
      <c r="AN88" s="177"/>
      <c r="AO88" s="175"/>
      <c r="AP88" s="485"/>
      <c r="AQ88" s="487"/>
      <c r="AR88" s="175"/>
      <c r="AS88" s="175"/>
      <c r="AT88" s="175"/>
      <c r="AU88" s="175"/>
      <c r="AV88" s="175"/>
      <c r="AW88" s="175"/>
      <c r="AX88" s="177"/>
      <c r="AY88" s="175"/>
      <c r="AZ88" s="488"/>
      <c r="BA88" s="223"/>
      <c r="BB88" s="223"/>
      <c r="BC88" s="223"/>
      <c r="BD88" s="223"/>
      <c r="BE88" s="223"/>
      <c r="BF88" s="223"/>
      <c r="BG88" s="223"/>
      <c r="BH88" s="224"/>
      <c r="BI88" s="204"/>
      <c r="BJ88" s="488"/>
      <c r="BK88" s="223"/>
      <c r="BL88" s="223"/>
      <c r="BM88" s="223"/>
      <c r="BN88" s="223"/>
      <c r="BO88" s="223"/>
      <c r="BP88" s="223"/>
      <c r="BQ88" s="223"/>
      <c r="BR88" s="224"/>
      <c r="BT88" s="470"/>
      <c r="BU88" s="470"/>
      <c r="BV88" s="470"/>
      <c r="BW88" s="470"/>
      <c r="BX88" s="470"/>
      <c r="BY88" s="470"/>
      <c r="BZ88" s="470"/>
      <c r="CA88" s="470"/>
      <c r="CB88" s="470"/>
    </row>
    <row r="89" spans="1:80" ht="9" customHeight="1" x14ac:dyDescent="0.3">
      <c r="B89" s="176"/>
      <c r="C89" s="175"/>
      <c r="D89" s="175"/>
      <c r="E89" s="175"/>
      <c r="F89" s="175"/>
      <c r="G89" s="175"/>
      <c r="H89" s="175"/>
      <c r="I89" s="175"/>
      <c r="J89" s="177"/>
      <c r="K89" s="175"/>
      <c r="L89" s="176"/>
      <c r="M89" s="175"/>
      <c r="N89" s="175"/>
      <c r="O89" s="175"/>
      <c r="P89" s="175"/>
      <c r="Q89" s="175"/>
      <c r="R89" s="175"/>
      <c r="S89" s="175"/>
      <c r="T89" s="177"/>
      <c r="U89" s="175"/>
      <c r="V89" s="176"/>
      <c r="W89" s="175"/>
      <c r="X89" s="175"/>
      <c r="Y89" s="175"/>
      <c r="Z89" s="175"/>
      <c r="AA89" s="175"/>
      <c r="AB89" s="175"/>
      <c r="AC89" s="175"/>
      <c r="AD89" s="177"/>
      <c r="AE89" s="175"/>
      <c r="AF89" s="176"/>
      <c r="AG89" s="175"/>
      <c r="AH89" s="175"/>
      <c r="AI89" s="175"/>
      <c r="AJ89" s="175"/>
      <c r="AK89" s="175"/>
      <c r="AL89" s="175"/>
      <c r="AM89" s="175"/>
      <c r="AN89" s="177"/>
      <c r="AO89" s="175"/>
      <c r="AP89" s="476"/>
      <c r="AQ89" s="477"/>
      <c r="AR89" s="477"/>
      <c r="AS89" s="477"/>
      <c r="AT89" s="477"/>
      <c r="AU89" s="477"/>
      <c r="AV89" s="477"/>
      <c r="AW89" s="477"/>
      <c r="AX89" s="478"/>
      <c r="AY89" s="175"/>
      <c r="AZ89" s="488"/>
      <c r="BA89" s="223"/>
      <c r="BB89" s="223"/>
      <c r="BC89" s="223"/>
      <c r="BD89" s="223"/>
      <c r="BE89" s="223"/>
      <c r="BF89" s="223"/>
      <c r="BG89" s="223"/>
      <c r="BH89" s="224"/>
      <c r="BI89" s="177"/>
      <c r="BJ89" s="488"/>
      <c r="BK89" s="223"/>
      <c r="BL89" s="223"/>
      <c r="BM89" s="223"/>
      <c r="BN89" s="223"/>
      <c r="BO89" s="223"/>
      <c r="BP89" s="223"/>
      <c r="BQ89" s="223"/>
      <c r="BR89" s="224"/>
      <c r="BT89" s="50"/>
      <c r="BU89" s="50"/>
      <c r="BV89" s="50"/>
      <c r="BW89" s="50"/>
      <c r="BX89" s="50"/>
      <c r="BY89" s="50"/>
      <c r="BZ89" s="50"/>
      <c r="CA89" s="50"/>
      <c r="CB89" s="50"/>
    </row>
    <row r="90" spans="1:80" ht="12" customHeight="1" x14ac:dyDescent="0.3">
      <c r="B90" s="185"/>
      <c r="C90" s="186"/>
      <c r="D90" s="186"/>
      <c r="E90" s="186"/>
      <c r="F90" s="186"/>
      <c r="G90" s="186"/>
      <c r="H90" s="186"/>
      <c r="I90" s="186"/>
      <c r="J90" s="187"/>
      <c r="K90" s="186"/>
      <c r="L90" s="432" t="s">
        <v>415</v>
      </c>
      <c r="M90" s="432"/>
      <c r="N90" s="432"/>
      <c r="O90" s="432"/>
      <c r="P90" s="432"/>
      <c r="Q90" s="433">
        <f>CEILING(1587*B3,1)</f>
        <v>2222</v>
      </c>
      <c r="R90" s="433"/>
      <c r="S90" s="433"/>
      <c r="T90" s="433"/>
      <c r="U90" s="183"/>
      <c r="V90" s="432" t="s">
        <v>416</v>
      </c>
      <c r="W90" s="432"/>
      <c r="X90" s="432"/>
      <c r="Y90" s="432"/>
      <c r="Z90" s="432"/>
      <c r="AA90" s="433">
        <f>CEILING(3123*B3,1)</f>
        <v>4373</v>
      </c>
      <c r="AB90" s="433"/>
      <c r="AC90" s="433"/>
      <c r="AD90" s="433"/>
      <c r="AE90" s="183"/>
      <c r="AF90" s="432" t="s">
        <v>416</v>
      </c>
      <c r="AG90" s="432"/>
      <c r="AH90" s="432"/>
      <c r="AI90" s="432"/>
      <c r="AJ90" s="432"/>
      <c r="AK90" s="433">
        <f>CEILING(3688*B3,1)</f>
        <v>5164</v>
      </c>
      <c r="AL90" s="433"/>
      <c r="AM90" s="433"/>
      <c r="AN90" s="433"/>
      <c r="AO90" s="183"/>
      <c r="AP90" s="432" t="s">
        <v>417</v>
      </c>
      <c r="AQ90" s="432"/>
      <c r="AR90" s="432"/>
      <c r="AS90" s="432"/>
      <c r="AT90" s="432"/>
      <c r="AU90" s="433">
        <f>CEILING(3504*B3,1)</f>
        <v>4906</v>
      </c>
      <c r="AV90" s="433"/>
      <c r="AW90" s="433"/>
      <c r="AX90" s="433"/>
      <c r="AY90" s="183"/>
      <c r="AZ90" s="432" t="s">
        <v>418</v>
      </c>
      <c r="BA90" s="432"/>
      <c r="BB90" s="432"/>
      <c r="BC90" s="432"/>
      <c r="BD90" s="432"/>
      <c r="BE90" s="433">
        <f>CEILING(8109*B3,1)</f>
        <v>11353</v>
      </c>
      <c r="BF90" s="433"/>
      <c r="BG90" s="433"/>
      <c r="BH90" s="433"/>
      <c r="BI90" s="187"/>
      <c r="BJ90" s="236"/>
      <c r="BK90" s="191"/>
      <c r="BL90" s="191"/>
      <c r="BM90" s="191"/>
      <c r="BN90" s="191"/>
      <c r="BO90" s="191"/>
      <c r="BP90" s="191"/>
      <c r="BQ90" s="191"/>
      <c r="BR90" s="192"/>
      <c r="BT90" s="50"/>
      <c r="BU90" s="50"/>
      <c r="BV90" s="50"/>
      <c r="BW90" s="50"/>
      <c r="BX90" s="50"/>
      <c r="BY90" s="50"/>
      <c r="BZ90" s="50"/>
      <c r="CA90" s="50"/>
      <c r="CB90" s="50"/>
    </row>
    <row r="91" spans="1:80" s="66" customFormat="1" ht="10.050000000000001" customHeight="1" x14ac:dyDescent="0.3">
      <c r="A91" s="196"/>
      <c r="B91" s="432" t="s">
        <v>419</v>
      </c>
      <c r="C91" s="432"/>
      <c r="D91" s="432"/>
      <c r="E91" s="432"/>
      <c r="F91" s="432"/>
      <c r="G91" s="433">
        <f>CEILING(6919*B3,1)</f>
        <v>9687</v>
      </c>
      <c r="H91" s="433"/>
      <c r="I91" s="433"/>
      <c r="J91" s="433"/>
      <c r="K91" s="183"/>
      <c r="L91" s="432" t="s">
        <v>420</v>
      </c>
      <c r="M91" s="432"/>
      <c r="N91" s="432"/>
      <c r="O91" s="432"/>
      <c r="P91" s="432"/>
      <c r="Q91" s="433">
        <f>CEILING(2337*B3,1)</f>
        <v>3272</v>
      </c>
      <c r="R91" s="433"/>
      <c r="S91" s="433"/>
      <c r="T91" s="433"/>
      <c r="U91" s="183"/>
      <c r="V91" s="432" t="s">
        <v>421</v>
      </c>
      <c r="W91" s="432"/>
      <c r="X91" s="432"/>
      <c r="Y91" s="432"/>
      <c r="Z91" s="432"/>
      <c r="AA91" s="433">
        <f>CEILING(3566*B3,1)</f>
        <v>4993</v>
      </c>
      <c r="AB91" s="433"/>
      <c r="AC91" s="433"/>
      <c r="AD91" s="433"/>
      <c r="AE91" s="183"/>
      <c r="AF91" s="432" t="s">
        <v>421</v>
      </c>
      <c r="AG91" s="432"/>
      <c r="AH91" s="432"/>
      <c r="AI91" s="432"/>
      <c r="AJ91" s="432"/>
      <c r="AK91" s="433">
        <f>CEILING(4179*B3,1)</f>
        <v>5851</v>
      </c>
      <c r="AL91" s="433"/>
      <c r="AM91" s="433"/>
      <c r="AN91" s="433"/>
      <c r="AO91" s="183"/>
      <c r="AP91" s="432" t="s">
        <v>422</v>
      </c>
      <c r="AQ91" s="432"/>
      <c r="AR91" s="432"/>
      <c r="AS91" s="432"/>
      <c r="AT91" s="432"/>
      <c r="AU91" s="433">
        <f>CEILING(4688*B3,1)</f>
        <v>6564</v>
      </c>
      <c r="AV91" s="433"/>
      <c r="AW91" s="433"/>
      <c r="AX91" s="433"/>
      <c r="AY91" s="183"/>
      <c r="AZ91" s="432" t="s">
        <v>423</v>
      </c>
      <c r="BA91" s="432"/>
      <c r="BB91" s="432"/>
      <c r="BC91" s="432"/>
      <c r="BD91" s="432"/>
      <c r="BE91" s="433">
        <f>CEILING(8946*B3,1)</f>
        <v>12525</v>
      </c>
      <c r="BF91" s="433"/>
      <c r="BG91" s="433"/>
      <c r="BH91" s="433"/>
      <c r="BI91" s="183"/>
      <c r="BJ91" s="432" t="s">
        <v>421</v>
      </c>
      <c r="BK91" s="432"/>
      <c r="BL91" s="432"/>
      <c r="BM91" s="432"/>
      <c r="BN91" s="432"/>
      <c r="BO91" s="433">
        <f>CEILING(8356*B3,1)</f>
        <v>11699</v>
      </c>
      <c r="BP91" s="433"/>
      <c r="BQ91" s="433"/>
      <c r="BR91" s="433"/>
      <c r="BT91" s="70"/>
      <c r="BU91" s="70"/>
      <c r="BV91" s="70"/>
      <c r="BW91" s="70"/>
      <c r="BX91" s="70"/>
      <c r="BY91" s="70"/>
      <c r="BZ91" s="70"/>
      <c r="CA91" s="70"/>
      <c r="CB91" s="70"/>
    </row>
    <row r="92" spans="1:80" s="66" customFormat="1" ht="12" customHeight="1" x14ac:dyDescent="0.3">
      <c r="A92" s="196"/>
      <c r="B92" s="432" t="s">
        <v>424</v>
      </c>
      <c r="C92" s="432"/>
      <c r="D92" s="432"/>
      <c r="E92" s="432"/>
      <c r="F92" s="432"/>
      <c r="G92" s="433">
        <f>CEILING(7309*B3,1)</f>
        <v>10233</v>
      </c>
      <c r="H92" s="433"/>
      <c r="I92" s="433"/>
      <c r="J92" s="433"/>
      <c r="K92" s="183"/>
      <c r="L92" s="432" t="s">
        <v>425</v>
      </c>
      <c r="M92" s="432"/>
      <c r="N92" s="432"/>
      <c r="O92" s="432"/>
      <c r="P92" s="432"/>
      <c r="Q92" s="433">
        <f>CEILING(2682*B3,1)</f>
        <v>3755</v>
      </c>
      <c r="R92" s="433"/>
      <c r="S92" s="433"/>
      <c r="T92" s="433"/>
      <c r="U92" s="183"/>
      <c r="V92" s="432" t="s">
        <v>219</v>
      </c>
      <c r="W92" s="432"/>
      <c r="X92" s="432"/>
      <c r="Y92" s="432"/>
      <c r="Z92" s="432"/>
      <c r="AA92" s="433">
        <f>CEILING(4105*B3,1)</f>
        <v>5747</v>
      </c>
      <c r="AB92" s="433"/>
      <c r="AC92" s="433"/>
      <c r="AD92" s="433"/>
      <c r="AE92" s="183"/>
      <c r="AF92" s="432" t="s">
        <v>219</v>
      </c>
      <c r="AG92" s="432"/>
      <c r="AH92" s="432"/>
      <c r="AI92" s="432"/>
      <c r="AJ92" s="432"/>
      <c r="AK92" s="433">
        <f>CEILING(4671*B3,1)</f>
        <v>6540</v>
      </c>
      <c r="AL92" s="433"/>
      <c r="AM92" s="433"/>
      <c r="AN92" s="433"/>
      <c r="AO92" s="183"/>
      <c r="AP92" s="432" t="s">
        <v>426</v>
      </c>
      <c r="AQ92" s="432"/>
      <c r="AR92" s="432"/>
      <c r="AS92" s="432"/>
      <c r="AT92" s="432"/>
      <c r="AU92" s="433">
        <f>CEILING(4916*B3,1)</f>
        <v>6883</v>
      </c>
      <c r="AV92" s="433"/>
      <c r="AW92" s="433"/>
      <c r="AX92" s="433"/>
      <c r="AY92" s="183"/>
      <c r="AZ92" s="432" t="s">
        <v>427</v>
      </c>
      <c r="BA92" s="432"/>
      <c r="BB92" s="432"/>
      <c r="BC92" s="432"/>
      <c r="BD92" s="432"/>
      <c r="BE92" s="433">
        <f>CEILING(9831*B3,1)</f>
        <v>13764</v>
      </c>
      <c r="BF92" s="433"/>
      <c r="BG92" s="433"/>
      <c r="BH92" s="433"/>
      <c r="BI92" s="183"/>
      <c r="BJ92" s="432" t="s">
        <v>219</v>
      </c>
      <c r="BK92" s="432"/>
      <c r="BL92" s="432"/>
      <c r="BM92" s="432"/>
      <c r="BN92" s="432"/>
      <c r="BO92" s="433">
        <f>CEILING(9287*B3,1)</f>
        <v>13002</v>
      </c>
      <c r="BP92" s="433"/>
      <c r="BQ92" s="433"/>
      <c r="BR92" s="433"/>
      <c r="BT92" s="475"/>
      <c r="BU92" s="475"/>
      <c r="BV92" s="475"/>
      <c r="BW92" s="475"/>
      <c r="BX92" s="475"/>
      <c r="BY92" s="474"/>
      <c r="BZ92" s="474"/>
      <c r="CA92" s="474"/>
      <c r="CB92" s="474"/>
    </row>
  </sheetData>
  <mergeCells count="277">
    <mergeCell ref="B1:BR1"/>
    <mergeCell ref="L3:BR3"/>
    <mergeCell ref="B3:J3"/>
    <mergeCell ref="B63:J63"/>
    <mergeCell ref="L63:T63"/>
    <mergeCell ref="V63:AD63"/>
    <mergeCell ref="B6:J6"/>
    <mergeCell ref="L6:T6"/>
    <mergeCell ref="V6:AD6"/>
    <mergeCell ref="AF6:AN6"/>
    <mergeCell ref="AP16:AX16"/>
    <mergeCell ref="AZ16:BH16"/>
    <mergeCell ref="B19:D19"/>
    <mergeCell ref="E19:J19"/>
    <mergeCell ref="L19:N19"/>
    <mergeCell ref="O19:T19"/>
    <mergeCell ref="V19:X19"/>
    <mergeCell ref="Y19:AD19"/>
    <mergeCell ref="AF19:AH19"/>
    <mergeCell ref="AI19:AN19"/>
    <mergeCell ref="AF17:AJ17"/>
    <mergeCell ref="AK17:AN17"/>
    <mergeCell ref="B17:F17"/>
    <mergeCell ref="G17:J17"/>
    <mergeCell ref="L17:P17"/>
    <mergeCell ref="Q17:T17"/>
    <mergeCell ref="V17:Z17"/>
    <mergeCell ref="AZ49:BH49"/>
    <mergeCell ref="BJ49:BR49"/>
    <mergeCell ref="BJ20:BR20"/>
    <mergeCell ref="B34:J34"/>
    <mergeCell ref="L34:T34"/>
    <mergeCell ref="B5:D5"/>
    <mergeCell ref="E5:J5"/>
    <mergeCell ref="L5:N5"/>
    <mergeCell ref="O5:T5"/>
    <mergeCell ref="V5:X5"/>
    <mergeCell ref="AA17:AD17"/>
    <mergeCell ref="BC5:BH5"/>
    <mergeCell ref="BJ5:BL5"/>
    <mergeCell ref="BM5:BR5"/>
    <mergeCell ref="Y5:AD5"/>
    <mergeCell ref="AF5:AH5"/>
    <mergeCell ref="AI5:AN5"/>
    <mergeCell ref="AP5:AR5"/>
    <mergeCell ref="AS5:AX5"/>
    <mergeCell ref="AZ5:BB5"/>
    <mergeCell ref="AP6:AX6"/>
    <mergeCell ref="AZ6:BH6"/>
    <mergeCell ref="BJ6:BR6"/>
    <mergeCell ref="BC19:BH19"/>
    <mergeCell ref="BJ19:BL19"/>
    <mergeCell ref="BM19:BR19"/>
    <mergeCell ref="BJ17:BN17"/>
    <mergeCell ref="BO17:BR17"/>
    <mergeCell ref="AP17:AT17"/>
    <mergeCell ref="AU17:AX17"/>
    <mergeCell ref="AZ17:BD17"/>
    <mergeCell ref="BE17:BH17"/>
    <mergeCell ref="BJ16:BR16"/>
    <mergeCell ref="G29:J29"/>
    <mergeCell ref="AK29:AN29"/>
    <mergeCell ref="AP19:AR19"/>
    <mergeCell ref="AS19:AX19"/>
    <mergeCell ref="AP31:AT31"/>
    <mergeCell ref="AU31:AX31"/>
    <mergeCell ref="AZ19:BB19"/>
    <mergeCell ref="B20:J20"/>
    <mergeCell ref="L20:T20"/>
    <mergeCell ref="V20:AD20"/>
    <mergeCell ref="AF20:AN20"/>
    <mergeCell ref="AP20:AX20"/>
    <mergeCell ref="AZ20:BH20"/>
    <mergeCell ref="AZ31:BD31"/>
    <mergeCell ref="BE31:BH31"/>
    <mergeCell ref="BJ31:BN31"/>
    <mergeCell ref="BO31:BR31"/>
    <mergeCell ref="BJ30:BN30"/>
    <mergeCell ref="BO30:BR30"/>
    <mergeCell ref="B31:F31"/>
    <mergeCell ref="G31:J31"/>
    <mergeCell ref="L31:P31"/>
    <mergeCell ref="Q31:T31"/>
    <mergeCell ref="V31:Z31"/>
    <mergeCell ref="AA31:AD31"/>
    <mergeCell ref="AF31:AJ31"/>
    <mergeCell ref="AK31:AN31"/>
    <mergeCell ref="AF30:AJ30"/>
    <mergeCell ref="AK30:AN30"/>
    <mergeCell ref="AP30:AT30"/>
    <mergeCell ref="AU30:AX30"/>
    <mergeCell ref="AZ30:BD30"/>
    <mergeCell ref="BE30:BH30"/>
    <mergeCell ref="B30:F30"/>
    <mergeCell ref="G30:J30"/>
    <mergeCell ref="L30:P30"/>
    <mergeCell ref="Q30:T30"/>
    <mergeCell ref="V30:Z30"/>
    <mergeCell ref="AA30:AD30"/>
    <mergeCell ref="B44:F44"/>
    <mergeCell ref="G44:J44"/>
    <mergeCell ref="L44:P44"/>
    <mergeCell ref="Q44:T44"/>
    <mergeCell ref="BJ33:BL33"/>
    <mergeCell ref="BM33:BR33"/>
    <mergeCell ref="AF33:AH33"/>
    <mergeCell ref="AI33:AN33"/>
    <mergeCell ref="AP33:AR33"/>
    <mergeCell ref="AS33:AX33"/>
    <mergeCell ref="AZ33:BB33"/>
    <mergeCell ref="BC33:BH33"/>
    <mergeCell ref="B33:D33"/>
    <mergeCell ref="E33:J33"/>
    <mergeCell ref="L33:N33"/>
    <mergeCell ref="O33:T33"/>
    <mergeCell ref="V33:X33"/>
    <mergeCell ref="Y33:AD33"/>
    <mergeCell ref="BE45:BH45"/>
    <mergeCell ref="BJ45:BN45"/>
    <mergeCell ref="BO45:BR45"/>
    <mergeCell ref="B45:F45"/>
    <mergeCell ref="G45:J45"/>
    <mergeCell ref="L45:P45"/>
    <mergeCell ref="Q45:T45"/>
    <mergeCell ref="V45:Z45"/>
    <mergeCell ref="AA45:AD45"/>
    <mergeCell ref="AF45:AJ45"/>
    <mergeCell ref="AK45:AN45"/>
    <mergeCell ref="B47:D47"/>
    <mergeCell ref="E47:J47"/>
    <mergeCell ref="L47:N47"/>
    <mergeCell ref="O47:T47"/>
    <mergeCell ref="V47:X47"/>
    <mergeCell ref="Y47:AD47"/>
    <mergeCell ref="AP45:AT45"/>
    <mergeCell ref="AU45:AX45"/>
    <mergeCell ref="AZ45:BD45"/>
    <mergeCell ref="BJ47:BL47"/>
    <mergeCell ref="BM47:BR47"/>
    <mergeCell ref="AZ48:BH48"/>
    <mergeCell ref="BJ48:BR48"/>
    <mergeCell ref="AF47:AH47"/>
    <mergeCell ref="AI47:AN47"/>
    <mergeCell ref="AP47:AR47"/>
    <mergeCell ref="AS47:AX47"/>
    <mergeCell ref="AZ47:BB47"/>
    <mergeCell ref="BC47:BH47"/>
    <mergeCell ref="BJ59:BN59"/>
    <mergeCell ref="BO59:BR59"/>
    <mergeCell ref="B61:D61"/>
    <mergeCell ref="E61:J61"/>
    <mergeCell ref="L61:N61"/>
    <mergeCell ref="O61:T61"/>
    <mergeCell ref="V61:X61"/>
    <mergeCell ref="Y61:AD61"/>
    <mergeCell ref="AF61:AH61"/>
    <mergeCell ref="AI61:AN61"/>
    <mergeCell ref="AF59:AJ59"/>
    <mergeCell ref="AK59:AN59"/>
    <mergeCell ref="AP59:AT59"/>
    <mergeCell ref="AU59:AX59"/>
    <mergeCell ref="AZ59:BD59"/>
    <mergeCell ref="BE59:BH59"/>
    <mergeCell ref="B59:F59"/>
    <mergeCell ref="G59:J59"/>
    <mergeCell ref="L59:P59"/>
    <mergeCell ref="Q59:T59"/>
    <mergeCell ref="V59:Z59"/>
    <mergeCell ref="AA59:AD59"/>
    <mergeCell ref="B62:J62"/>
    <mergeCell ref="L62:T62"/>
    <mergeCell ref="V62:AD62"/>
    <mergeCell ref="AP61:AR61"/>
    <mergeCell ref="AS61:AX61"/>
    <mergeCell ref="AZ61:BB61"/>
    <mergeCell ref="BC61:BH61"/>
    <mergeCell ref="BJ61:BL61"/>
    <mergeCell ref="BM61:BR61"/>
    <mergeCell ref="AP72:AT72"/>
    <mergeCell ref="AU72:AX72"/>
    <mergeCell ref="AZ72:BD72"/>
    <mergeCell ref="BE72:BH72"/>
    <mergeCell ref="BJ72:BN72"/>
    <mergeCell ref="BO72:BR72"/>
    <mergeCell ref="BJ71:BN71"/>
    <mergeCell ref="BO71:BR71"/>
    <mergeCell ref="AF72:AJ72"/>
    <mergeCell ref="AK72:AN72"/>
    <mergeCell ref="AF73:AJ73"/>
    <mergeCell ref="AK73:AN73"/>
    <mergeCell ref="AP73:AT73"/>
    <mergeCell ref="AU73:AX73"/>
    <mergeCell ref="AZ73:BD73"/>
    <mergeCell ref="BE73:BH73"/>
    <mergeCell ref="B73:F73"/>
    <mergeCell ref="G73:J73"/>
    <mergeCell ref="L73:P73"/>
    <mergeCell ref="Q73:T73"/>
    <mergeCell ref="V73:Z73"/>
    <mergeCell ref="AA73:AD73"/>
    <mergeCell ref="BT75:BV75"/>
    <mergeCell ref="BW75:CB75"/>
    <mergeCell ref="AZ76:BH76"/>
    <mergeCell ref="BJ76:BR76"/>
    <mergeCell ref="BT83:BX83"/>
    <mergeCell ref="BY83:CB83"/>
    <mergeCell ref="AP75:AR75"/>
    <mergeCell ref="AS75:AX75"/>
    <mergeCell ref="AZ75:BB75"/>
    <mergeCell ref="BC75:BH75"/>
    <mergeCell ref="BJ75:BL75"/>
    <mergeCell ref="BM75:BR75"/>
    <mergeCell ref="AP76:AP88"/>
    <mergeCell ref="AQ76:AQ88"/>
    <mergeCell ref="AR76:AX76"/>
    <mergeCell ref="BJ77:BJ89"/>
    <mergeCell ref="AZ77:AZ89"/>
    <mergeCell ref="AI75:AN75"/>
    <mergeCell ref="B92:F92"/>
    <mergeCell ref="G92:J92"/>
    <mergeCell ref="L92:P92"/>
    <mergeCell ref="Q92:T92"/>
    <mergeCell ref="V92:Z92"/>
    <mergeCell ref="BT88:BV88"/>
    <mergeCell ref="BW88:CB88"/>
    <mergeCell ref="B91:F91"/>
    <mergeCell ref="G91:J91"/>
    <mergeCell ref="L91:P91"/>
    <mergeCell ref="Q91:T91"/>
    <mergeCell ref="V91:Z91"/>
    <mergeCell ref="L90:P90"/>
    <mergeCell ref="Q90:T90"/>
    <mergeCell ref="V90:Z90"/>
    <mergeCell ref="AA90:AD90"/>
    <mergeCell ref="BE92:BH92"/>
    <mergeCell ref="BJ92:BN92"/>
    <mergeCell ref="BO92:BR92"/>
    <mergeCell ref="BT92:BX92"/>
    <mergeCell ref="BY92:CB92"/>
    <mergeCell ref="AA92:AD92"/>
    <mergeCell ref="AF92:AJ92"/>
    <mergeCell ref="AP92:AT92"/>
    <mergeCell ref="AU92:AX92"/>
    <mergeCell ref="AZ92:BD92"/>
    <mergeCell ref="AA91:AD91"/>
    <mergeCell ref="AF91:AJ91"/>
    <mergeCell ref="AK91:AN91"/>
    <mergeCell ref="AP91:AT91"/>
    <mergeCell ref="AU91:AX91"/>
    <mergeCell ref="AF76:AN76"/>
    <mergeCell ref="V76:AD76"/>
    <mergeCell ref="AZ91:BD91"/>
    <mergeCell ref="AK92:AN92"/>
    <mergeCell ref="AZ58:BH58"/>
    <mergeCell ref="BJ58:BR58"/>
    <mergeCell ref="B72:J72"/>
    <mergeCell ref="L72:T72"/>
    <mergeCell ref="V72:AD72"/>
    <mergeCell ref="AP89:AX89"/>
    <mergeCell ref="BE91:BH91"/>
    <mergeCell ref="BJ91:BN91"/>
    <mergeCell ref="BO91:BR91"/>
    <mergeCell ref="AF90:AJ90"/>
    <mergeCell ref="AK90:AN90"/>
    <mergeCell ref="AP90:AT90"/>
    <mergeCell ref="AU90:AX90"/>
    <mergeCell ref="AZ90:BD90"/>
    <mergeCell ref="BE90:BH90"/>
    <mergeCell ref="BJ73:BN73"/>
    <mergeCell ref="BO73:BR73"/>
    <mergeCell ref="B75:D75"/>
    <mergeCell ref="E75:J75"/>
    <mergeCell ref="L75:N75"/>
    <mergeCell ref="O75:T75"/>
    <mergeCell ref="V75:X75"/>
    <mergeCell ref="Y75:AD75"/>
    <mergeCell ref="AF75:AH75"/>
  </mergeCells>
  <pageMargins left="0.23622047244094491" right="0.23622047244094491" top="0.35433070866141736" bottom="0.35433070866141736" header="0.31496062992125984" footer="0.31496062992125984"/>
  <pageSetup paperSize="9" scale="8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CB93"/>
  <sheetViews>
    <sheetView showGridLines="0" view="pageBreakPreview" topLeftCell="A46" zoomScale="81" zoomScaleSheetLayoutView="81" workbookViewId="0">
      <selection activeCell="B1" sqref="B1:BR1"/>
    </sheetView>
  </sheetViews>
  <sheetFormatPr defaultColWidth="8.77734375" defaultRowHeight="13.8" x14ac:dyDescent="0.3"/>
  <cols>
    <col min="1" max="1" width="0.33203125" style="171" customWidth="1"/>
    <col min="2" max="5" width="1.6640625" style="171" customWidth="1"/>
    <col min="6" max="6" width="6.33203125" style="171" customWidth="1"/>
    <col min="7" max="10" width="1.6640625" style="171" customWidth="1"/>
    <col min="11" max="11" width="0.33203125" style="171" customWidth="1"/>
    <col min="12" max="15" width="1.6640625" style="171" customWidth="1"/>
    <col min="16" max="16" width="6.6640625" style="171" customWidth="1"/>
    <col min="17" max="20" width="1.6640625" style="171" customWidth="1"/>
    <col min="21" max="21" width="0.33203125" style="171" customWidth="1"/>
    <col min="22" max="25" width="1.6640625" style="171" customWidth="1"/>
    <col min="26" max="26" width="6.6640625" style="171" customWidth="1"/>
    <col min="27" max="28" width="1.6640625" style="171" customWidth="1"/>
    <col min="29" max="29" width="3.21875" style="171" customWidth="1"/>
    <col min="30" max="30" width="1.109375" style="171" customWidth="1"/>
    <col min="31" max="31" width="0.33203125" style="171" customWidth="1"/>
    <col min="32" max="35" width="1.6640625" style="171" customWidth="1"/>
    <col min="36" max="36" width="6.77734375" style="171" customWidth="1"/>
    <col min="37" max="37" width="1.6640625" style="171" customWidth="1"/>
    <col min="38" max="38" width="3.77734375" style="171" customWidth="1"/>
    <col min="39" max="39" width="4.88671875" style="171" customWidth="1"/>
    <col min="40" max="40" width="3.77734375" style="171" customWidth="1"/>
    <col min="41" max="41" width="0.33203125" style="171" customWidth="1"/>
    <col min="42" max="45" width="1.6640625" style="171" customWidth="1"/>
    <col min="46" max="46" width="6.109375" style="171" customWidth="1"/>
    <col min="47" max="47" width="1.6640625" style="171" customWidth="1"/>
    <col min="48" max="48" width="5.109375" style="171" customWidth="1"/>
    <col min="49" max="49" width="3.109375" style="171" customWidth="1"/>
    <col min="50" max="50" width="4.6640625" style="171" customWidth="1"/>
    <col min="51" max="51" width="0.33203125" style="171" customWidth="1"/>
    <col min="52" max="55" width="1.6640625" style="171" customWidth="1"/>
    <col min="56" max="56" width="5.77734375" style="171" customWidth="1"/>
    <col min="57" max="57" width="1.6640625" style="171" customWidth="1"/>
    <col min="58" max="58" width="4.88671875" style="171" customWidth="1"/>
    <col min="59" max="59" width="4.33203125" style="171" customWidth="1"/>
    <col min="60" max="60" width="3.77734375" style="171" customWidth="1"/>
    <col min="61" max="61" width="0.33203125" style="171" customWidth="1"/>
    <col min="62" max="64" width="1.6640625" style="171" customWidth="1"/>
    <col min="65" max="65" width="6.6640625" style="171" customWidth="1"/>
    <col min="66" max="66" width="1.6640625" style="171" customWidth="1"/>
    <col min="67" max="67" width="2.109375" style="171" customWidth="1"/>
    <col min="68" max="68" width="2.33203125" style="171" customWidth="1"/>
    <col min="69" max="69" width="2.44140625" style="171" customWidth="1"/>
    <col min="70" max="70" width="4" style="171" customWidth="1"/>
    <col min="71" max="71" width="0.33203125" style="27" customWidth="1"/>
    <col min="72" max="80" width="1.6640625" style="27" customWidth="1"/>
    <col min="81" max="256" width="9.109375" style="27"/>
    <col min="257" max="257" width="0.33203125" style="27" customWidth="1"/>
    <col min="258" max="266" width="1.6640625" style="27" customWidth="1"/>
    <col min="267" max="267" width="0.33203125" style="27" customWidth="1"/>
    <col min="268" max="276" width="1.6640625" style="27" customWidth="1"/>
    <col min="277" max="277" width="0.33203125" style="27" customWidth="1"/>
    <col min="278" max="286" width="1.6640625" style="27" customWidth="1"/>
    <col min="287" max="287" width="0.33203125" style="27" customWidth="1"/>
    <col min="288" max="296" width="1.6640625" style="27" customWidth="1"/>
    <col min="297" max="297" width="0.33203125" style="27" customWidth="1"/>
    <col min="298" max="306" width="1.6640625" style="27" customWidth="1"/>
    <col min="307" max="307" width="0.33203125" style="27" customWidth="1"/>
    <col min="308" max="316" width="1.6640625" style="27" customWidth="1"/>
    <col min="317" max="317" width="0.33203125" style="27" customWidth="1"/>
    <col min="318" max="326" width="1.6640625" style="27" customWidth="1"/>
    <col min="327" max="327" width="0.33203125" style="27" customWidth="1"/>
    <col min="328" max="336" width="1.6640625" style="27" customWidth="1"/>
    <col min="337" max="512" width="9.109375" style="27"/>
    <col min="513" max="513" width="0.33203125" style="27" customWidth="1"/>
    <col min="514" max="522" width="1.6640625" style="27" customWidth="1"/>
    <col min="523" max="523" width="0.33203125" style="27" customWidth="1"/>
    <col min="524" max="532" width="1.6640625" style="27" customWidth="1"/>
    <col min="533" max="533" width="0.33203125" style="27" customWidth="1"/>
    <col min="534" max="542" width="1.6640625" style="27" customWidth="1"/>
    <col min="543" max="543" width="0.33203125" style="27" customWidth="1"/>
    <col min="544" max="552" width="1.6640625" style="27" customWidth="1"/>
    <col min="553" max="553" width="0.33203125" style="27" customWidth="1"/>
    <col min="554" max="562" width="1.6640625" style="27" customWidth="1"/>
    <col min="563" max="563" width="0.33203125" style="27" customWidth="1"/>
    <col min="564" max="572" width="1.6640625" style="27" customWidth="1"/>
    <col min="573" max="573" width="0.33203125" style="27" customWidth="1"/>
    <col min="574" max="582" width="1.6640625" style="27" customWidth="1"/>
    <col min="583" max="583" width="0.33203125" style="27" customWidth="1"/>
    <col min="584" max="592" width="1.6640625" style="27" customWidth="1"/>
    <col min="593" max="768" width="9.109375" style="27"/>
    <col min="769" max="769" width="0.33203125" style="27" customWidth="1"/>
    <col min="770" max="778" width="1.6640625" style="27" customWidth="1"/>
    <col min="779" max="779" width="0.33203125" style="27" customWidth="1"/>
    <col min="780" max="788" width="1.6640625" style="27" customWidth="1"/>
    <col min="789" max="789" width="0.33203125" style="27" customWidth="1"/>
    <col min="790" max="798" width="1.6640625" style="27" customWidth="1"/>
    <col min="799" max="799" width="0.33203125" style="27" customWidth="1"/>
    <col min="800" max="808" width="1.6640625" style="27" customWidth="1"/>
    <col min="809" max="809" width="0.33203125" style="27" customWidth="1"/>
    <col min="810" max="818" width="1.6640625" style="27" customWidth="1"/>
    <col min="819" max="819" width="0.33203125" style="27" customWidth="1"/>
    <col min="820" max="828" width="1.6640625" style="27" customWidth="1"/>
    <col min="829" max="829" width="0.33203125" style="27" customWidth="1"/>
    <col min="830" max="838" width="1.6640625" style="27" customWidth="1"/>
    <col min="839" max="839" width="0.33203125" style="27" customWidth="1"/>
    <col min="840" max="848" width="1.6640625" style="27" customWidth="1"/>
    <col min="849" max="1024" width="9.109375" style="27"/>
    <col min="1025" max="1025" width="0.33203125" style="27" customWidth="1"/>
    <col min="1026" max="1034" width="1.6640625" style="27" customWidth="1"/>
    <col min="1035" max="1035" width="0.33203125" style="27" customWidth="1"/>
    <col min="1036" max="1044" width="1.6640625" style="27" customWidth="1"/>
    <col min="1045" max="1045" width="0.33203125" style="27" customWidth="1"/>
    <col min="1046" max="1054" width="1.6640625" style="27" customWidth="1"/>
    <col min="1055" max="1055" width="0.33203125" style="27" customWidth="1"/>
    <col min="1056" max="1064" width="1.6640625" style="27" customWidth="1"/>
    <col min="1065" max="1065" width="0.33203125" style="27" customWidth="1"/>
    <col min="1066" max="1074" width="1.6640625" style="27" customWidth="1"/>
    <col min="1075" max="1075" width="0.33203125" style="27" customWidth="1"/>
    <col min="1076" max="1084" width="1.6640625" style="27" customWidth="1"/>
    <col min="1085" max="1085" width="0.33203125" style="27" customWidth="1"/>
    <col min="1086" max="1094" width="1.6640625" style="27" customWidth="1"/>
    <col min="1095" max="1095" width="0.33203125" style="27" customWidth="1"/>
    <col min="1096" max="1104" width="1.6640625" style="27" customWidth="1"/>
    <col min="1105" max="1280" width="9.109375" style="27"/>
    <col min="1281" max="1281" width="0.33203125" style="27" customWidth="1"/>
    <col min="1282" max="1290" width="1.6640625" style="27" customWidth="1"/>
    <col min="1291" max="1291" width="0.33203125" style="27" customWidth="1"/>
    <col min="1292" max="1300" width="1.6640625" style="27" customWidth="1"/>
    <col min="1301" max="1301" width="0.33203125" style="27" customWidth="1"/>
    <col min="1302" max="1310" width="1.6640625" style="27" customWidth="1"/>
    <col min="1311" max="1311" width="0.33203125" style="27" customWidth="1"/>
    <col min="1312" max="1320" width="1.6640625" style="27" customWidth="1"/>
    <col min="1321" max="1321" width="0.33203125" style="27" customWidth="1"/>
    <col min="1322" max="1330" width="1.6640625" style="27" customWidth="1"/>
    <col min="1331" max="1331" width="0.33203125" style="27" customWidth="1"/>
    <col min="1332" max="1340" width="1.6640625" style="27" customWidth="1"/>
    <col min="1341" max="1341" width="0.33203125" style="27" customWidth="1"/>
    <col min="1342" max="1350" width="1.6640625" style="27" customWidth="1"/>
    <col min="1351" max="1351" width="0.33203125" style="27" customWidth="1"/>
    <col min="1352" max="1360" width="1.6640625" style="27" customWidth="1"/>
    <col min="1361" max="1536" width="9.109375" style="27"/>
    <col min="1537" max="1537" width="0.33203125" style="27" customWidth="1"/>
    <col min="1538" max="1546" width="1.6640625" style="27" customWidth="1"/>
    <col min="1547" max="1547" width="0.33203125" style="27" customWidth="1"/>
    <col min="1548" max="1556" width="1.6640625" style="27" customWidth="1"/>
    <col min="1557" max="1557" width="0.33203125" style="27" customWidth="1"/>
    <col min="1558" max="1566" width="1.6640625" style="27" customWidth="1"/>
    <col min="1567" max="1567" width="0.33203125" style="27" customWidth="1"/>
    <col min="1568" max="1576" width="1.6640625" style="27" customWidth="1"/>
    <col min="1577" max="1577" width="0.33203125" style="27" customWidth="1"/>
    <col min="1578" max="1586" width="1.6640625" style="27" customWidth="1"/>
    <col min="1587" max="1587" width="0.33203125" style="27" customWidth="1"/>
    <col min="1588" max="1596" width="1.6640625" style="27" customWidth="1"/>
    <col min="1597" max="1597" width="0.33203125" style="27" customWidth="1"/>
    <col min="1598" max="1606" width="1.6640625" style="27" customWidth="1"/>
    <col min="1607" max="1607" width="0.33203125" style="27" customWidth="1"/>
    <col min="1608" max="1616" width="1.6640625" style="27" customWidth="1"/>
    <col min="1617" max="1792" width="9.109375" style="27"/>
    <col min="1793" max="1793" width="0.33203125" style="27" customWidth="1"/>
    <col min="1794" max="1802" width="1.6640625" style="27" customWidth="1"/>
    <col min="1803" max="1803" width="0.33203125" style="27" customWidth="1"/>
    <col min="1804" max="1812" width="1.6640625" style="27" customWidth="1"/>
    <col min="1813" max="1813" width="0.33203125" style="27" customWidth="1"/>
    <col min="1814" max="1822" width="1.6640625" style="27" customWidth="1"/>
    <col min="1823" max="1823" width="0.33203125" style="27" customWidth="1"/>
    <col min="1824" max="1832" width="1.6640625" style="27" customWidth="1"/>
    <col min="1833" max="1833" width="0.33203125" style="27" customWidth="1"/>
    <col min="1834" max="1842" width="1.6640625" style="27" customWidth="1"/>
    <col min="1843" max="1843" width="0.33203125" style="27" customWidth="1"/>
    <col min="1844" max="1852" width="1.6640625" style="27" customWidth="1"/>
    <col min="1853" max="1853" width="0.33203125" style="27" customWidth="1"/>
    <col min="1854" max="1862" width="1.6640625" style="27" customWidth="1"/>
    <col min="1863" max="1863" width="0.33203125" style="27" customWidth="1"/>
    <col min="1864" max="1872" width="1.6640625" style="27" customWidth="1"/>
    <col min="1873" max="2048" width="9.109375" style="27"/>
    <col min="2049" max="2049" width="0.33203125" style="27" customWidth="1"/>
    <col min="2050" max="2058" width="1.6640625" style="27" customWidth="1"/>
    <col min="2059" max="2059" width="0.33203125" style="27" customWidth="1"/>
    <col min="2060" max="2068" width="1.6640625" style="27" customWidth="1"/>
    <col min="2069" max="2069" width="0.33203125" style="27" customWidth="1"/>
    <col min="2070" max="2078" width="1.6640625" style="27" customWidth="1"/>
    <col min="2079" max="2079" width="0.33203125" style="27" customWidth="1"/>
    <col min="2080" max="2088" width="1.6640625" style="27" customWidth="1"/>
    <col min="2089" max="2089" width="0.33203125" style="27" customWidth="1"/>
    <col min="2090" max="2098" width="1.6640625" style="27" customWidth="1"/>
    <col min="2099" max="2099" width="0.33203125" style="27" customWidth="1"/>
    <col min="2100" max="2108" width="1.6640625" style="27" customWidth="1"/>
    <col min="2109" max="2109" width="0.33203125" style="27" customWidth="1"/>
    <col min="2110" max="2118" width="1.6640625" style="27" customWidth="1"/>
    <col min="2119" max="2119" width="0.33203125" style="27" customWidth="1"/>
    <col min="2120" max="2128" width="1.6640625" style="27" customWidth="1"/>
    <col min="2129" max="2304" width="9.109375" style="27"/>
    <col min="2305" max="2305" width="0.33203125" style="27" customWidth="1"/>
    <col min="2306" max="2314" width="1.6640625" style="27" customWidth="1"/>
    <col min="2315" max="2315" width="0.33203125" style="27" customWidth="1"/>
    <col min="2316" max="2324" width="1.6640625" style="27" customWidth="1"/>
    <col min="2325" max="2325" width="0.33203125" style="27" customWidth="1"/>
    <col min="2326" max="2334" width="1.6640625" style="27" customWidth="1"/>
    <col min="2335" max="2335" width="0.33203125" style="27" customWidth="1"/>
    <col min="2336" max="2344" width="1.6640625" style="27" customWidth="1"/>
    <col min="2345" max="2345" width="0.33203125" style="27" customWidth="1"/>
    <col min="2346" max="2354" width="1.6640625" style="27" customWidth="1"/>
    <col min="2355" max="2355" width="0.33203125" style="27" customWidth="1"/>
    <col min="2356" max="2364" width="1.6640625" style="27" customWidth="1"/>
    <col min="2365" max="2365" width="0.33203125" style="27" customWidth="1"/>
    <col min="2366" max="2374" width="1.6640625" style="27" customWidth="1"/>
    <col min="2375" max="2375" width="0.33203125" style="27" customWidth="1"/>
    <col min="2376" max="2384" width="1.6640625" style="27" customWidth="1"/>
    <col min="2385" max="2560" width="9.109375" style="27"/>
    <col min="2561" max="2561" width="0.33203125" style="27" customWidth="1"/>
    <col min="2562" max="2570" width="1.6640625" style="27" customWidth="1"/>
    <col min="2571" max="2571" width="0.33203125" style="27" customWidth="1"/>
    <col min="2572" max="2580" width="1.6640625" style="27" customWidth="1"/>
    <col min="2581" max="2581" width="0.33203125" style="27" customWidth="1"/>
    <col min="2582" max="2590" width="1.6640625" style="27" customWidth="1"/>
    <col min="2591" max="2591" width="0.33203125" style="27" customWidth="1"/>
    <col min="2592" max="2600" width="1.6640625" style="27" customWidth="1"/>
    <col min="2601" max="2601" width="0.33203125" style="27" customWidth="1"/>
    <col min="2602" max="2610" width="1.6640625" style="27" customWidth="1"/>
    <col min="2611" max="2611" width="0.33203125" style="27" customWidth="1"/>
    <col min="2612" max="2620" width="1.6640625" style="27" customWidth="1"/>
    <col min="2621" max="2621" width="0.33203125" style="27" customWidth="1"/>
    <col min="2622" max="2630" width="1.6640625" style="27" customWidth="1"/>
    <col min="2631" max="2631" width="0.33203125" style="27" customWidth="1"/>
    <col min="2632" max="2640" width="1.6640625" style="27" customWidth="1"/>
    <col min="2641" max="2816" width="9.109375" style="27"/>
    <col min="2817" max="2817" width="0.33203125" style="27" customWidth="1"/>
    <col min="2818" max="2826" width="1.6640625" style="27" customWidth="1"/>
    <col min="2827" max="2827" width="0.33203125" style="27" customWidth="1"/>
    <col min="2828" max="2836" width="1.6640625" style="27" customWidth="1"/>
    <col min="2837" max="2837" width="0.33203125" style="27" customWidth="1"/>
    <col min="2838" max="2846" width="1.6640625" style="27" customWidth="1"/>
    <col min="2847" max="2847" width="0.33203125" style="27" customWidth="1"/>
    <col min="2848" max="2856" width="1.6640625" style="27" customWidth="1"/>
    <col min="2857" max="2857" width="0.33203125" style="27" customWidth="1"/>
    <col min="2858" max="2866" width="1.6640625" style="27" customWidth="1"/>
    <col min="2867" max="2867" width="0.33203125" style="27" customWidth="1"/>
    <col min="2868" max="2876" width="1.6640625" style="27" customWidth="1"/>
    <col min="2877" max="2877" width="0.33203125" style="27" customWidth="1"/>
    <col min="2878" max="2886" width="1.6640625" style="27" customWidth="1"/>
    <col min="2887" max="2887" width="0.33203125" style="27" customWidth="1"/>
    <col min="2888" max="2896" width="1.6640625" style="27" customWidth="1"/>
    <col min="2897" max="3072" width="9.109375" style="27"/>
    <col min="3073" max="3073" width="0.33203125" style="27" customWidth="1"/>
    <col min="3074" max="3082" width="1.6640625" style="27" customWidth="1"/>
    <col min="3083" max="3083" width="0.33203125" style="27" customWidth="1"/>
    <col min="3084" max="3092" width="1.6640625" style="27" customWidth="1"/>
    <col min="3093" max="3093" width="0.33203125" style="27" customWidth="1"/>
    <col min="3094" max="3102" width="1.6640625" style="27" customWidth="1"/>
    <col min="3103" max="3103" width="0.33203125" style="27" customWidth="1"/>
    <col min="3104" max="3112" width="1.6640625" style="27" customWidth="1"/>
    <col min="3113" max="3113" width="0.33203125" style="27" customWidth="1"/>
    <col min="3114" max="3122" width="1.6640625" style="27" customWidth="1"/>
    <col min="3123" max="3123" width="0.33203125" style="27" customWidth="1"/>
    <col min="3124" max="3132" width="1.6640625" style="27" customWidth="1"/>
    <col min="3133" max="3133" width="0.33203125" style="27" customWidth="1"/>
    <col min="3134" max="3142" width="1.6640625" style="27" customWidth="1"/>
    <col min="3143" max="3143" width="0.33203125" style="27" customWidth="1"/>
    <col min="3144" max="3152" width="1.6640625" style="27" customWidth="1"/>
    <col min="3153" max="3328" width="9.109375" style="27"/>
    <col min="3329" max="3329" width="0.33203125" style="27" customWidth="1"/>
    <col min="3330" max="3338" width="1.6640625" style="27" customWidth="1"/>
    <col min="3339" max="3339" width="0.33203125" style="27" customWidth="1"/>
    <col min="3340" max="3348" width="1.6640625" style="27" customWidth="1"/>
    <col min="3349" max="3349" width="0.33203125" style="27" customWidth="1"/>
    <col min="3350" max="3358" width="1.6640625" style="27" customWidth="1"/>
    <col min="3359" max="3359" width="0.33203125" style="27" customWidth="1"/>
    <col min="3360" max="3368" width="1.6640625" style="27" customWidth="1"/>
    <col min="3369" max="3369" width="0.33203125" style="27" customWidth="1"/>
    <col min="3370" max="3378" width="1.6640625" style="27" customWidth="1"/>
    <col min="3379" max="3379" width="0.33203125" style="27" customWidth="1"/>
    <col min="3380" max="3388" width="1.6640625" style="27" customWidth="1"/>
    <col min="3389" max="3389" width="0.33203125" style="27" customWidth="1"/>
    <col min="3390" max="3398" width="1.6640625" style="27" customWidth="1"/>
    <col min="3399" max="3399" width="0.33203125" style="27" customWidth="1"/>
    <col min="3400" max="3408" width="1.6640625" style="27" customWidth="1"/>
    <col min="3409" max="3584" width="9.109375" style="27"/>
    <col min="3585" max="3585" width="0.33203125" style="27" customWidth="1"/>
    <col min="3586" max="3594" width="1.6640625" style="27" customWidth="1"/>
    <col min="3595" max="3595" width="0.33203125" style="27" customWidth="1"/>
    <col min="3596" max="3604" width="1.6640625" style="27" customWidth="1"/>
    <col min="3605" max="3605" width="0.33203125" style="27" customWidth="1"/>
    <col min="3606" max="3614" width="1.6640625" style="27" customWidth="1"/>
    <col min="3615" max="3615" width="0.33203125" style="27" customWidth="1"/>
    <col min="3616" max="3624" width="1.6640625" style="27" customWidth="1"/>
    <col min="3625" max="3625" width="0.33203125" style="27" customWidth="1"/>
    <col min="3626" max="3634" width="1.6640625" style="27" customWidth="1"/>
    <col min="3635" max="3635" width="0.33203125" style="27" customWidth="1"/>
    <col min="3636" max="3644" width="1.6640625" style="27" customWidth="1"/>
    <col min="3645" max="3645" width="0.33203125" style="27" customWidth="1"/>
    <col min="3646" max="3654" width="1.6640625" style="27" customWidth="1"/>
    <col min="3655" max="3655" width="0.33203125" style="27" customWidth="1"/>
    <col min="3656" max="3664" width="1.6640625" style="27" customWidth="1"/>
    <col min="3665" max="3840" width="9.109375" style="27"/>
    <col min="3841" max="3841" width="0.33203125" style="27" customWidth="1"/>
    <col min="3842" max="3850" width="1.6640625" style="27" customWidth="1"/>
    <col min="3851" max="3851" width="0.33203125" style="27" customWidth="1"/>
    <col min="3852" max="3860" width="1.6640625" style="27" customWidth="1"/>
    <col min="3861" max="3861" width="0.33203125" style="27" customWidth="1"/>
    <col min="3862" max="3870" width="1.6640625" style="27" customWidth="1"/>
    <col min="3871" max="3871" width="0.33203125" style="27" customWidth="1"/>
    <col min="3872" max="3880" width="1.6640625" style="27" customWidth="1"/>
    <col min="3881" max="3881" width="0.33203125" style="27" customWidth="1"/>
    <col min="3882" max="3890" width="1.6640625" style="27" customWidth="1"/>
    <col min="3891" max="3891" width="0.33203125" style="27" customWidth="1"/>
    <col min="3892" max="3900" width="1.6640625" style="27" customWidth="1"/>
    <col min="3901" max="3901" width="0.33203125" style="27" customWidth="1"/>
    <col min="3902" max="3910" width="1.6640625" style="27" customWidth="1"/>
    <col min="3911" max="3911" width="0.33203125" style="27" customWidth="1"/>
    <col min="3912" max="3920" width="1.6640625" style="27" customWidth="1"/>
    <col min="3921" max="4096" width="9.109375" style="27"/>
    <col min="4097" max="4097" width="0.33203125" style="27" customWidth="1"/>
    <col min="4098" max="4106" width="1.6640625" style="27" customWidth="1"/>
    <col min="4107" max="4107" width="0.33203125" style="27" customWidth="1"/>
    <col min="4108" max="4116" width="1.6640625" style="27" customWidth="1"/>
    <col min="4117" max="4117" width="0.33203125" style="27" customWidth="1"/>
    <col min="4118" max="4126" width="1.6640625" style="27" customWidth="1"/>
    <col min="4127" max="4127" width="0.33203125" style="27" customWidth="1"/>
    <col min="4128" max="4136" width="1.6640625" style="27" customWidth="1"/>
    <col min="4137" max="4137" width="0.33203125" style="27" customWidth="1"/>
    <col min="4138" max="4146" width="1.6640625" style="27" customWidth="1"/>
    <col min="4147" max="4147" width="0.33203125" style="27" customWidth="1"/>
    <col min="4148" max="4156" width="1.6640625" style="27" customWidth="1"/>
    <col min="4157" max="4157" width="0.33203125" style="27" customWidth="1"/>
    <col min="4158" max="4166" width="1.6640625" style="27" customWidth="1"/>
    <col min="4167" max="4167" width="0.33203125" style="27" customWidth="1"/>
    <col min="4168" max="4176" width="1.6640625" style="27" customWidth="1"/>
    <col min="4177" max="4352" width="9.109375" style="27"/>
    <col min="4353" max="4353" width="0.33203125" style="27" customWidth="1"/>
    <col min="4354" max="4362" width="1.6640625" style="27" customWidth="1"/>
    <col min="4363" max="4363" width="0.33203125" style="27" customWidth="1"/>
    <col min="4364" max="4372" width="1.6640625" style="27" customWidth="1"/>
    <col min="4373" max="4373" width="0.33203125" style="27" customWidth="1"/>
    <col min="4374" max="4382" width="1.6640625" style="27" customWidth="1"/>
    <col min="4383" max="4383" width="0.33203125" style="27" customWidth="1"/>
    <col min="4384" max="4392" width="1.6640625" style="27" customWidth="1"/>
    <col min="4393" max="4393" width="0.33203125" style="27" customWidth="1"/>
    <col min="4394" max="4402" width="1.6640625" style="27" customWidth="1"/>
    <col min="4403" max="4403" width="0.33203125" style="27" customWidth="1"/>
    <col min="4404" max="4412" width="1.6640625" style="27" customWidth="1"/>
    <col min="4413" max="4413" width="0.33203125" style="27" customWidth="1"/>
    <col min="4414" max="4422" width="1.6640625" style="27" customWidth="1"/>
    <col min="4423" max="4423" width="0.33203125" style="27" customWidth="1"/>
    <col min="4424" max="4432" width="1.6640625" style="27" customWidth="1"/>
    <col min="4433" max="4608" width="9.109375" style="27"/>
    <col min="4609" max="4609" width="0.33203125" style="27" customWidth="1"/>
    <col min="4610" max="4618" width="1.6640625" style="27" customWidth="1"/>
    <col min="4619" max="4619" width="0.33203125" style="27" customWidth="1"/>
    <col min="4620" max="4628" width="1.6640625" style="27" customWidth="1"/>
    <col min="4629" max="4629" width="0.33203125" style="27" customWidth="1"/>
    <col min="4630" max="4638" width="1.6640625" style="27" customWidth="1"/>
    <col min="4639" max="4639" width="0.33203125" style="27" customWidth="1"/>
    <col min="4640" max="4648" width="1.6640625" style="27" customWidth="1"/>
    <col min="4649" max="4649" width="0.33203125" style="27" customWidth="1"/>
    <col min="4650" max="4658" width="1.6640625" style="27" customWidth="1"/>
    <col min="4659" max="4659" width="0.33203125" style="27" customWidth="1"/>
    <col min="4660" max="4668" width="1.6640625" style="27" customWidth="1"/>
    <col min="4669" max="4669" width="0.33203125" style="27" customWidth="1"/>
    <col min="4670" max="4678" width="1.6640625" style="27" customWidth="1"/>
    <col min="4679" max="4679" width="0.33203125" style="27" customWidth="1"/>
    <col min="4680" max="4688" width="1.6640625" style="27" customWidth="1"/>
    <col min="4689" max="4864" width="9.109375" style="27"/>
    <col min="4865" max="4865" width="0.33203125" style="27" customWidth="1"/>
    <col min="4866" max="4874" width="1.6640625" style="27" customWidth="1"/>
    <col min="4875" max="4875" width="0.33203125" style="27" customWidth="1"/>
    <col min="4876" max="4884" width="1.6640625" style="27" customWidth="1"/>
    <col min="4885" max="4885" width="0.33203125" style="27" customWidth="1"/>
    <col min="4886" max="4894" width="1.6640625" style="27" customWidth="1"/>
    <col min="4895" max="4895" width="0.33203125" style="27" customWidth="1"/>
    <col min="4896" max="4904" width="1.6640625" style="27" customWidth="1"/>
    <col min="4905" max="4905" width="0.33203125" style="27" customWidth="1"/>
    <col min="4906" max="4914" width="1.6640625" style="27" customWidth="1"/>
    <col min="4915" max="4915" width="0.33203125" style="27" customWidth="1"/>
    <col min="4916" max="4924" width="1.6640625" style="27" customWidth="1"/>
    <col min="4925" max="4925" width="0.33203125" style="27" customWidth="1"/>
    <col min="4926" max="4934" width="1.6640625" style="27" customWidth="1"/>
    <col min="4935" max="4935" width="0.33203125" style="27" customWidth="1"/>
    <col min="4936" max="4944" width="1.6640625" style="27" customWidth="1"/>
    <col min="4945" max="5120" width="9.109375" style="27"/>
    <col min="5121" max="5121" width="0.33203125" style="27" customWidth="1"/>
    <col min="5122" max="5130" width="1.6640625" style="27" customWidth="1"/>
    <col min="5131" max="5131" width="0.33203125" style="27" customWidth="1"/>
    <col min="5132" max="5140" width="1.6640625" style="27" customWidth="1"/>
    <col min="5141" max="5141" width="0.33203125" style="27" customWidth="1"/>
    <col min="5142" max="5150" width="1.6640625" style="27" customWidth="1"/>
    <col min="5151" max="5151" width="0.33203125" style="27" customWidth="1"/>
    <col min="5152" max="5160" width="1.6640625" style="27" customWidth="1"/>
    <col min="5161" max="5161" width="0.33203125" style="27" customWidth="1"/>
    <col min="5162" max="5170" width="1.6640625" style="27" customWidth="1"/>
    <col min="5171" max="5171" width="0.33203125" style="27" customWidth="1"/>
    <col min="5172" max="5180" width="1.6640625" style="27" customWidth="1"/>
    <col min="5181" max="5181" width="0.33203125" style="27" customWidth="1"/>
    <col min="5182" max="5190" width="1.6640625" style="27" customWidth="1"/>
    <col min="5191" max="5191" width="0.33203125" style="27" customWidth="1"/>
    <col min="5192" max="5200" width="1.6640625" style="27" customWidth="1"/>
    <col min="5201" max="5376" width="9.109375" style="27"/>
    <col min="5377" max="5377" width="0.33203125" style="27" customWidth="1"/>
    <col min="5378" max="5386" width="1.6640625" style="27" customWidth="1"/>
    <col min="5387" max="5387" width="0.33203125" style="27" customWidth="1"/>
    <col min="5388" max="5396" width="1.6640625" style="27" customWidth="1"/>
    <col min="5397" max="5397" width="0.33203125" style="27" customWidth="1"/>
    <col min="5398" max="5406" width="1.6640625" style="27" customWidth="1"/>
    <col min="5407" max="5407" width="0.33203125" style="27" customWidth="1"/>
    <col min="5408" max="5416" width="1.6640625" style="27" customWidth="1"/>
    <col min="5417" max="5417" width="0.33203125" style="27" customWidth="1"/>
    <col min="5418" max="5426" width="1.6640625" style="27" customWidth="1"/>
    <col min="5427" max="5427" width="0.33203125" style="27" customWidth="1"/>
    <col min="5428" max="5436" width="1.6640625" style="27" customWidth="1"/>
    <col min="5437" max="5437" width="0.33203125" style="27" customWidth="1"/>
    <col min="5438" max="5446" width="1.6640625" style="27" customWidth="1"/>
    <col min="5447" max="5447" width="0.33203125" style="27" customWidth="1"/>
    <col min="5448" max="5456" width="1.6640625" style="27" customWidth="1"/>
    <col min="5457" max="5632" width="9.109375" style="27"/>
    <col min="5633" max="5633" width="0.33203125" style="27" customWidth="1"/>
    <col min="5634" max="5642" width="1.6640625" style="27" customWidth="1"/>
    <col min="5643" max="5643" width="0.33203125" style="27" customWidth="1"/>
    <col min="5644" max="5652" width="1.6640625" style="27" customWidth="1"/>
    <col min="5653" max="5653" width="0.33203125" style="27" customWidth="1"/>
    <col min="5654" max="5662" width="1.6640625" style="27" customWidth="1"/>
    <col min="5663" max="5663" width="0.33203125" style="27" customWidth="1"/>
    <col min="5664" max="5672" width="1.6640625" style="27" customWidth="1"/>
    <col min="5673" max="5673" width="0.33203125" style="27" customWidth="1"/>
    <col min="5674" max="5682" width="1.6640625" style="27" customWidth="1"/>
    <col min="5683" max="5683" width="0.33203125" style="27" customWidth="1"/>
    <col min="5684" max="5692" width="1.6640625" style="27" customWidth="1"/>
    <col min="5693" max="5693" width="0.33203125" style="27" customWidth="1"/>
    <col min="5694" max="5702" width="1.6640625" style="27" customWidth="1"/>
    <col min="5703" max="5703" width="0.33203125" style="27" customWidth="1"/>
    <col min="5704" max="5712" width="1.6640625" style="27" customWidth="1"/>
    <col min="5713" max="5888" width="9.109375" style="27"/>
    <col min="5889" max="5889" width="0.33203125" style="27" customWidth="1"/>
    <col min="5890" max="5898" width="1.6640625" style="27" customWidth="1"/>
    <col min="5899" max="5899" width="0.33203125" style="27" customWidth="1"/>
    <col min="5900" max="5908" width="1.6640625" style="27" customWidth="1"/>
    <col min="5909" max="5909" width="0.33203125" style="27" customWidth="1"/>
    <col min="5910" max="5918" width="1.6640625" style="27" customWidth="1"/>
    <col min="5919" max="5919" width="0.33203125" style="27" customWidth="1"/>
    <col min="5920" max="5928" width="1.6640625" style="27" customWidth="1"/>
    <col min="5929" max="5929" width="0.33203125" style="27" customWidth="1"/>
    <col min="5930" max="5938" width="1.6640625" style="27" customWidth="1"/>
    <col min="5939" max="5939" width="0.33203125" style="27" customWidth="1"/>
    <col min="5940" max="5948" width="1.6640625" style="27" customWidth="1"/>
    <col min="5949" max="5949" width="0.33203125" style="27" customWidth="1"/>
    <col min="5950" max="5958" width="1.6640625" style="27" customWidth="1"/>
    <col min="5959" max="5959" width="0.33203125" style="27" customWidth="1"/>
    <col min="5960" max="5968" width="1.6640625" style="27" customWidth="1"/>
    <col min="5969" max="6144" width="9.109375" style="27"/>
    <col min="6145" max="6145" width="0.33203125" style="27" customWidth="1"/>
    <col min="6146" max="6154" width="1.6640625" style="27" customWidth="1"/>
    <col min="6155" max="6155" width="0.33203125" style="27" customWidth="1"/>
    <col min="6156" max="6164" width="1.6640625" style="27" customWidth="1"/>
    <col min="6165" max="6165" width="0.33203125" style="27" customWidth="1"/>
    <col min="6166" max="6174" width="1.6640625" style="27" customWidth="1"/>
    <col min="6175" max="6175" width="0.33203125" style="27" customWidth="1"/>
    <col min="6176" max="6184" width="1.6640625" style="27" customWidth="1"/>
    <col min="6185" max="6185" width="0.33203125" style="27" customWidth="1"/>
    <col min="6186" max="6194" width="1.6640625" style="27" customWidth="1"/>
    <col min="6195" max="6195" width="0.33203125" style="27" customWidth="1"/>
    <col min="6196" max="6204" width="1.6640625" style="27" customWidth="1"/>
    <col min="6205" max="6205" width="0.33203125" style="27" customWidth="1"/>
    <col min="6206" max="6214" width="1.6640625" style="27" customWidth="1"/>
    <col min="6215" max="6215" width="0.33203125" style="27" customWidth="1"/>
    <col min="6216" max="6224" width="1.6640625" style="27" customWidth="1"/>
    <col min="6225" max="6400" width="9.109375" style="27"/>
    <col min="6401" max="6401" width="0.33203125" style="27" customWidth="1"/>
    <col min="6402" max="6410" width="1.6640625" style="27" customWidth="1"/>
    <col min="6411" max="6411" width="0.33203125" style="27" customWidth="1"/>
    <col min="6412" max="6420" width="1.6640625" style="27" customWidth="1"/>
    <col min="6421" max="6421" width="0.33203125" style="27" customWidth="1"/>
    <col min="6422" max="6430" width="1.6640625" style="27" customWidth="1"/>
    <col min="6431" max="6431" width="0.33203125" style="27" customWidth="1"/>
    <col min="6432" max="6440" width="1.6640625" style="27" customWidth="1"/>
    <col min="6441" max="6441" width="0.33203125" style="27" customWidth="1"/>
    <col min="6442" max="6450" width="1.6640625" style="27" customWidth="1"/>
    <col min="6451" max="6451" width="0.33203125" style="27" customWidth="1"/>
    <col min="6452" max="6460" width="1.6640625" style="27" customWidth="1"/>
    <col min="6461" max="6461" width="0.33203125" style="27" customWidth="1"/>
    <col min="6462" max="6470" width="1.6640625" style="27" customWidth="1"/>
    <col min="6471" max="6471" width="0.33203125" style="27" customWidth="1"/>
    <col min="6472" max="6480" width="1.6640625" style="27" customWidth="1"/>
    <col min="6481" max="6656" width="9.109375" style="27"/>
    <col min="6657" max="6657" width="0.33203125" style="27" customWidth="1"/>
    <col min="6658" max="6666" width="1.6640625" style="27" customWidth="1"/>
    <col min="6667" max="6667" width="0.33203125" style="27" customWidth="1"/>
    <col min="6668" max="6676" width="1.6640625" style="27" customWidth="1"/>
    <col min="6677" max="6677" width="0.33203125" style="27" customWidth="1"/>
    <col min="6678" max="6686" width="1.6640625" style="27" customWidth="1"/>
    <col min="6687" max="6687" width="0.33203125" style="27" customWidth="1"/>
    <col min="6688" max="6696" width="1.6640625" style="27" customWidth="1"/>
    <col min="6697" max="6697" width="0.33203125" style="27" customWidth="1"/>
    <col min="6698" max="6706" width="1.6640625" style="27" customWidth="1"/>
    <col min="6707" max="6707" width="0.33203125" style="27" customWidth="1"/>
    <col min="6708" max="6716" width="1.6640625" style="27" customWidth="1"/>
    <col min="6717" max="6717" width="0.33203125" style="27" customWidth="1"/>
    <col min="6718" max="6726" width="1.6640625" style="27" customWidth="1"/>
    <col min="6727" max="6727" width="0.33203125" style="27" customWidth="1"/>
    <col min="6728" max="6736" width="1.6640625" style="27" customWidth="1"/>
    <col min="6737" max="6912" width="9.109375" style="27"/>
    <col min="6913" max="6913" width="0.33203125" style="27" customWidth="1"/>
    <col min="6914" max="6922" width="1.6640625" style="27" customWidth="1"/>
    <col min="6923" max="6923" width="0.33203125" style="27" customWidth="1"/>
    <col min="6924" max="6932" width="1.6640625" style="27" customWidth="1"/>
    <col min="6933" max="6933" width="0.33203125" style="27" customWidth="1"/>
    <col min="6934" max="6942" width="1.6640625" style="27" customWidth="1"/>
    <col min="6943" max="6943" width="0.33203125" style="27" customWidth="1"/>
    <col min="6944" max="6952" width="1.6640625" style="27" customWidth="1"/>
    <col min="6953" max="6953" width="0.33203125" style="27" customWidth="1"/>
    <col min="6954" max="6962" width="1.6640625" style="27" customWidth="1"/>
    <col min="6963" max="6963" width="0.33203125" style="27" customWidth="1"/>
    <col min="6964" max="6972" width="1.6640625" style="27" customWidth="1"/>
    <col min="6973" max="6973" width="0.33203125" style="27" customWidth="1"/>
    <col min="6974" max="6982" width="1.6640625" style="27" customWidth="1"/>
    <col min="6983" max="6983" width="0.33203125" style="27" customWidth="1"/>
    <col min="6984" max="6992" width="1.6640625" style="27" customWidth="1"/>
    <col min="6993" max="7168" width="9.109375" style="27"/>
    <col min="7169" max="7169" width="0.33203125" style="27" customWidth="1"/>
    <col min="7170" max="7178" width="1.6640625" style="27" customWidth="1"/>
    <col min="7179" max="7179" width="0.33203125" style="27" customWidth="1"/>
    <col min="7180" max="7188" width="1.6640625" style="27" customWidth="1"/>
    <col min="7189" max="7189" width="0.33203125" style="27" customWidth="1"/>
    <col min="7190" max="7198" width="1.6640625" style="27" customWidth="1"/>
    <col min="7199" max="7199" width="0.33203125" style="27" customWidth="1"/>
    <col min="7200" max="7208" width="1.6640625" style="27" customWidth="1"/>
    <col min="7209" max="7209" width="0.33203125" style="27" customWidth="1"/>
    <col min="7210" max="7218" width="1.6640625" style="27" customWidth="1"/>
    <col min="7219" max="7219" width="0.33203125" style="27" customWidth="1"/>
    <col min="7220" max="7228" width="1.6640625" style="27" customWidth="1"/>
    <col min="7229" max="7229" width="0.33203125" style="27" customWidth="1"/>
    <col min="7230" max="7238" width="1.6640625" style="27" customWidth="1"/>
    <col min="7239" max="7239" width="0.33203125" style="27" customWidth="1"/>
    <col min="7240" max="7248" width="1.6640625" style="27" customWidth="1"/>
    <col min="7249" max="7424" width="9.109375" style="27"/>
    <col min="7425" max="7425" width="0.33203125" style="27" customWidth="1"/>
    <col min="7426" max="7434" width="1.6640625" style="27" customWidth="1"/>
    <col min="7435" max="7435" width="0.33203125" style="27" customWidth="1"/>
    <col min="7436" max="7444" width="1.6640625" style="27" customWidth="1"/>
    <col min="7445" max="7445" width="0.33203125" style="27" customWidth="1"/>
    <col min="7446" max="7454" width="1.6640625" style="27" customWidth="1"/>
    <col min="7455" max="7455" width="0.33203125" style="27" customWidth="1"/>
    <col min="7456" max="7464" width="1.6640625" style="27" customWidth="1"/>
    <col min="7465" max="7465" width="0.33203125" style="27" customWidth="1"/>
    <col min="7466" max="7474" width="1.6640625" style="27" customWidth="1"/>
    <col min="7475" max="7475" width="0.33203125" style="27" customWidth="1"/>
    <col min="7476" max="7484" width="1.6640625" style="27" customWidth="1"/>
    <col min="7485" max="7485" width="0.33203125" style="27" customWidth="1"/>
    <col min="7486" max="7494" width="1.6640625" style="27" customWidth="1"/>
    <col min="7495" max="7495" width="0.33203125" style="27" customWidth="1"/>
    <col min="7496" max="7504" width="1.6640625" style="27" customWidth="1"/>
    <col min="7505" max="7680" width="9.109375" style="27"/>
    <col min="7681" max="7681" width="0.33203125" style="27" customWidth="1"/>
    <col min="7682" max="7690" width="1.6640625" style="27" customWidth="1"/>
    <col min="7691" max="7691" width="0.33203125" style="27" customWidth="1"/>
    <col min="7692" max="7700" width="1.6640625" style="27" customWidth="1"/>
    <col min="7701" max="7701" width="0.33203125" style="27" customWidth="1"/>
    <col min="7702" max="7710" width="1.6640625" style="27" customWidth="1"/>
    <col min="7711" max="7711" width="0.33203125" style="27" customWidth="1"/>
    <col min="7712" max="7720" width="1.6640625" style="27" customWidth="1"/>
    <col min="7721" max="7721" width="0.33203125" style="27" customWidth="1"/>
    <col min="7722" max="7730" width="1.6640625" style="27" customWidth="1"/>
    <col min="7731" max="7731" width="0.33203125" style="27" customWidth="1"/>
    <col min="7732" max="7740" width="1.6640625" style="27" customWidth="1"/>
    <col min="7741" max="7741" width="0.33203125" style="27" customWidth="1"/>
    <col min="7742" max="7750" width="1.6640625" style="27" customWidth="1"/>
    <col min="7751" max="7751" width="0.33203125" style="27" customWidth="1"/>
    <col min="7752" max="7760" width="1.6640625" style="27" customWidth="1"/>
    <col min="7761" max="7936" width="9.109375" style="27"/>
    <col min="7937" max="7937" width="0.33203125" style="27" customWidth="1"/>
    <col min="7938" max="7946" width="1.6640625" style="27" customWidth="1"/>
    <col min="7947" max="7947" width="0.33203125" style="27" customWidth="1"/>
    <col min="7948" max="7956" width="1.6640625" style="27" customWidth="1"/>
    <col min="7957" max="7957" width="0.33203125" style="27" customWidth="1"/>
    <col min="7958" max="7966" width="1.6640625" style="27" customWidth="1"/>
    <col min="7967" max="7967" width="0.33203125" style="27" customWidth="1"/>
    <col min="7968" max="7976" width="1.6640625" style="27" customWidth="1"/>
    <col min="7977" max="7977" width="0.33203125" style="27" customWidth="1"/>
    <col min="7978" max="7986" width="1.6640625" style="27" customWidth="1"/>
    <col min="7987" max="7987" width="0.33203125" style="27" customWidth="1"/>
    <col min="7988" max="7996" width="1.6640625" style="27" customWidth="1"/>
    <col min="7997" max="7997" width="0.33203125" style="27" customWidth="1"/>
    <col min="7998" max="8006" width="1.6640625" style="27" customWidth="1"/>
    <col min="8007" max="8007" width="0.33203125" style="27" customWidth="1"/>
    <col min="8008" max="8016" width="1.6640625" style="27" customWidth="1"/>
    <col min="8017" max="8192" width="9.109375" style="27"/>
    <col min="8193" max="8193" width="0.33203125" style="27" customWidth="1"/>
    <col min="8194" max="8202" width="1.6640625" style="27" customWidth="1"/>
    <col min="8203" max="8203" width="0.33203125" style="27" customWidth="1"/>
    <col min="8204" max="8212" width="1.6640625" style="27" customWidth="1"/>
    <col min="8213" max="8213" width="0.33203125" style="27" customWidth="1"/>
    <col min="8214" max="8222" width="1.6640625" style="27" customWidth="1"/>
    <col min="8223" max="8223" width="0.33203125" style="27" customWidth="1"/>
    <col min="8224" max="8232" width="1.6640625" style="27" customWidth="1"/>
    <col min="8233" max="8233" width="0.33203125" style="27" customWidth="1"/>
    <col min="8234" max="8242" width="1.6640625" style="27" customWidth="1"/>
    <col min="8243" max="8243" width="0.33203125" style="27" customWidth="1"/>
    <col min="8244" max="8252" width="1.6640625" style="27" customWidth="1"/>
    <col min="8253" max="8253" width="0.33203125" style="27" customWidth="1"/>
    <col min="8254" max="8262" width="1.6640625" style="27" customWidth="1"/>
    <col min="8263" max="8263" width="0.33203125" style="27" customWidth="1"/>
    <col min="8264" max="8272" width="1.6640625" style="27" customWidth="1"/>
    <col min="8273" max="8448" width="9.109375" style="27"/>
    <col min="8449" max="8449" width="0.33203125" style="27" customWidth="1"/>
    <col min="8450" max="8458" width="1.6640625" style="27" customWidth="1"/>
    <col min="8459" max="8459" width="0.33203125" style="27" customWidth="1"/>
    <col min="8460" max="8468" width="1.6640625" style="27" customWidth="1"/>
    <col min="8469" max="8469" width="0.33203125" style="27" customWidth="1"/>
    <col min="8470" max="8478" width="1.6640625" style="27" customWidth="1"/>
    <col min="8479" max="8479" width="0.33203125" style="27" customWidth="1"/>
    <col min="8480" max="8488" width="1.6640625" style="27" customWidth="1"/>
    <col min="8489" max="8489" width="0.33203125" style="27" customWidth="1"/>
    <col min="8490" max="8498" width="1.6640625" style="27" customWidth="1"/>
    <col min="8499" max="8499" width="0.33203125" style="27" customWidth="1"/>
    <col min="8500" max="8508" width="1.6640625" style="27" customWidth="1"/>
    <col min="8509" max="8509" width="0.33203125" style="27" customWidth="1"/>
    <col min="8510" max="8518" width="1.6640625" style="27" customWidth="1"/>
    <col min="8519" max="8519" width="0.33203125" style="27" customWidth="1"/>
    <col min="8520" max="8528" width="1.6640625" style="27" customWidth="1"/>
    <col min="8529" max="8704" width="9.109375" style="27"/>
    <col min="8705" max="8705" width="0.33203125" style="27" customWidth="1"/>
    <col min="8706" max="8714" width="1.6640625" style="27" customWidth="1"/>
    <col min="8715" max="8715" width="0.33203125" style="27" customWidth="1"/>
    <col min="8716" max="8724" width="1.6640625" style="27" customWidth="1"/>
    <col min="8725" max="8725" width="0.33203125" style="27" customWidth="1"/>
    <col min="8726" max="8734" width="1.6640625" style="27" customWidth="1"/>
    <col min="8735" max="8735" width="0.33203125" style="27" customWidth="1"/>
    <col min="8736" max="8744" width="1.6640625" style="27" customWidth="1"/>
    <col min="8745" max="8745" width="0.33203125" style="27" customWidth="1"/>
    <col min="8746" max="8754" width="1.6640625" style="27" customWidth="1"/>
    <col min="8755" max="8755" width="0.33203125" style="27" customWidth="1"/>
    <col min="8756" max="8764" width="1.6640625" style="27" customWidth="1"/>
    <col min="8765" max="8765" width="0.33203125" style="27" customWidth="1"/>
    <col min="8766" max="8774" width="1.6640625" style="27" customWidth="1"/>
    <col min="8775" max="8775" width="0.33203125" style="27" customWidth="1"/>
    <col min="8776" max="8784" width="1.6640625" style="27" customWidth="1"/>
    <col min="8785" max="8960" width="9.109375" style="27"/>
    <col min="8961" max="8961" width="0.33203125" style="27" customWidth="1"/>
    <col min="8962" max="8970" width="1.6640625" style="27" customWidth="1"/>
    <col min="8971" max="8971" width="0.33203125" style="27" customWidth="1"/>
    <col min="8972" max="8980" width="1.6640625" style="27" customWidth="1"/>
    <col min="8981" max="8981" width="0.33203125" style="27" customWidth="1"/>
    <col min="8982" max="8990" width="1.6640625" style="27" customWidth="1"/>
    <col min="8991" max="8991" width="0.33203125" style="27" customWidth="1"/>
    <col min="8992" max="9000" width="1.6640625" style="27" customWidth="1"/>
    <col min="9001" max="9001" width="0.33203125" style="27" customWidth="1"/>
    <col min="9002" max="9010" width="1.6640625" style="27" customWidth="1"/>
    <col min="9011" max="9011" width="0.33203125" style="27" customWidth="1"/>
    <col min="9012" max="9020" width="1.6640625" style="27" customWidth="1"/>
    <col min="9021" max="9021" width="0.33203125" style="27" customWidth="1"/>
    <col min="9022" max="9030" width="1.6640625" style="27" customWidth="1"/>
    <col min="9031" max="9031" width="0.33203125" style="27" customWidth="1"/>
    <col min="9032" max="9040" width="1.6640625" style="27" customWidth="1"/>
    <col min="9041" max="9216" width="9.109375" style="27"/>
    <col min="9217" max="9217" width="0.33203125" style="27" customWidth="1"/>
    <col min="9218" max="9226" width="1.6640625" style="27" customWidth="1"/>
    <col min="9227" max="9227" width="0.33203125" style="27" customWidth="1"/>
    <col min="9228" max="9236" width="1.6640625" style="27" customWidth="1"/>
    <col min="9237" max="9237" width="0.33203125" style="27" customWidth="1"/>
    <col min="9238" max="9246" width="1.6640625" style="27" customWidth="1"/>
    <col min="9247" max="9247" width="0.33203125" style="27" customWidth="1"/>
    <col min="9248" max="9256" width="1.6640625" style="27" customWidth="1"/>
    <col min="9257" max="9257" width="0.33203125" style="27" customWidth="1"/>
    <col min="9258" max="9266" width="1.6640625" style="27" customWidth="1"/>
    <col min="9267" max="9267" width="0.33203125" style="27" customWidth="1"/>
    <col min="9268" max="9276" width="1.6640625" style="27" customWidth="1"/>
    <col min="9277" max="9277" width="0.33203125" style="27" customWidth="1"/>
    <col min="9278" max="9286" width="1.6640625" style="27" customWidth="1"/>
    <col min="9287" max="9287" width="0.33203125" style="27" customWidth="1"/>
    <col min="9288" max="9296" width="1.6640625" style="27" customWidth="1"/>
    <col min="9297" max="9472" width="9.109375" style="27"/>
    <col min="9473" max="9473" width="0.33203125" style="27" customWidth="1"/>
    <col min="9474" max="9482" width="1.6640625" style="27" customWidth="1"/>
    <col min="9483" max="9483" width="0.33203125" style="27" customWidth="1"/>
    <col min="9484" max="9492" width="1.6640625" style="27" customWidth="1"/>
    <col min="9493" max="9493" width="0.33203125" style="27" customWidth="1"/>
    <col min="9494" max="9502" width="1.6640625" style="27" customWidth="1"/>
    <col min="9503" max="9503" width="0.33203125" style="27" customWidth="1"/>
    <col min="9504" max="9512" width="1.6640625" style="27" customWidth="1"/>
    <col min="9513" max="9513" width="0.33203125" style="27" customWidth="1"/>
    <col min="9514" max="9522" width="1.6640625" style="27" customWidth="1"/>
    <col min="9523" max="9523" width="0.33203125" style="27" customWidth="1"/>
    <col min="9524" max="9532" width="1.6640625" style="27" customWidth="1"/>
    <col min="9533" max="9533" width="0.33203125" style="27" customWidth="1"/>
    <col min="9534" max="9542" width="1.6640625" style="27" customWidth="1"/>
    <col min="9543" max="9543" width="0.33203125" style="27" customWidth="1"/>
    <col min="9544" max="9552" width="1.6640625" style="27" customWidth="1"/>
    <col min="9553" max="9728" width="9.109375" style="27"/>
    <col min="9729" max="9729" width="0.33203125" style="27" customWidth="1"/>
    <col min="9730" max="9738" width="1.6640625" style="27" customWidth="1"/>
    <col min="9739" max="9739" width="0.33203125" style="27" customWidth="1"/>
    <col min="9740" max="9748" width="1.6640625" style="27" customWidth="1"/>
    <col min="9749" max="9749" width="0.33203125" style="27" customWidth="1"/>
    <col min="9750" max="9758" width="1.6640625" style="27" customWidth="1"/>
    <col min="9759" max="9759" width="0.33203125" style="27" customWidth="1"/>
    <col min="9760" max="9768" width="1.6640625" style="27" customWidth="1"/>
    <col min="9769" max="9769" width="0.33203125" style="27" customWidth="1"/>
    <col min="9770" max="9778" width="1.6640625" style="27" customWidth="1"/>
    <col min="9779" max="9779" width="0.33203125" style="27" customWidth="1"/>
    <col min="9780" max="9788" width="1.6640625" style="27" customWidth="1"/>
    <col min="9789" max="9789" width="0.33203125" style="27" customWidth="1"/>
    <col min="9790" max="9798" width="1.6640625" style="27" customWidth="1"/>
    <col min="9799" max="9799" width="0.33203125" style="27" customWidth="1"/>
    <col min="9800" max="9808" width="1.6640625" style="27" customWidth="1"/>
    <col min="9809" max="9984" width="9.109375" style="27"/>
    <col min="9985" max="9985" width="0.33203125" style="27" customWidth="1"/>
    <col min="9986" max="9994" width="1.6640625" style="27" customWidth="1"/>
    <col min="9995" max="9995" width="0.33203125" style="27" customWidth="1"/>
    <col min="9996" max="10004" width="1.6640625" style="27" customWidth="1"/>
    <col min="10005" max="10005" width="0.33203125" style="27" customWidth="1"/>
    <col min="10006" max="10014" width="1.6640625" style="27" customWidth="1"/>
    <col min="10015" max="10015" width="0.33203125" style="27" customWidth="1"/>
    <col min="10016" max="10024" width="1.6640625" style="27" customWidth="1"/>
    <col min="10025" max="10025" width="0.33203125" style="27" customWidth="1"/>
    <col min="10026" max="10034" width="1.6640625" style="27" customWidth="1"/>
    <col min="10035" max="10035" width="0.33203125" style="27" customWidth="1"/>
    <col min="10036" max="10044" width="1.6640625" style="27" customWidth="1"/>
    <col min="10045" max="10045" width="0.33203125" style="27" customWidth="1"/>
    <col min="10046" max="10054" width="1.6640625" style="27" customWidth="1"/>
    <col min="10055" max="10055" width="0.33203125" style="27" customWidth="1"/>
    <col min="10056" max="10064" width="1.6640625" style="27" customWidth="1"/>
    <col min="10065" max="10240" width="9.109375" style="27"/>
    <col min="10241" max="10241" width="0.33203125" style="27" customWidth="1"/>
    <col min="10242" max="10250" width="1.6640625" style="27" customWidth="1"/>
    <col min="10251" max="10251" width="0.33203125" style="27" customWidth="1"/>
    <col min="10252" max="10260" width="1.6640625" style="27" customWidth="1"/>
    <col min="10261" max="10261" width="0.33203125" style="27" customWidth="1"/>
    <col min="10262" max="10270" width="1.6640625" style="27" customWidth="1"/>
    <col min="10271" max="10271" width="0.33203125" style="27" customWidth="1"/>
    <col min="10272" max="10280" width="1.6640625" style="27" customWidth="1"/>
    <col min="10281" max="10281" width="0.33203125" style="27" customWidth="1"/>
    <col min="10282" max="10290" width="1.6640625" style="27" customWidth="1"/>
    <col min="10291" max="10291" width="0.33203125" style="27" customWidth="1"/>
    <col min="10292" max="10300" width="1.6640625" style="27" customWidth="1"/>
    <col min="10301" max="10301" width="0.33203125" style="27" customWidth="1"/>
    <col min="10302" max="10310" width="1.6640625" style="27" customWidth="1"/>
    <col min="10311" max="10311" width="0.33203125" style="27" customWidth="1"/>
    <col min="10312" max="10320" width="1.6640625" style="27" customWidth="1"/>
    <col min="10321" max="10496" width="9.109375" style="27"/>
    <col min="10497" max="10497" width="0.33203125" style="27" customWidth="1"/>
    <col min="10498" max="10506" width="1.6640625" style="27" customWidth="1"/>
    <col min="10507" max="10507" width="0.33203125" style="27" customWidth="1"/>
    <col min="10508" max="10516" width="1.6640625" style="27" customWidth="1"/>
    <col min="10517" max="10517" width="0.33203125" style="27" customWidth="1"/>
    <col min="10518" max="10526" width="1.6640625" style="27" customWidth="1"/>
    <col min="10527" max="10527" width="0.33203125" style="27" customWidth="1"/>
    <col min="10528" max="10536" width="1.6640625" style="27" customWidth="1"/>
    <col min="10537" max="10537" width="0.33203125" style="27" customWidth="1"/>
    <col min="10538" max="10546" width="1.6640625" style="27" customWidth="1"/>
    <col min="10547" max="10547" width="0.33203125" style="27" customWidth="1"/>
    <col min="10548" max="10556" width="1.6640625" style="27" customWidth="1"/>
    <col min="10557" max="10557" width="0.33203125" style="27" customWidth="1"/>
    <col min="10558" max="10566" width="1.6640625" style="27" customWidth="1"/>
    <col min="10567" max="10567" width="0.33203125" style="27" customWidth="1"/>
    <col min="10568" max="10576" width="1.6640625" style="27" customWidth="1"/>
    <col min="10577" max="10752" width="9.109375" style="27"/>
    <col min="10753" max="10753" width="0.33203125" style="27" customWidth="1"/>
    <col min="10754" max="10762" width="1.6640625" style="27" customWidth="1"/>
    <col min="10763" max="10763" width="0.33203125" style="27" customWidth="1"/>
    <col min="10764" max="10772" width="1.6640625" style="27" customWidth="1"/>
    <col min="10773" max="10773" width="0.33203125" style="27" customWidth="1"/>
    <col min="10774" max="10782" width="1.6640625" style="27" customWidth="1"/>
    <col min="10783" max="10783" width="0.33203125" style="27" customWidth="1"/>
    <col min="10784" max="10792" width="1.6640625" style="27" customWidth="1"/>
    <col min="10793" max="10793" width="0.33203125" style="27" customWidth="1"/>
    <col min="10794" max="10802" width="1.6640625" style="27" customWidth="1"/>
    <col min="10803" max="10803" width="0.33203125" style="27" customWidth="1"/>
    <col min="10804" max="10812" width="1.6640625" style="27" customWidth="1"/>
    <col min="10813" max="10813" width="0.33203125" style="27" customWidth="1"/>
    <col min="10814" max="10822" width="1.6640625" style="27" customWidth="1"/>
    <col min="10823" max="10823" width="0.33203125" style="27" customWidth="1"/>
    <col min="10824" max="10832" width="1.6640625" style="27" customWidth="1"/>
    <col min="10833" max="11008" width="9.109375" style="27"/>
    <col min="11009" max="11009" width="0.33203125" style="27" customWidth="1"/>
    <col min="11010" max="11018" width="1.6640625" style="27" customWidth="1"/>
    <col min="11019" max="11019" width="0.33203125" style="27" customWidth="1"/>
    <col min="11020" max="11028" width="1.6640625" style="27" customWidth="1"/>
    <col min="11029" max="11029" width="0.33203125" style="27" customWidth="1"/>
    <col min="11030" max="11038" width="1.6640625" style="27" customWidth="1"/>
    <col min="11039" max="11039" width="0.33203125" style="27" customWidth="1"/>
    <col min="11040" max="11048" width="1.6640625" style="27" customWidth="1"/>
    <col min="11049" max="11049" width="0.33203125" style="27" customWidth="1"/>
    <col min="11050" max="11058" width="1.6640625" style="27" customWidth="1"/>
    <col min="11059" max="11059" width="0.33203125" style="27" customWidth="1"/>
    <col min="11060" max="11068" width="1.6640625" style="27" customWidth="1"/>
    <col min="11069" max="11069" width="0.33203125" style="27" customWidth="1"/>
    <col min="11070" max="11078" width="1.6640625" style="27" customWidth="1"/>
    <col min="11079" max="11079" width="0.33203125" style="27" customWidth="1"/>
    <col min="11080" max="11088" width="1.6640625" style="27" customWidth="1"/>
    <col min="11089" max="11264" width="9.109375" style="27"/>
    <col min="11265" max="11265" width="0.33203125" style="27" customWidth="1"/>
    <col min="11266" max="11274" width="1.6640625" style="27" customWidth="1"/>
    <col min="11275" max="11275" width="0.33203125" style="27" customWidth="1"/>
    <col min="11276" max="11284" width="1.6640625" style="27" customWidth="1"/>
    <col min="11285" max="11285" width="0.33203125" style="27" customWidth="1"/>
    <col min="11286" max="11294" width="1.6640625" style="27" customWidth="1"/>
    <col min="11295" max="11295" width="0.33203125" style="27" customWidth="1"/>
    <col min="11296" max="11304" width="1.6640625" style="27" customWidth="1"/>
    <col min="11305" max="11305" width="0.33203125" style="27" customWidth="1"/>
    <col min="11306" max="11314" width="1.6640625" style="27" customWidth="1"/>
    <col min="11315" max="11315" width="0.33203125" style="27" customWidth="1"/>
    <col min="11316" max="11324" width="1.6640625" style="27" customWidth="1"/>
    <col min="11325" max="11325" width="0.33203125" style="27" customWidth="1"/>
    <col min="11326" max="11334" width="1.6640625" style="27" customWidth="1"/>
    <col min="11335" max="11335" width="0.33203125" style="27" customWidth="1"/>
    <col min="11336" max="11344" width="1.6640625" style="27" customWidth="1"/>
    <col min="11345" max="11520" width="9.109375" style="27"/>
    <col min="11521" max="11521" width="0.33203125" style="27" customWidth="1"/>
    <col min="11522" max="11530" width="1.6640625" style="27" customWidth="1"/>
    <col min="11531" max="11531" width="0.33203125" style="27" customWidth="1"/>
    <col min="11532" max="11540" width="1.6640625" style="27" customWidth="1"/>
    <col min="11541" max="11541" width="0.33203125" style="27" customWidth="1"/>
    <col min="11542" max="11550" width="1.6640625" style="27" customWidth="1"/>
    <col min="11551" max="11551" width="0.33203125" style="27" customWidth="1"/>
    <col min="11552" max="11560" width="1.6640625" style="27" customWidth="1"/>
    <col min="11561" max="11561" width="0.33203125" style="27" customWidth="1"/>
    <col min="11562" max="11570" width="1.6640625" style="27" customWidth="1"/>
    <col min="11571" max="11571" width="0.33203125" style="27" customWidth="1"/>
    <col min="11572" max="11580" width="1.6640625" style="27" customWidth="1"/>
    <col min="11581" max="11581" width="0.33203125" style="27" customWidth="1"/>
    <col min="11582" max="11590" width="1.6640625" style="27" customWidth="1"/>
    <col min="11591" max="11591" width="0.33203125" style="27" customWidth="1"/>
    <col min="11592" max="11600" width="1.6640625" style="27" customWidth="1"/>
    <col min="11601" max="11776" width="9.109375" style="27"/>
    <col min="11777" max="11777" width="0.33203125" style="27" customWidth="1"/>
    <col min="11778" max="11786" width="1.6640625" style="27" customWidth="1"/>
    <col min="11787" max="11787" width="0.33203125" style="27" customWidth="1"/>
    <col min="11788" max="11796" width="1.6640625" style="27" customWidth="1"/>
    <col min="11797" max="11797" width="0.33203125" style="27" customWidth="1"/>
    <col min="11798" max="11806" width="1.6640625" style="27" customWidth="1"/>
    <col min="11807" max="11807" width="0.33203125" style="27" customWidth="1"/>
    <col min="11808" max="11816" width="1.6640625" style="27" customWidth="1"/>
    <col min="11817" max="11817" width="0.33203125" style="27" customWidth="1"/>
    <col min="11818" max="11826" width="1.6640625" style="27" customWidth="1"/>
    <col min="11827" max="11827" width="0.33203125" style="27" customWidth="1"/>
    <col min="11828" max="11836" width="1.6640625" style="27" customWidth="1"/>
    <col min="11837" max="11837" width="0.33203125" style="27" customWidth="1"/>
    <col min="11838" max="11846" width="1.6640625" style="27" customWidth="1"/>
    <col min="11847" max="11847" width="0.33203125" style="27" customWidth="1"/>
    <col min="11848" max="11856" width="1.6640625" style="27" customWidth="1"/>
    <col min="11857" max="12032" width="9.109375" style="27"/>
    <col min="12033" max="12033" width="0.33203125" style="27" customWidth="1"/>
    <col min="12034" max="12042" width="1.6640625" style="27" customWidth="1"/>
    <col min="12043" max="12043" width="0.33203125" style="27" customWidth="1"/>
    <col min="12044" max="12052" width="1.6640625" style="27" customWidth="1"/>
    <col min="12053" max="12053" width="0.33203125" style="27" customWidth="1"/>
    <col min="12054" max="12062" width="1.6640625" style="27" customWidth="1"/>
    <col min="12063" max="12063" width="0.33203125" style="27" customWidth="1"/>
    <col min="12064" max="12072" width="1.6640625" style="27" customWidth="1"/>
    <col min="12073" max="12073" width="0.33203125" style="27" customWidth="1"/>
    <col min="12074" max="12082" width="1.6640625" style="27" customWidth="1"/>
    <col min="12083" max="12083" width="0.33203125" style="27" customWidth="1"/>
    <col min="12084" max="12092" width="1.6640625" style="27" customWidth="1"/>
    <col min="12093" max="12093" width="0.33203125" style="27" customWidth="1"/>
    <col min="12094" max="12102" width="1.6640625" style="27" customWidth="1"/>
    <col min="12103" max="12103" width="0.33203125" style="27" customWidth="1"/>
    <col min="12104" max="12112" width="1.6640625" style="27" customWidth="1"/>
    <col min="12113" max="12288" width="9.109375" style="27"/>
    <col min="12289" max="12289" width="0.33203125" style="27" customWidth="1"/>
    <col min="12290" max="12298" width="1.6640625" style="27" customWidth="1"/>
    <col min="12299" max="12299" width="0.33203125" style="27" customWidth="1"/>
    <col min="12300" max="12308" width="1.6640625" style="27" customWidth="1"/>
    <col min="12309" max="12309" width="0.33203125" style="27" customWidth="1"/>
    <col min="12310" max="12318" width="1.6640625" style="27" customWidth="1"/>
    <col min="12319" max="12319" width="0.33203125" style="27" customWidth="1"/>
    <col min="12320" max="12328" width="1.6640625" style="27" customWidth="1"/>
    <col min="12329" max="12329" width="0.33203125" style="27" customWidth="1"/>
    <col min="12330" max="12338" width="1.6640625" style="27" customWidth="1"/>
    <col min="12339" max="12339" width="0.33203125" style="27" customWidth="1"/>
    <col min="12340" max="12348" width="1.6640625" style="27" customWidth="1"/>
    <col min="12349" max="12349" width="0.33203125" style="27" customWidth="1"/>
    <col min="12350" max="12358" width="1.6640625" style="27" customWidth="1"/>
    <col min="12359" max="12359" width="0.33203125" style="27" customWidth="1"/>
    <col min="12360" max="12368" width="1.6640625" style="27" customWidth="1"/>
    <col min="12369" max="12544" width="9.109375" style="27"/>
    <col min="12545" max="12545" width="0.33203125" style="27" customWidth="1"/>
    <col min="12546" max="12554" width="1.6640625" style="27" customWidth="1"/>
    <col min="12555" max="12555" width="0.33203125" style="27" customWidth="1"/>
    <col min="12556" max="12564" width="1.6640625" style="27" customWidth="1"/>
    <col min="12565" max="12565" width="0.33203125" style="27" customWidth="1"/>
    <col min="12566" max="12574" width="1.6640625" style="27" customWidth="1"/>
    <col min="12575" max="12575" width="0.33203125" style="27" customWidth="1"/>
    <col min="12576" max="12584" width="1.6640625" style="27" customWidth="1"/>
    <col min="12585" max="12585" width="0.33203125" style="27" customWidth="1"/>
    <col min="12586" max="12594" width="1.6640625" style="27" customWidth="1"/>
    <col min="12595" max="12595" width="0.33203125" style="27" customWidth="1"/>
    <col min="12596" max="12604" width="1.6640625" style="27" customWidth="1"/>
    <col min="12605" max="12605" width="0.33203125" style="27" customWidth="1"/>
    <col min="12606" max="12614" width="1.6640625" style="27" customWidth="1"/>
    <col min="12615" max="12615" width="0.33203125" style="27" customWidth="1"/>
    <col min="12616" max="12624" width="1.6640625" style="27" customWidth="1"/>
    <col min="12625" max="12800" width="9.109375" style="27"/>
    <col min="12801" max="12801" width="0.33203125" style="27" customWidth="1"/>
    <col min="12802" max="12810" width="1.6640625" style="27" customWidth="1"/>
    <col min="12811" max="12811" width="0.33203125" style="27" customWidth="1"/>
    <col min="12812" max="12820" width="1.6640625" style="27" customWidth="1"/>
    <col min="12821" max="12821" width="0.33203125" style="27" customWidth="1"/>
    <col min="12822" max="12830" width="1.6640625" style="27" customWidth="1"/>
    <col min="12831" max="12831" width="0.33203125" style="27" customWidth="1"/>
    <col min="12832" max="12840" width="1.6640625" style="27" customWidth="1"/>
    <col min="12841" max="12841" width="0.33203125" style="27" customWidth="1"/>
    <col min="12842" max="12850" width="1.6640625" style="27" customWidth="1"/>
    <col min="12851" max="12851" width="0.33203125" style="27" customWidth="1"/>
    <col min="12852" max="12860" width="1.6640625" style="27" customWidth="1"/>
    <col min="12861" max="12861" width="0.33203125" style="27" customWidth="1"/>
    <col min="12862" max="12870" width="1.6640625" style="27" customWidth="1"/>
    <col min="12871" max="12871" width="0.33203125" style="27" customWidth="1"/>
    <col min="12872" max="12880" width="1.6640625" style="27" customWidth="1"/>
    <col min="12881" max="13056" width="9.109375" style="27"/>
    <col min="13057" max="13057" width="0.33203125" style="27" customWidth="1"/>
    <col min="13058" max="13066" width="1.6640625" style="27" customWidth="1"/>
    <col min="13067" max="13067" width="0.33203125" style="27" customWidth="1"/>
    <col min="13068" max="13076" width="1.6640625" style="27" customWidth="1"/>
    <col min="13077" max="13077" width="0.33203125" style="27" customWidth="1"/>
    <col min="13078" max="13086" width="1.6640625" style="27" customWidth="1"/>
    <col min="13087" max="13087" width="0.33203125" style="27" customWidth="1"/>
    <col min="13088" max="13096" width="1.6640625" style="27" customWidth="1"/>
    <col min="13097" max="13097" width="0.33203125" style="27" customWidth="1"/>
    <col min="13098" max="13106" width="1.6640625" style="27" customWidth="1"/>
    <col min="13107" max="13107" width="0.33203125" style="27" customWidth="1"/>
    <col min="13108" max="13116" width="1.6640625" style="27" customWidth="1"/>
    <col min="13117" max="13117" width="0.33203125" style="27" customWidth="1"/>
    <col min="13118" max="13126" width="1.6640625" style="27" customWidth="1"/>
    <col min="13127" max="13127" width="0.33203125" style="27" customWidth="1"/>
    <col min="13128" max="13136" width="1.6640625" style="27" customWidth="1"/>
    <col min="13137" max="13312" width="9.109375" style="27"/>
    <col min="13313" max="13313" width="0.33203125" style="27" customWidth="1"/>
    <col min="13314" max="13322" width="1.6640625" style="27" customWidth="1"/>
    <col min="13323" max="13323" width="0.33203125" style="27" customWidth="1"/>
    <col min="13324" max="13332" width="1.6640625" style="27" customWidth="1"/>
    <col min="13333" max="13333" width="0.33203125" style="27" customWidth="1"/>
    <col min="13334" max="13342" width="1.6640625" style="27" customWidth="1"/>
    <col min="13343" max="13343" width="0.33203125" style="27" customWidth="1"/>
    <col min="13344" max="13352" width="1.6640625" style="27" customWidth="1"/>
    <col min="13353" max="13353" width="0.33203125" style="27" customWidth="1"/>
    <col min="13354" max="13362" width="1.6640625" style="27" customWidth="1"/>
    <col min="13363" max="13363" width="0.33203125" style="27" customWidth="1"/>
    <col min="13364" max="13372" width="1.6640625" style="27" customWidth="1"/>
    <col min="13373" max="13373" width="0.33203125" style="27" customWidth="1"/>
    <col min="13374" max="13382" width="1.6640625" style="27" customWidth="1"/>
    <col min="13383" max="13383" width="0.33203125" style="27" customWidth="1"/>
    <col min="13384" max="13392" width="1.6640625" style="27" customWidth="1"/>
    <col min="13393" max="13568" width="9.109375" style="27"/>
    <col min="13569" max="13569" width="0.33203125" style="27" customWidth="1"/>
    <col min="13570" max="13578" width="1.6640625" style="27" customWidth="1"/>
    <col min="13579" max="13579" width="0.33203125" style="27" customWidth="1"/>
    <col min="13580" max="13588" width="1.6640625" style="27" customWidth="1"/>
    <col min="13589" max="13589" width="0.33203125" style="27" customWidth="1"/>
    <col min="13590" max="13598" width="1.6640625" style="27" customWidth="1"/>
    <col min="13599" max="13599" width="0.33203125" style="27" customWidth="1"/>
    <col min="13600" max="13608" width="1.6640625" style="27" customWidth="1"/>
    <col min="13609" max="13609" width="0.33203125" style="27" customWidth="1"/>
    <col min="13610" max="13618" width="1.6640625" style="27" customWidth="1"/>
    <col min="13619" max="13619" width="0.33203125" style="27" customWidth="1"/>
    <col min="13620" max="13628" width="1.6640625" style="27" customWidth="1"/>
    <col min="13629" max="13629" width="0.33203125" style="27" customWidth="1"/>
    <col min="13630" max="13638" width="1.6640625" style="27" customWidth="1"/>
    <col min="13639" max="13639" width="0.33203125" style="27" customWidth="1"/>
    <col min="13640" max="13648" width="1.6640625" style="27" customWidth="1"/>
    <col min="13649" max="13824" width="9.109375" style="27"/>
    <col min="13825" max="13825" width="0.33203125" style="27" customWidth="1"/>
    <col min="13826" max="13834" width="1.6640625" style="27" customWidth="1"/>
    <col min="13835" max="13835" width="0.33203125" style="27" customWidth="1"/>
    <col min="13836" max="13844" width="1.6640625" style="27" customWidth="1"/>
    <col min="13845" max="13845" width="0.33203125" style="27" customWidth="1"/>
    <col min="13846" max="13854" width="1.6640625" style="27" customWidth="1"/>
    <col min="13855" max="13855" width="0.33203125" style="27" customWidth="1"/>
    <col min="13856" max="13864" width="1.6640625" style="27" customWidth="1"/>
    <col min="13865" max="13865" width="0.33203125" style="27" customWidth="1"/>
    <col min="13866" max="13874" width="1.6640625" style="27" customWidth="1"/>
    <col min="13875" max="13875" width="0.33203125" style="27" customWidth="1"/>
    <col min="13876" max="13884" width="1.6640625" style="27" customWidth="1"/>
    <col min="13885" max="13885" width="0.33203125" style="27" customWidth="1"/>
    <col min="13886" max="13894" width="1.6640625" style="27" customWidth="1"/>
    <col min="13895" max="13895" width="0.33203125" style="27" customWidth="1"/>
    <col min="13896" max="13904" width="1.6640625" style="27" customWidth="1"/>
    <col min="13905" max="14080" width="9.109375" style="27"/>
    <col min="14081" max="14081" width="0.33203125" style="27" customWidth="1"/>
    <col min="14082" max="14090" width="1.6640625" style="27" customWidth="1"/>
    <col min="14091" max="14091" width="0.33203125" style="27" customWidth="1"/>
    <col min="14092" max="14100" width="1.6640625" style="27" customWidth="1"/>
    <col min="14101" max="14101" width="0.33203125" style="27" customWidth="1"/>
    <col min="14102" max="14110" width="1.6640625" style="27" customWidth="1"/>
    <col min="14111" max="14111" width="0.33203125" style="27" customWidth="1"/>
    <col min="14112" max="14120" width="1.6640625" style="27" customWidth="1"/>
    <col min="14121" max="14121" width="0.33203125" style="27" customWidth="1"/>
    <col min="14122" max="14130" width="1.6640625" style="27" customWidth="1"/>
    <col min="14131" max="14131" width="0.33203125" style="27" customWidth="1"/>
    <col min="14132" max="14140" width="1.6640625" style="27" customWidth="1"/>
    <col min="14141" max="14141" width="0.33203125" style="27" customWidth="1"/>
    <col min="14142" max="14150" width="1.6640625" style="27" customWidth="1"/>
    <col min="14151" max="14151" width="0.33203125" style="27" customWidth="1"/>
    <col min="14152" max="14160" width="1.6640625" style="27" customWidth="1"/>
    <col min="14161" max="14336" width="9.109375" style="27"/>
    <col min="14337" max="14337" width="0.33203125" style="27" customWidth="1"/>
    <col min="14338" max="14346" width="1.6640625" style="27" customWidth="1"/>
    <col min="14347" max="14347" width="0.33203125" style="27" customWidth="1"/>
    <col min="14348" max="14356" width="1.6640625" style="27" customWidth="1"/>
    <col min="14357" max="14357" width="0.33203125" style="27" customWidth="1"/>
    <col min="14358" max="14366" width="1.6640625" style="27" customWidth="1"/>
    <col min="14367" max="14367" width="0.33203125" style="27" customWidth="1"/>
    <col min="14368" max="14376" width="1.6640625" style="27" customWidth="1"/>
    <col min="14377" max="14377" width="0.33203125" style="27" customWidth="1"/>
    <col min="14378" max="14386" width="1.6640625" style="27" customWidth="1"/>
    <col min="14387" max="14387" width="0.33203125" style="27" customWidth="1"/>
    <col min="14388" max="14396" width="1.6640625" style="27" customWidth="1"/>
    <col min="14397" max="14397" width="0.33203125" style="27" customWidth="1"/>
    <col min="14398" max="14406" width="1.6640625" style="27" customWidth="1"/>
    <col min="14407" max="14407" width="0.33203125" style="27" customWidth="1"/>
    <col min="14408" max="14416" width="1.6640625" style="27" customWidth="1"/>
    <col min="14417" max="14592" width="9.109375" style="27"/>
    <col min="14593" max="14593" width="0.33203125" style="27" customWidth="1"/>
    <col min="14594" max="14602" width="1.6640625" style="27" customWidth="1"/>
    <col min="14603" max="14603" width="0.33203125" style="27" customWidth="1"/>
    <col min="14604" max="14612" width="1.6640625" style="27" customWidth="1"/>
    <col min="14613" max="14613" width="0.33203125" style="27" customWidth="1"/>
    <col min="14614" max="14622" width="1.6640625" style="27" customWidth="1"/>
    <col min="14623" max="14623" width="0.33203125" style="27" customWidth="1"/>
    <col min="14624" max="14632" width="1.6640625" style="27" customWidth="1"/>
    <col min="14633" max="14633" width="0.33203125" style="27" customWidth="1"/>
    <col min="14634" max="14642" width="1.6640625" style="27" customWidth="1"/>
    <col min="14643" max="14643" width="0.33203125" style="27" customWidth="1"/>
    <col min="14644" max="14652" width="1.6640625" style="27" customWidth="1"/>
    <col min="14653" max="14653" width="0.33203125" style="27" customWidth="1"/>
    <col min="14654" max="14662" width="1.6640625" style="27" customWidth="1"/>
    <col min="14663" max="14663" width="0.33203125" style="27" customWidth="1"/>
    <col min="14664" max="14672" width="1.6640625" style="27" customWidth="1"/>
    <col min="14673" max="14848" width="9.109375" style="27"/>
    <col min="14849" max="14849" width="0.33203125" style="27" customWidth="1"/>
    <col min="14850" max="14858" width="1.6640625" style="27" customWidth="1"/>
    <col min="14859" max="14859" width="0.33203125" style="27" customWidth="1"/>
    <col min="14860" max="14868" width="1.6640625" style="27" customWidth="1"/>
    <col min="14869" max="14869" width="0.33203125" style="27" customWidth="1"/>
    <col min="14870" max="14878" width="1.6640625" style="27" customWidth="1"/>
    <col min="14879" max="14879" width="0.33203125" style="27" customWidth="1"/>
    <col min="14880" max="14888" width="1.6640625" style="27" customWidth="1"/>
    <col min="14889" max="14889" width="0.33203125" style="27" customWidth="1"/>
    <col min="14890" max="14898" width="1.6640625" style="27" customWidth="1"/>
    <col min="14899" max="14899" width="0.33203125" style="27" customWidth="1"/>
    <col min="14900" max="14908" width="1.6640625" style="27" customWidth="1"/>
    <col min="14909" max="14909" width="0.33203125" style="27" customWidth="1"/>
    <col min="14910" max="14918" width="1.6640625" style="27" customWidth="1"/>
    <col min="14919" max="14919" width="0.33203125" style="27" customWidth="1"/>
    <col min="14920" max="14928" width="1.6640625" style="27" customWidth="1"/>
    <col min="14929" max="15104" width="9.109375" style="27"/>
    <col min="15105" max="15105" width="0.33203125" style="27" customWidth="1"/>
    <col min="15106" max="15114" width="1.6640625" style="27" customWidth="1"/>
    <col min="15115" max="15115" width="0.33203125" style="27" customWidth="1"/>
    <col min="15116" max="15124" width="1.6640625" style="27" customWidth="1"/>
    <col min="15125" max="15125" width="0.33203125" style="27" customWidth="1"/>
    <col min="15126" max="15134" width="1.6640625" style="27" customWidth="1"/>
    <col min="15135" max="15135" width="0.33203125" style="27" customWidth="1"/>
    <col min="15136" max="15144" width="1.6640625" style="27" customWidth="1"/>
    <col min="15145" max="15145" width="0.33203125" style="27" customWidth="1"/>
    <col min="15146" max="15154" width="1.6640625" style="27" customWidth="1"/>
    <col min="15155" max="15155" width="0.33203125" style="27" customWidth="1"/>
    <col min="15156" max="15164" width="1.6640625" style="27" customWidth="1"/>
    <col min="15165" max="15165" width="0.33203125" style="27" customWidth="1"/>
    <col min="15166" max="15174" width="1.6640625" style="27" customWidth="1"/>
    <col min="15175" max="15175" width="0.33203125" style="27" customWidth="1"/>
    <col min="15176" max="15184" width="1.6640625" style="27" customWidth="1"/>
    <col min="15185" max="15360" width="9.109375" style="27"/>
    <col min="15361" max="15361" width="0.33203125" style="27" customWidth="1"/>
    <col min="15362" max="15370" width="1.6640625" style="27" customWidth="1"/>
    <col min="15371" max="15371" width="0.33203125" style="27" customWidth="1"/>
    <col min="15372" max="15380" width="1.6640625" style="27" customWidth="1"/>
    <col min="15381" max="15381" width="0.33203125" style="27" customWidth="1"/>
    <col min="15382" max="15390" width="1.6640625" style="27" customWidth="1"/>
    <col min="15391" max="15391" width="0.33203125" style="27" customWidth="1"/>
    <col min="15392" max="15400" width="1.6640625" style="27" customWidth="1"/>
    <col min="15401" max="15401" width="0.33203125" style="27" customWidth="1"/>
    <col min="15402" max="15410" width="1.6640625" style="27" customWidth="1"/>
    <col min="15411" max="15411" width="0.33203125" style="27" customWidth="1"/>
    <col min="15412" max="15420" width="1.6640625" style="27" customWidth="1"/>
    <col min="15421" max="15421" width="0.33203125" style="27" customWidth="1"/>
    <col min="15422" max="15430" width="1.6640625" style="27" customWidth="1"/>
    <col min="15431" max="15431" width="0.33203125" style="27" customWidth="1"/>
    <col min="15432" max="15440" width="1.6640625" style="27" customWidth="1"/>
    <col min="15441" max="15616" width="9.109375" style="27"/>
    <col min="15617" max="15617" width="0.33203125" style="27" customWidth="1"/>
    <col min="15618" max="15626" width="1.6640625" style="27" customWidth="1"/>
    <col min="15627" max="15627" width="0.33203125" style="27" customWidth="1"/>
    <col min="15628" max="15636" width="1.6640625" style="27" customWidth="1"/>
    <col min="15637" max="15637" width="0.33203125" style="27" customWidth="1"/>
    <col min="15638" max="15646" width="1.6640625" style="27" customWidth="1"/>
    <col min="15647" max="15647" width="0.33203125" style="27" customWidth="1"/>
    <col min="15648" max="15656" width="1.6640625" style="27" customWidth="1"/>
    <col min="15657" max="15657" width="0.33203125" style="27" customWidth="1"/>
    <col min="15658" max="15666" width="1.6640625" style="27" customWidth="1"/>
    <col min="15667" max="15667" width="0.33203125" style="27" customWidth="1"/>
    <col min="15668" max="15676" width="1.6640625" style="27" customWidth="1"/>
    <col min="15677" max="15677" width="0.33203125" style="27" customWidth="1"/>
    <col min="15678" max="15686" width="1.6640625" style="27" customWidth="1"/>
    <col min="15687" max="15687" width="0.33203125" style="27" customWidth="1"/>
    <col min="15688" max="15696" width="1.6640625" style="27" customWidth="1"/>
    <col min="15697" max="15872" width="9.109375" style="27"/>
    <col min="15873" max="15873" width="0.33203125" style="27" customWidth="1"/>
    <col min="15874" max="15882" width="1.6640625" style="27" customWidth="1"/>
    <col min="15883" max="15883" width="0.33203125" style="27" customWidth="1"/>
    <col min="15884" max="15892" width="1.6640625" style="27" customWidth="1"/>
    <col min="15893" max="15893" width="0.33203125" style="27" customWidth="1"/>
    <col min="15894" max="15902" width="1.6640625" style="27" customWidth="1"/>
    <col min="15903" max="15903" width="0.33203125" style="27" customWidth="1"/>
    <col min="15904" max="15912" width="1.6640625" style="27" customWidth="1"/>
    <col min="15913" max="15913" width="0.33203125" style="27" customWidth="1"/>
    <col min="15914" max="15922" width="1.6640625" style="27" customWidth="1"/>
    <col min="15923" max="15923" width="0.33203125" style="27" customWidth="1"/>
    <col min="15924" max="15932" width="1.6640625" style="27" customWidth="1"/>
    <col min="15933" max="15933" width="0.33203125" style="27" customWidth="1"/>
    <col min="15934" max="15942" width="1.6640625" style="27" customWidth="1"/>
    <col min="15943" max="15943" width="0.33203125" style="27" customWidth="1"/>
    <col min="15944" max="15952" width="1.6640625" style="27" customWidth="1"/>
    <col min="15953" max="16128" width="9.109375" style="27"/>
    <col min="16129" max="16129" width="0.33203125" style="27" customWidth="1"/>
    <col min="16130" max="16138" width="1.6640625" style="27" customWidth="1"/>
    <col min="16139" max="16139" width="0.33203125" style="27" customWidth="1"/>
    <col min="16140" max="16148" width="1.6640625" style="27" customWidth="1"/>
    <col min="16149" max="16149" width="0.33203125" style="27" customWidth="1"/>
    <col min="16150" max="16158" width="1.6640625" style="27" customWidth="1"/>
    <col min="16159" max="16159" width="0.33203125" style="27" customWidth="1"/>
    <col min="16160" max="16168" width="1.6640625" style="27" customWidth="1"/>
    <col min="16169" max="16169" width="0.33203125" style="27" customWidth="1"/>
    <col min="16170" max="16178" width="1.6640625" style="27" customWidth="1"/>
    <col min="16179" max="16179" width="0.33203125" style="27" customWidth="1"/>
    <col min="16180" max="16188" width="1.6640625" style="27" customWidth="1"/>
    <col min="16189" max="16189" width="0.33203125" style="27" customWidth="1"/>
    <col min="16190" max="16198" width="1.6640625" style="27" customWidth="1"/>
    <col min="16199" max="16199" width="0.33203125" style="27" customWidth="1"/>
    <col min="16200" max="16208" width="1.6640625" style="27" customWidth="1"/>
    <col min="16209" max="16384" width="9.109375" style="27"/>
  </cols>
  <sheetData>
    <row r="1" spans="1:71" ht="121.95" customHeight="1" x14ac:dyDescent="0.3">
      <c r="A1" s="169"/>
      <c r="B1" s="490" t="s">
        <v>839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  <c r="AV1" s="491"/>
      <c r="AW1" s="491"/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H1" s="491"/>
      <c r="BI1" s="491"/>
      <c r="BJ1" s="491"/>
      <c r="BK1" s="491"/>
      <c r="BL1" s="491"/>
      <c r="BM1" s="491"/>
      <c r="BN1" s="491"/>
      <c r="BO1" s="491"/>
      <c r="BP1" s="491"/>
      <c r="BQ1" s="491"/>
      <c r="BR1" s="492"/>
      <c r="BS1" s="26"/>
    </row>
    <row r="2" spans="1:71" ht="3" customHeight="1" x14ac:dyDescent="0.3">
      <c r="A2" s="16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26"/>
    </row>
    <row r="3" spans="1:71" ht="18" customHeight="1" x14ac:dyDescent="0.3">
      <c r="B3" s="421">
        <v>1.4</v>
      </c>
      <c r="C3" s="422"/>
      <c r="D3" s="422"/>
      <c r="E3" s="422"/>
      <c r="F3" s="422"/>
      <c r="G3" s="422"/>
      <c r="H3" s="422"/>
      <c r="I3" s="422"/>
      <c r="J3" s="422"/>
      <c r="K3" s="170"/>
      <c r="L3" s="419" t="s">
        <v>786</v>
      </c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L3" s="419"/>
      <c r="BM3" s="419"/>
      <c r="BN3" s="419"/>
      <c r="BO3" s="419"/>
      <c r="BP3" s="419"/>
      <c r="BQ3" s="419"/>
      <c r="BR3" s="420"/>
      <c r="BS3" s="26"/>
    </row>
    <row r="4" spans="1:71" ht="1.5" customHeight="1" x14ac:dyDescent="0.3">
      <c r="B4" s="172"/>
      <c r="AP4" s="173"/>
      <c r="AQ4" s="173"/>
      <c r="AR4" s="173"/>
      <c r="AS4" s="173"/>
      <c r="AT4" s="173"/>
      <c r="AU4" s="173"/>
      <c r="AV4" s="173"/>
      <c r="AW4" s="173"/>
      <c r="AX4" s="173"/>
      <c r="BR4" s="174"/>
      <c r="BS4" s="26"/>
    </row>
    <row r="5" spans="1:71" ht="9" customHeight="1" x14ac:dyDescent="0.3">
      <c r="B5" s="429" t="s">
        <v>428</v>
      </c>
      <c r="C5" s="430"/>
      <c r="D5" s="431"/>
      <c r="E5" s="444" t="s">
        <v>435</v>
      </c>
      <c r="F5" s="445"/>
      <c r="G5" s="445"/>
      <c r="H5" s="445"/>
      <c r="I5" s="445"/>
      <c r="J5" s="446"/>
      <c r="K5" s="175"/>
      <c r="L5" s="429" t="s">
        <v>429</v>
      </c>
      <c r="M5" s="430"/>
      <c r="N5" s="431"/>
      <c r="O5" s="444" t="s">
        <v>435</v>
      </c>
      <c r="P5" s="445"/>
      <c r="Q5" s="445"/>
      <c r="R5" s="445"/>
      <c r="S5" s="445"/>
      <c r="T5" s="446"/>
      <c r="U5" s="175"/>
      <c r="V5" s="429" t="s">
        <v>430</v>
      </c>
      <c r="W5" s="430"/>
      <c r="X5" s="431"/>
      <c r="Y5" s="444" t="s">
        <v>435</v>
      </c>
      <c r="Z5" s="445"/>
      <c r="AA5" s="445"/>
      <c r="AB5" s="445"/>
      <c r="AC5" s="445"/>
      <c r="AD5" s="446"/>
      <c r="AE5" s="176"/>
      <c r="AF5" s="429" t="s">
        <v>431</v>
      </c>
      <c r="AG5" s="430"/>
      <c r="AH5" s="431"/>
      <c r="AI5" s="444" t="s">
        <v>435</v>
      </c>
      <c r="AJ5" s="445"/>
      <c r="AK5" s="445"/>
      <c r="AL5" s="445"/>
      <c r="AM5" s="445"/>
      <c r="AN5" s="446"/>
      <c r="AO5" s="177"/>
      <c r="AP5" s="429" t="s">
        <v>432</v>
      </c>
      <c r="AQ5" s="430"/>
      <c r="AR5" s="431"/>
      <c r="AS5" s="444" t="s">
        <v>435</v>
      </c>
      <c r="AT5" s="445"/>
      <c r="AU5" s="445"/>
      <c r="AV5" s="445"/>
      <c r="AW5" s="445"/>
      <c r="AX5" s="446"/>
      <c r="AY5" s="175"/>
      <c r="AZ5" s="429" t="s">
        <v>433</v>
      </c>
      <c r="BA5" s="430"/>
      <c r="BB5" s="431"/>
      <c r="BC5" s="444" t="s">
        <v>435</v>
      </c>
      <c r="BD5" s="445"/>
      <c r="BE5" s="445"/>
      <c r="BF5" s="445"/>
      <c r="BG5" s="445"/>
      <c r="BH5" s="446"/>
      <c r="BI5" s="175"/>
      <c r="BJ5" s="429" t="s">
        <v>434</v>
      </c>
      <c r="BK5" s="430"/>
      <c r="BL5" s="431"/>
      <c r="BM5" s="444" t="s">
        <v>435</v>
      </c>
      <c r="BN5" s="445"/>
      <c r="BO5" s="445"/>
      <c r="BP5" s="445"/>
      <c r="BQ5" s="445"/>
      <c r="BR5" s="446"/>
    </row>
    <row r="6" spans="1:71" s="34" customFormat="1" ht="9" customHeight="1" x14ac:dyDescent="0.3">
      <c r="A6" s="178"/>
      <c r="B6" s="232"/>
      <c r="C6" s="223"/>
      <c r="D6" s="223"/>
      <c r="E6" s="223"/>
      <c r="F6" s="223"/>
      <c r="G6" s="223"/>
      <c r="H6" s="223"/>
      <c r="I6" s="223"/>
      <c r="J6" s="224"/>
      <c r="K6" s="180"/>
      <c r="L6" s="232"/>
      <c r="M6" s="223"/>
      <c r="N6" s="223"/>
      <c r="O6" s="223"/>
      <c r="P6" s="223"/>
      <c r="Q6" s="223"/>
      <c r="R6" s="223"/>
      <c r="S6" s="223"/>
      <c r="T6" s="224"/>
      <c r="U6" s="181"/>
      <c r="V6" s="232"/>
      <c r="W6" s="223"/>
      <c r="X6" s="223"/>
      <c r="Y6" s="223"/>
      <c r="Z6" s="223"/>
      <c r="AA6" s="223"/>
      <c r="AB6" s="223"/>
      <c r="AC6" s="223"/>
      <c r="AD6" s="224"/>
      <c r="AE6" s="180"/>
      <c r="AF6" s="232"/>
      <c r="AG6" s="223"/>
      <c r="AH6" s="223"/>
      <c r="AI6" s="223"/>
      <c r="AJ6" s="223"/>
      <c r="AK6" s="223"/>
      <c r="AL6" s="223"/>
      <c r="AM6" s="223"/>
      <c r="AN6" s="224"/>
      <c r="AO6" s="181"/>
      <c r="AP6" s="232"/>
      <c r="AQ6" s="223"/>
      <c r="AR6" s="223"/>
      <c r="AS6" s="223"/>
      <c r="AT6" s="223"/>
      <c r="AU6" s="223"/>
      <c r="AV6" s="223"/>
      <c r="AW6" s="223"/>
      <c r="AX6" s="224"/>
      <c r="AY6" s="181"/>
      <c r="AZ6" s="232"/>
      <c r="BA6" s="223"/>
      <c r="BB6" s="223"/>
      <c r="BC6" s="223"/>
      <c r="BD6" s="223"/>
      <c r="BE6" s="223"/>
      <c r="BF6" s="223"/>
      <c r="BG6" s="223"/>
      <c r="BH6" s="224"/>
      <c r="BI6" s="181"/>
      <c r="BJ6" s="232"/>
      <c r="BK6" s="223"/>
      <c r="BL6" s="223"/>
      <c r="BM6" s="223"/>
      <c r="BN6" s="223"/>
      <c r="BO6" s="223"/>
      <c r="BP6" s="223"/>
      <c r="BQ6" s="223"/>
      <c r="BR6" s="224"/>
    </row>
    <row r="7" spans="1:71" ht="9" customHeight="1" x14ac:dyDescent="0.3">
      <c r="A7" s="169"/>
      <c r="B7" s="175"/>
      <c r="C7" s="175"/>
      <c r="D7" s="175"/>
      <c r="E7" s="175"/>
      <c r="F7" s="175"/>
      <c r="G7" s="175"/>
      <c r="H7" s="175"/>
      <c r="I7" s="175"/>
      <c r="J7" s="177"/>
      <c r="K7" s="182"/>
      <c r="L7" s="175"/>
      <c r="M7" s="175"/>
      <c r="N7" s="175"/>
      <c r="O7" s="175"/>
      <c r="P7" s="175"/>
      <c r="Q7" s="175"/>
      <c r="R7" s="175"/>
      <c r="S7" s="175"/>
      <c r="T7" s="177"/>
      <c r="U7" s="177"/>
      <c r="V7" s="175"/>
      <c r="W7" s="175"/>
      <c r="X7" s="175"/>
      <c r="Y7" s="175"/>
      <c r="Z7" s="175"/>
      <c r="AA7" s="175"/>
      <c r="AB7" s="175"/>
      <c r="AC7" s="175"/>
      <c r="AD7" s="177"/>
      <c r="AE7" s="182"/>
      <c r="AF7" s="175"/>
      <c r="AG7" s="175"/>
      <c r="AH7" s="175"/>
      <c r="AI7" s="175"/>
      <c r="AJ7" s="175"/>
      <c r="AK7" s="175"/>
      <c r="AL7" s="175"/>
      <c r="AM7" s="175"/>
      <c r="AN7" s="177"/>
      <c r="AO7" s="177"/>
      <c r="AP7" s="175"/>
      <c r="AQ7" s="175"/>
      <c r="AR7" s="175"/>
      <c r="AS7" s="175"/>
      <c r="AT7" s="175"/>
      <c r="AU7" s="175"/>
      <c r="AV7" s="175"/>
      <c r="AW7" s="175"/>
      <c r="AX7" s="177"/>
      <c r="AY7" s="177"/>
      <c r="AZ7" s="175"/>
      <c r="BA7" s="175"/>
      <c r="BB7" s="175"/>
      <c r="BC7" s="175"/>
      <c r="BD7" s="175"/>
      <c r="BE7" s="175"/>
      <c r="BF7" s="175"/>
      <c r="BG7" s="175"/>
      <c r="BH7" s="177"/>
      <c r="BI7" s="177"/>
      <c r="BJ7" s="175"/>
      <c r="BK7" s="175"/>
      <c r="BL7" s="175"/>
      <c r="BM7" s="175"/>
      <c r="BN7" s="175"/>
      <c r="BO7" s="175"/>
      <c r="BP7" s="175"/>
      <c r="BQ7" s="175"/>
      <c r="BR7" s="177"/>
    </row>
    <row r="8" spans="1:71" ht="9" customHeight="1" x14ac:dyDescent="0.3">
      <c r="A8" s="169"/>
      <c r="B8" s="175"/>
      <c r="C8" s="175"/>
      <c r="D8" s="175"/>
      <c r="E8" s="175"/>
      <c r="F8" s="175"/>
      <c r="G8" s="175"/>
      <c r="H8" s="175"/>
      <c r="I8" s="175"/>
      <c r="J8" s="177"/>
      <c r="K8" s="182"/>
      <c r="L8" s="175"/>
      <c r="M8" s="175"/>
      <c r="N8" s="175"/>
      <c r="O8" s="175"/>
      <c r="P8" s="175"/>
      <c r="Q8" s="175"/>
      <c r="R8" s="175"/>
      <c r="S8" s="175"/>
      <c r="T8" s="177"/>
      <c r="U8" s="177"/>
      <c r="V8" s="175"/>
      <c r="W8" s="175"/>
      <c r="X8" s="175"/>
      <c r="Y8" s="175"/>
      <c r="Z8" s="175"/>
      <c r="AA8" s="175"/>
      <c r="AB8" s="175"/>
      <c r="AC8" s="175"/>
      <c r="AD8" s="177"/>
      <c r="AE8" s="182"/>
      <c r="AF8" s="175"/>
      <c r="AG8" s="175"/>
      <c r="AH8" s="175"/>
      <c r="AI8" s="175"/>
      <c r="AJ8" s="175"/>
      <c r="AK8" s="175"/>
      <c r="AL8" s="175"/>
      <c r="AM8" s="175"/>
      <c r="AN8" s="177"/>
      <c r="AO8" s="177"/>
      <c r="AP8" s="175"/>
      <c r="AQ8" s="175"/>
      <c r="AR8" s="175"/>
      <c r="AS8" s="175"/>
      <c r="AT8" s="175"/>
      <c r="AU8" s="175"/>
      <c r="AV8" s="175"/>
      <c r="AW8" s="175"/>
      <c r="AX8" s="177"/>
      <c r="AY8" s="177"/>
      <c r="AZ8" s="175"/>
      <c r="BA8" s="175"/>
      <c r="BB8" s="175"/>
      <c r="BC8" s="175"/>
      <c r="BD8" s="175"/>
      <c r="BE8" s="175"/>
      <c r="BF8" s="175"/>
      <c r="BG8" s="175"/>
      <c r="BH8" s="177"/>
      <c r="BI8" s="177"/>
      <c r="BJ8" s="175"/>
      <c r="BK8" s="175"/>
      <c r="BL8" s="175"/>
      <c r="BM8" s="175"/>
      <c r="BN8" s="175"/>
      <c r="BO8" s="175"/>
      <c r="BP8" s="175"/>
      <c r="BQ8" s="175"/>
      <c r="BR8" s="177"/>
    </row>
    <row r="9" spans="1:71" ht="9" customHeight="1" x14ac:dyDescent="0.3">
      <c r="A9" s="169"/>
      <c r="B9" s="175"/>
      <c r="C9" s="175"/>
      <c r="D9" s="175"/>
      <c r="E9" s="175"/>
      <c r="F9" s="175"/>
      <c r="G9" s="175"/>
      <c r="H9" s="175"/>
      <c r="I9" s="175"/>
      <c r="J9" s="177"/>
      <c r="K9" s="182"/>
      <c r="L9" s="175"/>
      <c r="M9" s="175"/>
      <c r="N9" s="175"/>
      <c r="O9" s="175"/>
      <c r="P9" s="175"/>
      <c r="Q9" s="175"/>
      <c r="R9" s="175"/>
      <c r="S9" s="175"/>
      <c r="T9" s="177"/>
      <c r="U9" s="177"/>
      <c r="V9" s="175"/>
      <c r="W9" s="175"/>
      <c r="X9" s="175"/>
      <c r="Y9" s="175"/>
      <c r="Z9" s="175"/>
      <c r="AA9" s="175"/>
      <c r="AB9" s="175"/>
      <c r="AC9" s="175"/>
      <c r="AD9" s="177"/>
      <c r="AE9" s="182"/>
      <c r="AF9" s="175"/>
      <c r="AG9" s="175"/>
      <c r="AH9" s="175"/>
      <c r="AI9" s="175"/>
      <c r="AJ9" s="175"/>
      <c r="AK9" s="175"/>
      <c r="AL9" s="175"/>
      <c r="AM9" s="175"/>
      <c r="AN9" s="177"/>
      <c r="AO9" s="177"/>
      <c r="AP9" s="175"/>
      <c r="AQ9" s="175"/>
      <c r="AR9" s="175"/>
      <c r="AS9" s="175"/>
      <c r="AT9" s="175"/>
      <c r="AU9" s="175"/>
      <c r="AV9" s="175"/>
      <c r="AW9" s="175"/>
      <c r="AX9" s="177"/>
      <c r="AY9" s="177"/>
      <c r="AZ9" s="175"/>
      <c r="BA9" s="175"/>
      <c r="BB9" s="175"/>
      <c r="BC9" s="175"/>
      <c r="BD9" s="175"/>
      <c r="BE9" s="175"/>
      <c r="BF9" s="175"/>
      <c r="BG9" s="175"/>
      <c r="BH9" s="177"/>
      <c r="BI9" s="177"/>
      <c r="BJ9" s="175"/>
      <c r="BK9" s="175"/>
      <c r="BL9" s="175"/>
      <c r="BM9" s="175"/>
      <c r="BN9" s="175"/>
      <c r="BO9" s="175"/>
      <c r="BP9" s="175"/>
      <c r="BQ9" s="175"/>
      <c r="BR9" s="177"/>
    </row>
    <row r="10" spans="1:71" ht="9" customHeight="1" x14ac:dyDescent="0.3">
      <c r="A10" s="169"/>
      <c r="B10" s="175"/>
      <c r="C10" s="175"/>
      <c r="D10" s="175"/>
      <c r="E10" s="175"/>
      <c r="F10" s="175"/>
      <c r="G10" s="175"/>
      <c r="H10" s="175"/>
      <c r="I10" s="175"/>
      <c r="J10" s="177"/>
      <c r="K10" s="182"/>
      <c r="L10" s="175"/>
      <c r="M10" s="175"/>
      <c r="N10" s="175"/>
      <c r="O10" s="175"/>
      <c r="P10" s="175"/>
      <c r="Q10" s="175"/>
      <c r="R10" s="175"/>
      <c r="S10" s="175"/>
      <c r="T10" s="177"/>
      <c r="U10" s="177"/>
      <c r="V10" s="175"/>
      <c r="W10" s="175"/>
      <c r="X10" s="175"/>
      <c r="Y10" s="175"/>
      <c r="Z10" s="175"/>
      <c r="AA10" s="175"/>
      <c r="AB10" s="175"/>
      <c r="AC10" s="175"/>
      <c r="AD10" s="177"/>
      <c r="AE10" s="182"/>
      <c r="AF10" s="175"/>
      <c r="AG10" s="175"/>
      <c r="AH10" s="175"/>
      <c r="AI10" s="175"/>
      <c r="AJ10" s="175"/>
      <c r="AK10" s="175"/>
      <c r="AL10" s="175"/>
      <c r="AM10" s="175"/>
      <c r="AN10" s="177"/>
      <c r="AO10" s="177"/>
      <c r="AP10" s="175"/>
      <c r="AQ10" s="175"/>
      <c r="AR10" s="175"/>
      <c r="AS10" s="175"/>
      <c r="AT10" s="175"/>
      <c r="AU10" s="175"/>
      <c r="AV10" s="175"/>
      <c r="AW10" s="175"/>
      <c r="AX10" s="177"/>
      <c r="AY10" s="182"/>
      <c r="AZ10" s="175"/>
      <c r="BA10" s="175"/>
      <c r="BB10" s="175"/>
      <c r="BC10" s="175"/>
      <c r="BD10" s="175"/>
      <c r="BE10" s="175"/>
      <c r="BF10" s="175"/>
      <c r="BG10" s="175"/>
      <c r="BH10" s="177"/>
      <c r="BI10" s="182"/>
      <c r="BJ10" s="175"/>
      <c r="BK10" s="175"/>
      <c r="BL10" s="175"/>
      <c r="BM10" s="175"/>
      <c r="BN10" s="175"/>
      <c r="BO10" s="175"/>
      <c r="BP10" s="175"/>
      <c r="BQ10" s="175"/>
      <c r="BR10" s="177"/>
    </row>
    <row r="11" spans="1:71" ht="9" customHeight="1" x14ac:dyDescent="0.3">
      <c r="A11" s="169"/>
      <c r="B11" s="175"/>
      <c r="C11" s="175"/>
      <c r="D11" s="175"/>
      <c r="E11" s="175"/>
      <c r="F11" s="175"/>
      <c r="G11" s="175"/>
      <c r="H11" s="175"/>
      <c r="I11" s="175"/>
      <c r="J11" s="177"/>
      <c r="K11" s="182"/>
      <c r="L11" s="175"/>
      <c r="M11" s="175"/>
      <c r="N11" s="175"/>
      <c r="O11" s="175"/>
      <c r="P11" s="175"/>
      <c r="Q11" s="175"/>
      <c r="R11" s="175"/>
      <c r="S11" s="175"/>
      <c r="T11" s="177"/>
      <c r="U11" s="177"/>
      <c r="V11" s="175"/>
      <c r="W11" s="175"/>
      <c r="X11" s="175"/>
      <c r="Y11" s="175"/>
      <c r="Z11" s="175"/>
      <c r="AA11" s="175"/>
      <c r="AB11" s="175"/>
      <c r="AC11" s="175"/>
      <c r="AD11" s="177"/>
      <c r="AE11" s="182"/>
      <c r="AF11" s="175"/>
      <c r="AG11" s="175"/>
      <c r="AH11" s="175"/>
      <c r="AI11" s="175"/>
      <c r="AJ11" s="175"/>
      <c r="AK11" s="175"/>
      <c r="AL11" s="175"/>
      <c r="AM11" s="175"/>
      <c r="AN11" s="177"/>
      <c r="AO11" s="177"/>
      <c r="AP11" s="175"/>
      <c r="AQ11" s="175"/>
      <c r="AR11" s="175"/>
      <c r="AS11" s="175"/>
      <c r="AT11" s="175"/>
      <c r="AU11" s="175"/>
      <c r="AV11" s="175"/>
      <c r="AW11" s="175"/>
      <c r="AX11" s="177"/>
      <c r="AY11" s="182"/>
      <c r="AZ11" s="175"/>
      <c r="BA11" s="175"/>
      <c r="BB11" s="175"/>
      <c r="BC11" s="175"/>
      <c r="BD11" s="175"/>
      <c r="BE11" s="175"/>
      <c r="BF11" s="175"/>
      <c r="BG11" s="175"/>
      <c r="BH11" s="177"/>
      <c r="BI11" s="182"/>
      <c r="BJ11" s="175"/>
      <c r="BK11" s="175"/>
      <c r="BL11" s="175"/>
      <c r="BM11" s="175"/>
      <c r="BN11" s="175"/>
      <c r="BO11" s="175"/>
      <c r="BP11" s="175"/>
      <c r="BQ11" s="175"/>
      <c r="BR11" s="177"/>
    </row>
    <row r="12" spans="1:71" ht="9.75" customHeight="1" x14ac:dyDescent="0.3">
      <c r="A12" s="169"/>
      <c r="B12" s="175"/>
      <c r="C12" s="175"/>
      <c r="D12" s="175"/>
      <c r="E12" s="175"/>
      <c r="F12" s="175"/>
      <c r="G12" s="175"/>
      <c r="H12" s="175"/>
      <c r="I12" s="175"/>
      <c r="J12" s="177"/>
      <c r="K12" s="182"/>
      <c r="L12" s="175"/>
      <c r="M12" s="175"/>
      <c r="N12" s="175"/>
      <c r="O12" s="175"/>
      <c r="P12" s="175"/>
      <c r="Q12" s="175"/>
      <c r="R12" s="175"/>
      <c r="S12" s="175"/>
      <c r="T12" s="177"/>
      <c r="U12" s="177"/>
      <c r="V12" s="175"/>
      <c r="W12" s="175"/>
      <c r="X12" s="175"/>
      <c r="Y12" s="175"/>
      <c r="Z12" s="175"/>
      <c r="AA12" s="175"/>
      <c r="AB12" s="175"/>
      <c r="AC12" s="175"/>
      <c r="AD12" s="177"/>
      <c r="AE12" s="182"/>
      <c r="AF12" s="175"/>
      <c r="AG12" s="175"/>
      <c r="AH12" s="175"/>
      <c r="AI12" s="175"/>
      <c r="AJ12" s="175"/>
      <c r="AK12" s="175"/>
      <c r="AL12" s="175"/>
      <c r="AM12" s="175"/>
      <c r="AN12" s="177"/>
      <c r="AO12" s="177"/>
      <c r="AP12" s="175"/>
      <c r="AQ12" s="175"/>
      <c r="AR12" s="175"/>
      <c r="AS12" s="175"/>
      <c r="AT12" s="175"/>
      <c r="AU12" s="175"/>
      <c r="AV12" s="175"/>
      <c r="AW12" s="175"/>
      <c r="AX12" s="177"/>
      <c r="AY12" s="182"/>
      <c r="AZ12" s="175"/>
      <c r="BA12" s="175"/>
      <c r="BB12" s="175"/>
      <c r="BC12" s="175"/>
      <c r="BD12" s="175"/>
      <c r="BE12" s="175"/>
      <c r="BF12" s="175"/>
      <c r="BG12" s="175"/>
      <c r="BH12" s="177"/>
      <c r="BI12" s="182"/>
      <c r="BJ12" s="175"/>
      <c r="BK12" s="175"/>
      <c r="BL12" s="175"/>
      <c r="BM12" s="175"/>
      <c r="BN12" s="175"/>
      <c r="BO12" s="175"/>
      <c r="BP12" s="175"/>
      <c r="BQ12" s="175"/>
      <c r="BR12" s="177"/>
    </row>
    <row r="13" spans="1:71" ht="9" customHeight="1" x14ac:dyDescent="0.3">
      <c r="B13" s="232"/>
      <c r="C13" s="223"/>
      <c r="D13" s="223"/>
      <c r="E13" s="223"/>
      <c r="F13" s="223"/>
      <c r="G13" s="223"/>
      <c r="H13" s="223"/>
      <c r="I13" s="223"/>
      <c r="J13" s="224"/>
      <c r="K13" s="182"/>
      <c r="L13" s="223"/>
      <c r="M13" s="223"/>
      <c r="N13" s="223"/>
      <c r="O13" s="223"/>
      <c r="P13" s="223"/>
      <c r="Q13" s="223"/>
      <c r="R13" s="223"/>
      <c r="S13" s="223"/>
      <c r="T13" s="224"/>
      <c r="U13" s="177"/>
      <c r="V13" s="223"/>
      <c r="W13" s="223"/>
      <c r="X13" s="223"/>
      <c r="Y13" s="223"/>
      <c r="Z13" s="223"/>
      <c r="AA13" s="223"/>
      <c r="AB13" s="223"/>
      <c r="AC13" s="223"/>
      <c r="AD13" s="224"/>
      <c r="AE13" s="233"/>
      <c r="AF13" s="223"/>
      <c r="AG13" s="223"/>
      <c r="AH13" s="223"/>
      <c r="AI13" s="223"/>
      <c r="AJ13" s="223"/>
      <c r="AK13" s="223"/>
      <c r="AL13" s="223"/>
      <c r="AM13" s="223"/>
      <c r="AN13" s="224"/>
      <c r="AO13" s="224"/>
      <c r="AP13" s="223"/>
      <c r="AQ13" s="223"/>
      <c r="AR13" s="223"/>
      <c r="AS13" s="223"/>
      <c r="AT13" s="223"/>
      <c r="AU13" s="223"/>
      <c r="AV13" s="223"/>
      <c r="AW13" s="223"/>
      <c r="AX13" s="224"/>
      <c r="AY13" s="182"/>
      <c r="AZ13" s="223"/>
      <c r="BA13" s="223"/>
      <c r="BB13" s="223"/>
      <c r="BC13" s="223"/>
      <c r="BD13" s="223"/>
      <c r="BE13" s="223"/>
      <c r="BF13" s="223"/>
      <c r="BG13" s="223"/>
      <c r="BH13" s="224"/>
      <c r="BI13" s="182"/>
      <c r="BJ13" s="223"/>
      <c r="BK13" s="223"/>
      <c r="BL13" s="223"/>
      <c r="BM13" s="223"/>
      <c r="BN13" s="223"/>
      <c r="BO13" s="223"/>
      <c r="BP13" s="223"/>
      <c r="BQ13" s="223"/>
      <c r="BR13" s="224"/>
    </row>
    <row r="14" spans="1:71" ht="9" customHeight="1" x14ac:dyDescent="0.3">
      <c r="B14" s="232"/>
      <c r="C14" s="223"/>
      <c r="D14" s="223"/>
      <c r="E14" s="223"/>
      <c r="F14" s="223"/>
      <c r="G14" s="223"/>
      <c r="H14" s="223"/>
      <c r="I14" s="223"/>
      <c r="J14" s="224"/>
      <c r="K14" s="182"/>
      <c r="L14" s="223"/>
      <c r="M14" s="223"/>
      <c r="N14" s="223"/>
      <c r="O14" s="223"/>
      <c r="P14" s="223"/>
      <c r="Q14" s="223"/>
      <c r="R14" s="223"/>
      <c r="S14" s="223"/>
      <c r="T14" s="224"/>
      <c r="U14" s="177"/>
      <c r="V14" s="223"/>
      <c r="W14" s="223"/>
      <c r="X14" s="223"/>
      <c r="Y14" s="223"/>
      <c r="Z14" s="223"/>
      <c r="AA14" s="223"/>
      <c r="AB14" s="223"/>
      <c r="AC14" s="223"/>
      <c r="AD14" s="224"/>
      <c r="AE14" s="233"/>
      <c r="AF14" s="223"/>
      <c r="AG14" s="223"/>
      <c r="AH14" s="223"/>
      <c r="AI14" s="223"/>
      <c r="AJ14" s="223"/>
      <c r="AK14" s="223"/>
      <c r="AL14" s="223"/>
      <c r="AM14" s="223"/>
      <c r="AN14" s="224"/>
      <c r="AO14" s="224"/>
      <c r="AP14" s="223"/>
      <c r="AQ14" s="223"/>
      <c r="AR14" s="223"/>
      <c r="AS14" s="223"/>
      <c r="AT14" s="223"/>
      <c r="AU14" s="223"/>
      <c r="AV14" s="223"/>
      <c r="AW14" s="223"/>
      <c r="AX14" s="224"/>
      <c r="AY14" s="182"/>
      <c r="AZ14" s="223"/>
      <c r="BA14" s="223"/>
      <c r="BB14" s="223"/>
      <c r="BC14" s="223"/>
      <c r="BD14" s="223"/>
      <c r="BE14" s="223"/>
      <c r="BF14" s="223"/>
      <c r="BG14" s="223"/>
      <c r="BH14" s="224"/>
      <c r="BI14" s="182"/>
      <c r="BJ14" s="223"/>
      <c r="BK14" s="223"/>
      <c r="BL14" s="223"/>
      <c r="BM14" s="223"/>
      <c r="BN14" s="223"/>
      <c r="BO14" s="223"/>
      <c r="BP14" s="223"/>
      <c r="BQ14" s="223"/>
      <c r="BR14" s="224"/>
    </row>
    <row r="15" spans="1:71" ht="9" customHeight="1" x14ac:dyDescent="0.3">
      <c r="B15" s="175"/>
      <c r="C15" s="175"/>
      <c r="D15" s="175"/>
      <c r="E15" s="175"/>
      <c r="F15" s="175"/>
      <c r="G15" s="175"/>
      <c r="H15" s="175"/>
      <c r="I15" s="175"/>
      <c r="J15" s="177"/>
      <c r="K15" s="182"/>
      <c r="L15" s="175"/>
      <c r="M15" s="175"/>
      <c r="N15" s="175"/>
      <c r="O15" s="175"/>
      <c r="P15" s="175"/>
      <c r="Q15" s="175"/>
      <c r="R15" s="175"/>
      <c r="S15" s="175"/>
      <c r="T15" s="177"/>
      <c r="U15" s="177"/>
      <c r="V15" s="175"/>
      <c r="W15" s="175"/>
      <c r="X15" s="175"/>
      <c r="Y15" s="175"/>
      <c r="Z15" s="175"/>
      <c r="AA15" s="175"/>
      <c r="AB15" s="175"/>
      <c r="AC15" s="175"/>
      <c r="AD15" s="177"/>
      <c r="AE15" s="182"/>
      <c r="AF15" s="175"/>
      <c r="AG15" s="175"/>
      <c r="AH15" s="175"/>
      <c r="AI15" s="175"/>
      <c r="AJ15" s="175"/>
      <c r="AK15" s="175"/>
      <c r="AL15" s="175"/>
      <c r="AM15" s="175"/>
      <c r="AN15" s="177"/>
      <c r="AO15" s="177"/>
      <c r="AP15" s="175"/>
      <c r="AQ15" s="175"/>
      <c r="AR15" s="175"/>
      <c r="AS15" s="175"/>
      <c r="AT15" s="175"/>
      <c r="AU15" s="175"/>
      <c r="AV15" s="175"/>
      <c r="AW15" s="175"/>
      <c r="AX15" s="177"/>
      <c r="AY15" s="182"/>
      <c r="AZ15" s="175"/>
      <c r="BA15" s="175"/>
      <c r="BB15" s="175"/>
      <c r="BC15" s="175"/>
      <c r="BD15" s="175"/>
      <c r="BE15" s="175"/>
      <c r="BF15" s="175"/>
      <c r="BG15" s="175"/>
      <c r="BH15" s="177"/>
      <c r="BI15" s="182"/>
      <c r="BJ15" s="175"/>
      <c r="BK15" s="175"/>
      <c r="BL15" s="175"/>
      <c r="BM15" s="175"/>
      <c r="BN15" s="175"/>
      <c r="BO15" s="175"/>
      <c r="BP15" s="175"/>
      <c r="BQ15" s="175"/>
      <c r="BR15" s="177"/>
    </row>
    <row r="16" spans="1:71" s="66" customFormat="1" ht="9" customHeight="1" x14ac:dyDescent="0.3">
      <c r="A16" s="196"/>
      <c r="B16" s="432" t="s">
        <v>415</v>
      </c>
      <c r="C16" s="432"/>
      <c r="D16" s="432"/>
      <c r="E16" s="432"/>
      <c r="F16" s="432"/>
      <c r="G16" s="433">
        <f>CEILING(1548*B3,1)</f>
        <v>2168</v>
      </c>
      <c r="H16" s="433"/>
      <c r="I16" s="433"/>
      <c r="J16" s="433"/>
      <c r="K16" s="183"/>
      <c r="L16" s="432" t="s">
        <v>415</v>
      </c>
      <c r="M16" s="432"/>
      <c r="N16" s="432"/>
      <c r="O16" s="432"/>
      <c r="P16" s="432"/>
      <c r="Q16" s="433">
        <f>CEILING(2238*B3,1)</f>
        <v>3134</v>
      </c>
      <c r="R16" s="433"/>
      <c r="S16" s="433"/>
      <c r="T16" s="433"/>
      <c r="U16" s="183"/>
      <c r="V16" s="432" t="s">
        <v>415</v>
      </c>
      <c r="W16" s="432"/>
      <c r="X16" s="432"/>
      <c r="Y16" s="432"/>
      <c r="Z16" s="432"/>
      <c r="AA16" s="433">
        <f>CEILING(2385*B3,1)</f>
        <v>3339</v>
      </c>
      <c r="AB16" s="433"/>
      <c r="AC16" s="433"/>
      <c r="AD16" s="433"/>
      <c r="AE16" s="183"/>
      <c r="AF16" s="432" t="s">
        <v>415</v>
      </c>
      <c r="AG16" s="432"/>
      <c r="AH16" s="432"/>
      <c r="AI16" s="432"/>
      <c r="AJ16" s="432"/>
      <c r="AK16" s="433">
        <f>CEILING(2528*B3,1)</f>
        <v>3540</v>
      </c>
      <c r="AL16" s="433"/>
      <c r="AM16" s="433"/>
      <c r="AN16" s="433"/>
      <c r="AO16" s="183"/>
      <c r="AP16" s="432" t="s">
        <v>415</v>
      </c>
      <c r="AQ16" s="432"/>
      <c r="AR16" s="432"/>
      <c r="AS16" s="432"/>
      <c r="AT16" s="432"/>
      <c r="AU16" s="433">
        <f>CEILING(2583*B3,1)</f>
        <v>3617</v>
      </c>
      <c r="AV16" s="433"/>
      <c r="AW16" s="433"/>
      <c r="AX16" s="433"/>
      <c r="AY16" s="183"/>
      <c r="AZ16" s="432" t="s">
        <v>415</v>
      </c>
      <c r="BA16" s="432"/>
      <c r="BB16" s="432"/>
      <c r="BC16" s="432"/>
      <c r="BD16" s="432"/>
      <c r="BE16" s="433">
        <f>CEILING(2706*B3,1)</f>
        <v>3789</v>
      </c>
      <c r="BF16" s="433"/>
      <c r="BG16" s="433"/>
      <c r="BH16" s="433"/>
      <c r="BI16" s="183"/>
      <c r="BJ16" s="432" t="s">
        <v>415</v>
      </c>
      <c r="BK16" s="432"/>
      <c r="BL16" s="432"/>
      <c r="BM16" s="432"/>
      <c r="BN16" s="432"/>
      <c r="BO16" s="433">
        <f>CEILING(3074*B3,1)</f>
        <v>4304</v>
      </c>
      <c r="BP16" s="433"/>
      <c r="BQ16" s="433"/>
      <c r="BR16" s="433"/>
    </row>
    <row r="17" spans="1:72" ht="1.5" customHeight="1" x14ac:dyDescent="0.3"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97"/>
      <c r="Z17" s="197"/>
      <c r="AA17" s="197"/>
      <c r="AB17" s="197"/>
      <c r="AC17" s="197"/>
      <c r="AD17" s="197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97"/>
      <c r="AR17" s="197"/>
      <c r="AS17" s="197"/>
      <c r="AT17" s="197"/>
      <c r="AU17" s="197"/>
      <c r="AV17" s="197"/>
      <c r="AW17" s="197"/>
      <c r="AX17" s="197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</row>
    <row r="18" spans="1:72" ht="9" customHeight="1" x14ac:dyDescent="0.3">
      <c r="B18" s="429" t="s">
        <v>436</v>
      </c>
      <c r="C18" s="430"/>
      <c r="D18" s="431"/>
      <c r="E18" s="444" t="s">
        <v>443</v>
      </c>
      <c r="F18" s="445"/>
      <c r="G18" s="445"/>
      <c r="H18" s="445"/>
      <c r="I18" s="445"/>
      <c r="J18" s="446"/>
      <c r="K18" s="175"/>
      <c r="L18" s="429" t="s">
        <v>437</v>
      </c>
      <c r="M18" s="430"/>
      <c r="N18" s="431"/>
      <c r="O18" s="444" t="s">
        <v>443</v>
      </c>
      <c r="P18" s="445"/>
      <c r="Q18" s="445"/>
      <c r="R18" s="445"/>
      <c r="S18" s="445"/>
      <c r="T18" s="446"/>
      <c r="U18" s="175"/>
      <c r="V18" s="429" t="s">
        <v>438</v>
      </c>
      <c r="W18" s="430"/>
      <c r="X18" s="431"/>
      <c r="Y18" s="444" t="s">
        <v>443</v>
      </c>
      <c r="Z18" s="445"/>
      <c r="AA18" s="445"/>
      <c r="AB18" s="445"/>
      <c r="AC18" s="445"/>
      <c r="AD18" s="446"/>
      <c r="AE18" s="175"/>
      <c r="AF18" s="429" t="s">
        <v>439</v>
      </c>
      <c r="AG18" s="430"/>
      <c r="AH18" s="431"/>
      <c r="AI18" s="444" t="s">
        <v>443</v>
      </c>
      <c r="AJ18" s="445"/>
      <c r="AK18" s="445"/>
      <c r="AL18" s="445"/>
      <c r="AM18" s="445"/>
      <c r="AN18" s="446"/>
      <c r="AO18" s="175"/>
      <c r="AP18" s="429" t="s">
        <v>440</v>
      </c>
      <c r="AQ18" s="430"/>
      <c r="AR18" s="431"/>
      <c r="AS18" s="444" t="s">
        <v>443</v>
      </c>
      <c r="AT18" s="445"/>
      <c r="AU18" s="445"/>
      <c r="AV18" s="445"/>
      <c r="AW18" s="445"/>
      <c r="AX18" s="446"/>
      <c r="AY18" s="175"/>
      <c r="AZ18" s="429" t="s">
        <v>441</v>
      </c>
      <c r="BA18" s="430"/>
      <c r="BB18" s="431"/>
      <c r="BC18" s="444" t="s">
        <v>443</v>
      </c>
      <c r="BD18" s="445"/>
      <c r="BE18" s="445"/>
      <c r="BF18" s="445"/>
      <c r="BG18" s="445"/>
      <c r="BH18" s="446"/>
      <c r="BI18" s="175"/>
      <c r="BJ18" s="429" t="s">
        <v>442</v>
      </c>
      <c r="BK18" s="430"/>
      <c r="BL18" s="431"/>
      <c r="BM18" s="444" t="s">
        <v>443</v>
      </c>
      <c r="BN18" s="445"/>
      <c r="BO18" s="445"/>
      <c r="BP18" s="445"/>
      <c r="BQ18" s="445"/>
      <c r="BR18" s="446"/>
    </row>
    <row r="19" spans="1:72" s="34" customFormat="1" ht="9" customHeight="1" x14ac:dyDescent="0.3">
      <c r="A19" s="178"/>
      <c r="B19" s="423" t="s">
        <v>444</v>
      </c>
      <c r="C19" s="424"/>
      <c r="D19" s="424"/>
      <c r="E19" s="424"/>
      <c r="F19" s="424"/>
      <c r="G19" s="424"/>
      <c r="H19" s="424"/>
      <c r="I19" s="424"/>
      <c r="J19" s="425"/>
      <c r="K19" s="180"/>
      <c r="L19" s="423" t="s">
        <v>444</v>
      </c>
      <c r="M19" s="424"/>
      <c r="N19" s="424"/>
      <c r="O19" s="424"/>
      <c r="P19" s="424"/>
      <c r="Q19" s="424"/>
      <c r="R19" s="424"/>
      <c r="S19" s="424"/>
      <c r="T19" s="425"/>
      <c r="U19" s="200"/>
      <c r="V19" s="423" t="s">
        <v>444</v>
      </c>
      <c r="W19" s="424"/>
      <c r="X19" s="424"/>
      <c r="Y19" s="424"/>
      <c r="Z19" s="424"/>
      <c r="AA19" s="424"/>
      <c r="AB19" s="424"/>
      <c r="AC19" s="424"/>
      <c r="AD19" s="425"/>
      <c r="AE19" s="180"/>
      <c r="AF19" s="423" t="s">
        <v>444</v>
      </c>
      <c r="AG19" s="424"/>
      <c r="AH19" s="424"/>
      <c r="AI19" s="424"/>
      <c r="AJ19" s="424"/>
      <c r="AK19" s="424"/>
      <c r="AL19" s="424"/>
      <c r="AM19" s="424"/>
      <c r="AN19" s="425"/>
      <c r="AO19" s="200"/>
      <c r="AP19" s="423" t="s">
        <v>444</v>
      </c>
      <c r="AQ19" s="424"/>
      <c r="AR19" s="424"/>
      <c r="AS19" s="424"/>
      <c r="AT19" s="424"/>
      <c r="AU19" s="424"/>
      <c r="AV19" s="424"/>
      <c r="AW19" s="424"/>
      <c r="AX19" s="425"/>
      <c r="AY19" s="180"/>
      <c r="AZ19" s="423" t="s">
        <v>444</v>
      </c>
      <c r="BA19" s="424"/>
      <c r="BB19" s="424"/>
      <c r="BC19" s="424"/>
      <c r="BD19" s="424"/>
      <c r="BE19" s="424"/>
      <c r="BF19" s="424"/>
      <c r="BG19" s="424"/>
      <c r="BH19" s="425"/>
      <c r="BI19" s="200"/>
      <c r="BJ19" s="423" t="s">
        <v>444</v>
      </c>
      <c r="BK19" s="424"/>
      <c r="BL19" s="424"/>
      <c r="BM19" s="424"/>
      <c r="BN19" s="424"/>
      <c r="BO19" s="424"/>
      <c r="BP19" s="424"/>
      <c r="BQ19" s="424"/>
      <c r="BR19" s="425"/>
    </row>
    <row r="20" spans="1:72" ht="9" customHeight="1" x14ac:dyDescent="0.3">
      <c r="A20" s="169"/>
      <c r="B20" s="175"/>
      <c r="C20" s="175"/>
      <c r="D20" s="175"/>
      <c r="E20" s="175"/>
      <c r="F20" s="175"/>
      <c r="G20" s="175"/>
      <c r="H20" s="175"/>
      <c r="I20" s="175"/>
      <c r="J20" s="177"/>
      <c r="K20" s="182"/>
      <c r="L20" s="175"/>
      <c r="M20" s="175"/>
      <c r="N20" s="175"/>
      <c r="O20" s="175"/>
      <c r="P20" s="175"/>
      <c r="Q20" s="175"/>
      <c r="R20" s="175"/>
      <c r="S20" s="175"/>
      <c r="T20" s="177"/>
      <c r="U20" s="182"/>
      <c r="V20" s="175"/>
      <c r="W20" s="175"/>
      <c r="X20" s="175"/>
      <c r="Y20" s="175"/>
      <c r="Z20" s="175"/>
      <c r="AA20" s="175"/>
      <c r="AB20" s="175"/>
      <c r="AC20" s="175"/>
      <c r="AD20" s="177"/>
      <c r="AE20" s="182"/>
      <c r="AF20" s="175"/>
      <c r="AG20" s="175"/>
      <c r="AH20" s="175"/>
      <c r="AI20" s="175"/>
      <c r="AJ20" s="175"/>
      <c r="AK20" s="175"/>
      <c r="AL20" s="175"/>
      <c r="AM20" s="175"/>
      <c r="AN20" s="177"/>
      <c r="AO20" s="182"/>
      <c r="AP20" s="175"/>
      <c r="AQ20" s="175"/>
      <c r="AR20" s="175"/>
      <c r="AS20" s="175"/>
      <c r="AT20" s="175"/>
      <c r="AU20" s="175"/>
      <c r="AV20" s="175"/>
      <c r="AW20" s="175"/>
      <c r="AX20" s="177"/>
      <c r="AY20" s="175"/>
      <c r="AZ20" s="175"/>
      <c r="BA20" s="175"/>
      <c r="BB20" s="175"/>
      <c r="BC20" s="175"/>
      <c r="BD20" s="175"/>
      <c r="BE20" s="175"/>
      <c r="BF20" s="175"/>
      <c r="BG20" s="175"/>
      <c r="BH20" s="177"/>
      <c r="BI20" s="182"/>
      <c r="BJ20" s="175"/>
      <c r="BK20" s="175"/>
      <c r="BL20" s="175"/>
      <c r="BM20" s="175"/>
      <c r="BN20" s="175"/>
      <c r="BO20" s="175"/>
      <c r="BP20" s="175"/>
      <c r="BQ20" s="175"/>
      <c r="BR20" s="177"/>
    </row>
    <row r="21" spans="1:72" ht="9" customHeight="1" x14ac:dyDescent="0.3">
      <c r="A21" s="169"/>
      <c r="B21" s="175"/>
      <c r="C21" s="175"/>
      <c r="D21" s="175"/>
      <c r="E21" s="175"/>
      <c r="F21" s="175"/>
      <c r="G21" s="175"/>
      <c r="H21" s="175"/>
      <c r="I21" s="175"/>
      <c r="J21" s="177"/>
      <c r="K21" s="182"/>
      <c r="L21" s="175"/>
      <c r="M21" s="175"/>
      <c r="N21" s="175"/>
      <c r="O21" s="175"/>
      <c r="P21" s="175"/>
      <c r="Q21" s="175"/>
      <c r="R21" s="175"/>
      <c r="S21" s="175"/>
      <c r="T21" s="177"/>
      <c r="U21" s="182"/>
      <c r="V21" s="175"/>
      <c r="W21" s="175"/>
      <c r="X21" s="175"/>
      <c r="Y21" s="175"/>
      <c r="Z21" s="175"/>
      <c r="AA21" s="175"/>
      <c r="AB21" s="175"/>
      <c r="AC21" s="175"/>
      <c r="AD21" s="177"/>
      <c r="AE21" s="182"/>
      <c r="AF21" s="175"/>
      <c r="AG21" s="175"/>
      <c r="AH21" s="175"/>
      <c r="AI21" s="175"/>
      <c r="AJ21" s="175"/>
      <c r="AK21" s="175"/>
      <c r="AL21" s="175"/>
      <c r="AM21" s="175"/>
      <c r="AN21" s="177"/>
      <c r="AO21" s="182"/>
      <c r="AP21" s="175"/>
      <c r="AQ21" s="175"/>
      <c r="AR21" s="175"/>
      <c r="AS21" s="175"/>
      <c r="AT21" s="175"/>
      <c r="AU21" s="175"/>
      <c r="AV21" s="175"/>
      <c r="AW21" s="175"/>
      <c r="AX21" s="177"/>
      <c r="AY21" s="175"/>
      <c r="AZ21" s="175"/>
      <c r="BA21" s="175"/>
      <c r="BB21" s="175"/>
      <c r="BC21" s="175"/>
      <c r="BD21" s="175"/>
      <c r="BE21" s="175"/>
      <c r="BF21" s="175"/>
      <c r="BG21" s="175"/>
      <c r="BH21" s="177"/>
      <c r="BI21" s="182"/>
      <c r="BJ21" s="175"/>
      <c r="BK21" s="175"/>
      <c r="BL21" s="175"/>
      <c r="BM21" s="175"/>
      <c r="BN21" s="175"/>
      <c r="BO21" s="175"/>
      <c r="BP21" s="175"/>
      <c r="BQ21" s="175"/>
      <c r="BR21" s="177"/>
    </row>
    <row r="22" spans="1:72" ht="9" customHeight="1" x14ac:dyDescent="0.3">
      <c r="A22" s="169"/>
      <c r="B22" s="175"/>
      <c r="C22" s="175"/>
      <c r="D22" s="175"/>
      <c r="E22" s="175"/>
      <c r="F22" s="175"/>
      <c r="G22" s="175"/>
      <c r="H22" s="175"/>
      <c r="I22" s="175"/>
      <c r="J22" s="177"/>
      <c r="K22" s="182"/>
      <c r="L22" s="175"/>
      <c r="M22" s="175"/>
      <c r="N22" s="175"/>
      <c r="O22" s="175"/>
      <c r="P22" s="175"/>
      <c r="Q22" s="175"/>
      <c r="R22" s="175"/>
      <c r="S22" s="175"/>
      <c r="T22" s="177"/>
      <c r="U22" s="182"/>
      <c r="V22" s="175"/>
      <c r="W22" s="175"/>
      <c r="X22" s="175"/>
      <c r="Y22" s="175"/>
      <c r="Z22" s="175"/>
      <c r="AA22" s="175"/>
      <c r="AB22" s="175"/>
      <c r="AC22" s="175"/>
      <c r="AD22" s="177"/>
      <c r="AE22" s="182"/>
      <c r="AF22" s="175"/>
      <c r="AG22" s="175"/>
      <c r="AH22" s="175"/>
      <c r="AI22" s="175"/>
      <c r="AJ22" s="175"/>
      <c r="AK22" s="175"/>
      <c r="AL22" s="175"/>
      <c r="AM22" s="175"/>
      <c r="AN22" s="177"/>
      <c r="AO22" s="182"/>
      <c r="AP22" s="175"/>
      <c r="AQ22" s="175"/>
      <c r="AR22" s="175"/>
      <c r="AS22" s="175"/>
      <c r="AT22" s="175"/>
      <c r="AU22" s="175"/>
      <c r="AV22" s="175"/>
      <c r="AW22" s="175"/>
      <c r="AX22" s="177"/>
      <c r="AY22" s="175"/>
      <c r="AZ22" s="175"/>
      <c r="BA22" s="175"/>
      <c r="BB22" s="175"/>
      <c r="BC22" s="175"/>
      <c r="BD22" s="175"/>
      <c r="BE22" s="175"/>
      <c r="BF22" s="175"/>
      <c r="BG22" s="175"/>
      <c r="BH22" s="177"/>
      <c r="BI22" s="182"/>
      <c r="BJ22" s="175"/>
      <c r="BK22" s="175"/>
      <c r="BL22" s="175"/>
      <c r="BM22" s="175"/>
      <c r="BN22" s="175"/>
      <c r="BO22" s="175"/>
      <c r="BP22" s="175"/>
      <c r="BQ22" s="175"/>
      <c r="BR22" s="177"/>
    </row>
    <row r="23" spans="1:72" ht="9.75" customHeight="1" x14ac:dyDescent="0.3">
      <c r="A23" s="169"/>
      <c r="B23" s="175"/>
      <c r="C23" s="175"/>
      <c r="D23" s="175"/>
      <c r="E23" s="175"/>
      <c r="F23" s="175"/>
      <c r="G23" s="175"/>
      <c r="H23" s="175"/>
      <c r="I23" s="175"/>
      <c r="J23" s="177"/>
      <c r="K23" s="182"/>
      <c r="L23" s="175"/>
      <c r="M23" s="175"/>
      <c r="N23" s="175"/>
      <c r="O23" s="175"/>
      <c r="P23" s="175"/>
      <c r="Q23" s="175"/>
      <c r="R23" s="175"/>
      <c r="S23" s="175"/>
      <c r="T23" s="177"/>
      <c r="U23" s="182"/>
      <c r="V23" s="175"/>
      <c r="W23" s="175"/>
      <c r="X23" s="175"/>
      <c r="Y23" s="175"/>
      <c r="Z23" s="175"/>
      <c r="AA23" s="175"/>
      <c r="AB23" s="175"/>
      <c r="AC23" s="175"/>
      <c r="AD23" s="177"/>
      <c r="AE23" s="182"/>
      <c r="AF23" s="175"/>
      <c r="AG23" s="175"/>
      <c r="AH23" s="175"/>
      <c r="AI23" s="175"/>
      <c r="AJ23" s="175"/>
      <c r="AK23" s="175"/>
      <c r="AL23" s="175"/>
      <c r="AM23" s="175"/>
      <c r="AN23" s="177"/>
      <c r="AO23" s="182"/>
      <c r="AP23" s="175"/>
      <c r="AQ23" s="175"/>
      <c r="AR23" s="175"/>
      <c r="AS23" s="175"/>
      <c r="AT23" s="175"/>
      <c r="AU23" s="175"/>
      <c r="AV23" s="175"/>
      <c r="AW23" s="175"/>
      <c r="AX23" s="177"/>
      <c r="AY23" s="175"/>
      <c r="AZ23" s="175"/>
      <c r="BA23" s="175"/>
      <c r="BB23" s="175"/>
      <c r="BC23" s="175"/>
      <c r="BD23" s="175"/>
      <c r="BE23" s="175"/>
      <c r="BF23" s="175"/>
      <c r="BG23" s="175"/>
      <c r="BH23" s="177"/>
      <c r="BI23" s="182"/>
      <c r="BJ23" s="175"/>
      <c r="BK23" s="175"/>
      <c r="BL23" s="175"/>
      <c r="BM23" s="175"/>
      <c r="BN23" s="175"/>
      <c r="BO23" s="175"/>
      <c r="BP23" s="175"/>
      <c r="BQ23" s="175"/>
      <c r="BR23" s="177"/>
    </row>
    <row r="24" spans="1:72" s="41" customFormat="1" ht="9" customHeight="1" x14ac:dyDescent="0.3">
      <c r="A24" s="234"/>
      <c r="B24" s="175"/>
      <c r="C24" s="175"/>
      <c r="D24" s="175"/>
      <c r="E24" s="175"/>
      <c r="F24" s="175"/>
      <c r="G24" s="175"/>
      <c r="H24" s="175"/>
      <c r="I24" s="175"/>
      <c r="J24" s="177"/>
      <c r="K24" s="207"/>
      <c r="L24" s="175"/>
      <c r="M24" s="175"/>
      <c r="N24" s="175"/>
      <c r="O24" s="175"/>
      <c r="P24" s="175"/>
      <c r="Q24" s="175"/>
      <c r="R24" s="175"/>
      <c r="S24" s="175"/>
      <c r="T24" s="177"/>
      <c r="U24" s="207"/>
      <c r="V24" s="175"/>
      <c r="W24" s="175"/>
      <c r="X24" s="175"/>
      <c r="Y24" s="175"/>
      <c r="Z24" s="175"/>
      <c r="AA24" s="175"/>
      <c r="AB24" s="175"/>
      <c r="AC24" s="175"/>
      <c r="AD24" s="177"/>
      <c r="AE24" s="207"/>
      <c r="AF24" s="175"/>
      <c r="AG24" s="175"/>
      <c r="AH24" s="175"/>
      <c r="AI24" s="175"/>
      <c r="AJ24" s="175"/>
      <c r="AK24" s="175"/>
      <c r="AL24" s="175"/>
      <c r="AM24" s="175"/>
      <c r="AN24" s="177"/>
      <c r="AO24" s="207"/>
      <c r="AP24" s="175"/>
      <c r="AQ24" s="175"/>
      <c r="AR24" s="175"/>
      <c r="AS24" s="175"/>
      <c r="AT24" s="175"/>
      <c r="AU24" s="175"/>
      <c r="AV24" s="175"/>
      <c r="AW24" s="175"/>
      <c r="AX24" s="177"/>
      <c r="AY24" s="204"/>
      <c r="AZ24" s="175"/>
      <c r="BA24" s="175"/>
      <c r="BB24" s="175"/>
      <c r="BC24" s="175"/>
      <c r="BD24" s="175"/>
      <c r="BE24" s="175"/>
      <c r="BF24" s="175"/>
      <c r="BG24" s="175"/>
      <c r="BH24" s="177"/>
      <c r="BI24" s="182"/>
      <c r="BJ24" s="175"/>
      <c r="BK24" s="175"/>
      <c r="BL24" s="175"/>
      <c r="BM24" s="175"/>
      <c r="BN24" s="175"/>
      <c r="BO24" s="175"/>
      <c r="BP24" s="175"/>
      <c r="BQ24" s="175"/>
      <c r="BR24" s="177"/>
      <c r="BT24" s="27"/>
    </row>
    <row r="25" spans="1:72" s="41" customFormat="1" ht="9" customHeight="1" x14ac:dyDescent="0.3">
      <c r="A25" s="234"/>
      <c r="B25" s="175"/>
      <c r="C25" s="175"/>
      <c r="D25" s="175"/>
      <c r="E25" s="175"/>
      <c r="F25" s="175"/>
      <c r="G25" s="175"/>
      <c r="H25" s="175"/>
      <c r="I25" s="175"/>
      <c r="J25" s="177"/>
      <c r="K25" s="207"/>
      <c r="L25" s="175"/>
      <c r="M25" s="175"/>
      <c r="N25" s="175"/>
      <c r="O25" s="175"/>
      <c r="P25" s="175"/>
      <c r="Q25" s="175"/>
      <c r="R25" s="175"/>
      <c r="S25" s="175"/>
      <c r="T25" s="177"/>
      <c r="U25" s="207"/>
      <c r="V25" s="175"/>
      <c r="W25" s="175"/>
      <c r="X25" s="175"/>
      <c r="Y25" s="175"/>
      <c r="Z25" s="175"/>
      <c r="AA25" s="175"/>
      <c r="AB25" s="175"/>
      <c r="AC25" s="175"/>
      <c r="AD25" s="177"/>
      <c r="AE25" s="207"/>
      <c r="AF25" s="175"/>
      <c r="AG25" s="175"/>
      <c r="AH25" s="175"/>
      <c r="AI25" s="175"/>
      <c r="AJ25" s="175"/>
      <c r="AK25" s="175"/>
      <c r="AL25" s="175"/>
      <c r="AM25" s="175"/>
      <c r="AN25" s="177"/>
      <c r="AO25" s="207"/>
      <c r="AP25" s="175"/>
      <c r="AQ25" s="175"/>
      <c r="AR25" s="175"/>
      <c r="AS25" s="175"/>
      <c r="AT25" s="175"/>
      <c r="AU25" s="175"/>
      <c r="AV25" s="175"/>
      <c r="AW25" s="175"/>
      <c r="AX25" s="177"/>
      <c r="AY25" s="204"/>
      <c r="AZ25" s="175"/>
      <c r="BA25" s="175"/>
      <c r="BB25" s="175"/>
      <c r="BC25" s="175"/>
      <c r="BD25" s="175"/>
      <c r="BE25" s="175"/>
      <c r="BF25" s="175"/>
      <c r="BG25" s="175"/>
      <c r="BH25" s="177"/>
      <c r="BI25" s="182"/>
      <c r="BJ25" s="175"/>
      <c r="BK25" s="175"/>
      <c r="BL25" s="175"/>
      <c r="BM25" s="175"/>
      <c r="BN25" s="175"/>
      <c r="BO25" s="175"/>
      <c r="BP25" s="175"/>
      <c r="BQ25" s="175"/>
      <c r="BR25" s="177"/>
      <c r="BT25" s="27"/>
    </row>
    <row r="26" spans="1:72" s="41" customFormat="1" ht="9" customHeight="1" x14ac:dyDescent="0.3">
      <c r="A26" s="234"/>
      <c r="B26" s="223"/>
      <c r="C26" s="223"/>
      <c r="D26" s="223"/>
      <c r="E26" s="223"/>
      <c r="F26" s="223"/>
      <c r="G26" s="223"/>
      <c r="H26" s="223"/>
      <c r="I26" s="223"/>
      <c r="J26" s="224"/>
      <c r="K26" s="207"/>
      <c r="L26" s="223"/>
      <c r="M26" s="223"/>
      <c r="N26" s="223"/>
      <c r="O26" s="223"/>
      <c r="P26" s="223"/>
      <c r="Q26" s="223"/>
      <c r="R26" s="223"/>
      <c r="S26" s="223"/>
      <c r="T26" s="224"/>
      <c r="U26" s="207"/>
      <c r="V26" s="223"/>
      <c r="W26" s="223"/>
      <c r="X26" s="223"/>
      <c r="Y26" s="223"/>
      <c r="Z26" s="223"/>
      <c r="AA26" s="223"/>
      <c r="AB26" s="223"/>
      <c r="AC26" s="223"/>
      <c r="AD26" s="224"/>
      <c r="AE26" s="207"/>
      <c r="AF26" s="223"/>
      <c r="AG26" s="223"/>
      <c r="AH26" s="223"/>
      <c r="AI26" s="223"/>
      <c r="AJ26" s="223"/>
      <c r="AK26" s="223"/>
      <c r="AL26" s="223"/>
      <c r="AM26" s="223"/>
      <c r="AN26" s="224"/>
      <c r="AO26" s="207"/>
      <c r="AP26" s="223"/>
      <c r="AQ26" s="223"/>
      <c r="AR26" s="223"/>
      <c r="AS26" s="223"/>
      <c r="AT26" s="223"/>
      <c r="AU26" s="223"/>
      <c r="AV26" s="223"/>
      <c r="AW26" s="223"/>
      <c r="AX26" s="224"/>
      <c r="AY26" s="204"/>
      <c r="AZ26" s="223"/>
      <c r="BA26" s="223"/>
      <c r="BB26" s="223"/>
      <c r="BC26" s="223"/>
      <c r="BD26" s="223"/>
      <c r="BE26" s="223"/>
      <c r="BF26" s="223"/>
      <c r="BG26" s="223"/>
      <c r="BH26" s="224"/>
      <c r="BI26" s="182"/>
      <c r="BJ26" s="223"/>
      <c r="BK26" s="223"/>
      <c r="BL26" s="223"/>
      <c r="BM26" s="223"/>
      <c r="BN26" s="223"/>
      <c r="BO26" s="223"/>
      <c r="BP26" s="223"/>
      <c r="BQ26" s="223"/>
      <c r="BR26" s="224"/>
      <c r="BT26" s="27"/>
    </row>
    <row r="27" spans="1:72" s="41" customFormat="1" ht="9" customHeight="1" x14ac:dyDescent="0.3">
      <c r="A27" s="203"/>
      <c r="B27" s="232"/>
      <c r="C27" s="223"/>
      <c r="D27" s="223"/>
      <c r="E27" s="223"/>
      <c r="F27" s="223"/>
      <c r="G27" s="223"/>
      <c r="H27" s="223"/>
      <c r="I27" s="223"/>
      <c r="J27" s="224"/>
      <c r="K27" s="207"/>
      <c r="L27" s="223"/>
      <c r="M27" s="223"/>
      <c r="N27" s="223"/>
      <c r="O27" s="223"/>
      <c r="P27" s="223"/>
      <c r="Q27" s="223"/>
      <c r="R27" s="223"/>
      <c r="S27" s="223"/>
      <c r="T27" s="224"/>
      <c r="U27" s="207"/>
      <c r="V27" s="223"/>
      <c r="W27" s="223"/>
      <c r="X27" s="223"/>
      <c r="Y27" s="223"/>
      <c r="Z27" s="223"/>
      <c r="AA27" s="223"/>
      <c r="AB27" s="223"/>
      <c r="AC27" s="223"/>
      <c r="AD27" s="224"/>
      <c r="AE27" s="207"/>
      <c r="AF27" s="223"/>
      <c r="AG27" s="223"/>
      <c r="AH27" s="223"/>
      <c r="AI27" s="223"/>
      <c r="AJ27" s="223"/>
      <c r="AK27" s="223"/>
      <c r="AL27" s="223"/>
      <c r="AM27" s="223"/>
      <c r="AN27" s="224"/>
      <c r="AO27" s="207"/>
      <c r="AP27" s="223"/>
      <c r="AQ27" s="223"/>
      <c r="AR27" s="223"/>
      <c r="AS27" s="223"/>
      <c r="AT27" s="223"/>
      <c r="AU27" s="223"/>
      <c r="AV27" s="223"/>
      <c r="AW27" s="223"/>
      <c r="AX27" s="224"/>
      <c r="AY27" s="204"/>
      <c r="AZ27" s="223"/>
      <c r="BA27" s="223"/>
      <c r="BB27" s="223"/>
      <c r="BC27" s="223"/>
      <c r="BD27" s="223"/>
      <c r="BE27" s="223"/>
      <c r="BF27" s="223"/>
      <c r="BG27" s="223"/>
      <c r="BH27" s="224"/>
      <c r="BI27" s="182"/>
      <c r="BJ27" s="223"/>
      <c r="BK27" s="223"/>
      <c r="BL27" s="223"/>
      <c r="BM27" s="223"/>
      <c r="BN27" s="223"/>
      <c r="BO27" s="223"/>
      <c r="BP27" s="223"/>
      <c r="BQ27" s="223"/>
      <c r="BR27" s="224"/>
      <c r="BT27" s="27"/>
    </row>
    <row r="28" spans="1:72" s="41" customFormat="1" ht="9" customHeight="1" x14ac:dyDescent="0.3">
      <c r="A28" s="203"/>
      <c r="B28" s="176"/>
      <c r="C28" s="175"/>
      <c r="D28" s="175"/>
      <c r="E28" s="175"/>
      <c r="F28" s="175"/>
      <c r="G28" s="175"/>
      <c r="H28" s="175"/>
      <c r="I28" s="175"/>
      <c r="J28" s="177"/>
      <c r="K28" s="207"/>
      <c r="L28" s="175"/>
      <c r="M28" s="175"/>
      <c r="N28" s="175"/>
      <c r="O28" s="175"/>
      <c r="P28" s="175"/>
      <c r="Q28" s="175"/>
      <c r="R28" s="175"/>
      <c r="S28" s="175"/>
      <c r="T28" s="177"/>
      <c r="U28" s="207"/>
      <c r="V28" s="175"/>
      <c r="W28" s="175"/>
      <c r="X28" s="175"/>
      <c r="Y28" s="175"/>
      <c r="Z28" s="175"/>
      <c r="AA28" s="175"/>
      <c r="AB28" s="175"/>
      <c r="AC28" s="175"/>
      <c r="AD28" s="177"/>
      <c r="AE28" s="207"/>
      <c r="AF28" s="175"/>
      <c r="AG28" s="175"/>
      <c r="AH28" s="175"/>
      <c r="AI28" s="175"/>
      <c r="AJ28" s="175"/>
      <c r="AK28" s="175"/>
      <c r="AL28" s="175"/>
      <c r="AM28" s="175"/>
      <c r="AN28" s="177"/>
      <c r="AO28" s="207"/>
      <c r="AP28" s="175"/>
      <c r="AQ28" s="175"/>
      <c r="AR28" s="175"/>
      <c r="AS28" s="175"/>
      <c r="AT28" s="175"/>
      <c r="AU28" s="175"/>
      <c r="AV28" s="175"/>
      <c r="AW28" s="175"/>
      <c r="AX28" s="177"/>
      <c r="AY28" s="204"/>
      <c r="AZ28" s="175"/>
      <c r="BA28" s="175"/>
      <c r="BB28" s="175"/>
      <c r="BC28" s="175"/>
      <c r="BD28" s="175"/>
      <c r="BE28" s="175"/>
      <c r="BF28" s="175"/>
      <c r="BG28" s="175"/>
      <c r="BH28" s="177"/>
      <c r="BI28" s="182"/>
      <c r="BJ28" s="175"/>
      <c r="BK28" s="175"/>
      <c r="BL28" s="175"/>
      <c r="BM28" s="175"/>
      <c r="BN28" s="175"/>
      <c r="BO28" s="175"/>
      <c r="BP28" s="175"/>
      <c r="BQ28" s="175"/>
      <c r="BR28" s="177"/>
      <c r="BT28" s="27"/>
    </row>
    <row r="29" spans="1:72" s="69" customFormat="1" ht="9" customHeight="1" x14ac:dyDescent="0.3">
      <c r="A29" s="215"/>
      <c r="B29" s="432" t="s">
        <v>416</v>
      </c>
      <c r="C29" s="432"/>
      <c r="D29" s="432"/>
      <c r="E29" s="432"/>
      <c r="F29" s="432"/>
      <c r="G29" s="433">
        <f>CEILING(2212*B3,1)</f>
        <v>3097</v>
      </c>
      <c r="H29" s="433"/>
      <c r="I29" s="433"/>
      <c r="J29" s="433"/>
      <c r="K29" s="190"/>
      <c r="L29" s="432" t="s">
        <v>416</v>
      </c>
      <c r="M29" s="432"/>
      <c r="N29" s="432"/>
      <c r="O29" s="432"/>
      <c r="P29" s="432"/>
      <c r="Q29" s="433">
        <f>CEILING(2583*B3,1)</f>
        <v>3617</v>
      </c>
      <c r="R29" s="433"/>
      <c r="S29" s="433"/>
      <c r="T29" s="433"/>
      <c r="U29" s="190"/>
      <c r="V29" s="432" t="s">
        <v>416</v>
      </c>
      <c r="W29" s="432"/>
      <c r="X29" s="432"/>
      <c r="Y29" s="432"/>
      <c r="Z29" s="432"/>
      <c r="AA29" s="433">
        <f>CEILING(3171*B3,1)</f>
        <v>4440</v>
      </c>
      <c r="AB29" s="433"/>
      <c r="AC29" s="433"/>
      <c r="AD29" s="433"/>
      <c r="AE29" s="190"/>
      <c r="AF29" s="432" t="s">
        <v>416</v>
      </c>
      <c r="AG29" s="432"/>
      <c r="AH29" s="432"/>
      <c r="AI29" s="432"/>
      <c r="AJ29" s="432"/>
      <c r="AK29" s="433">
        <f>CEILING(3811*B3,1)</f>
        <v>5336</v>
      </c>
      <c r="AL29" s="433"/>
      <c r="AM29" s="433"/>
      <c r="AN29" s="433"/>
      <c r="AO29" s="190"/>
      <c r="AP29" s="432" t="s">
        <v>416</v>
      </c>
      <c r="AQ29" s="432"/>
      <c r="AR29" s="432"/>
      <c r="AS29" s="432"/>
      <c r="AT29" s="432"/>
      <c r="AU29" s="433">
        <f>CEILING(3391*B3,1)</f>
        <v>4748</v>
      </c>
      <c r="AV29" s="433"/>
      <c r="AW29" s="433"/>
      <c r="AX29" s="433"/>
      <c r="AY29" s="190"/>
      <c r="AZ29" s="432" t="s">
        <v>416</v>
      </c>
      <c r="BA29" s="432"/>
      <c r="BB29" s="432"/>
      <c r="BC29" s="432"/>
      <c r="BD29" s="432"/>
      <c r="BE29" s="433">
        <f>CEILING(3243*B3,1)</f>
        <v>4541</v>
      </c>
      <c r="BF29" s="433"/>
      <c r="BG29" s="433"/>
      <c r="BH29" s="433"/>
      <c r="BI29" s="190"/>
      <c r="BJ29" s="432" t="s">
        <v>416</v>
      </c>
      <c r="BK29" s="432"/>
      <c r="BL29" s="432"/>
      <c r="BM29" s="432"/>
      <c r="BN29" s="432"/>
      <c r="BO29" s="433">
        <f>CEILING(3687*B3,1)</f>
        <v>5162</v>
      </c>
      <c r="BP29" s="433"/>
      <c r="BQ29" s="433"/>
      <c r="BR29" s="433"/>
    </row>
    <row r="30" spans="1:72" ht="1.5" customHeight="1" x14ac:dyDescent="0.3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216"/>
    </row>
    <row r="31" spans="1:72" s="41" customFormat="1" ht="9" customHeight="1" x14ac:dyDescent="0.3">
      <c r="A31" s="203"/>
      <c r="B31" s="429" t="s">
        <v>446</v>
      </c>
      <c r="C31" s="430"/>
      <c r="D31" s="431"/>
      <c r="E31" s="444" t="s">
        <v>445</v>
      </c>
      <c r="F31" s="445"/>
      <c r="G31" s="445"/>
      <c r="H31" s="445"/>
      <c r="I31" s="445"/>
      <c r="J31" s="446"/>
      <c r="K31" s="204"/>
      <c r="L31" s="429" t="s">
        <v>447</v>
      </c>
      <c r="M31" s="430"/>
      <c r="N31" s="431"/>
      <c r="O31" s="444" t="s">
        <v>445</v>
      </c>
      <c r="P31" s="445"/>
      <c r="Q31" s="445"/>
      <c r="R31" s="445"/>
      <c r="S31" s="445"/>
      <c r="T31" s="446"/>
      <c r="U31" s="204"/>
      <c r="V31" s="429" t="s">
        <v>448</v>
      </c>
      <c r="W31" s="430"/>
      <c r="X31" s="431"/>
      <c r="Y31" s="444" t="s">
        <v>445</v>
      </c>
      <c r="Z31" s="445"/>
      <c r="AA31" s="445"/>
      <c r="AB31" s="445"/>
      <c r="AC31" s="445"/>
      <c r="AD31" s="446"/>
      <c r="AE31" s="204"/>
      <c r="AF31" s="429" t="s">
        <v>449</v>
      </c>
      <c r="AG31" s="430"/>
      <c r="AH31" s="431"/>
      <c r="AI31" s="444" t="s">
        <v>445</v>
      </c>
      <c r="AJ31" s="445"/>
      <c r="AK31" s="445"/>
      <c r="AL31" s="445"/>
      <c r="AM31" s="445"/>
      <c r="AN31" s="446"/>
      <c r="AO31" s="204"/>
      <c r="AP31" s="429" t="s">
        <v>450</v>
      </c>
      <c r="AQ31" s="430"/>
      <c r="AR31" s="431"/>
      <c r="AS31" s="444" t="s">
        <v>445</v>
      </c>
      <c r="AT31" s="445"/>
      <c r="AU31" s="445"/>
      <c r="AV31" s="445"/>
      <c r="AW31" s="445"/>
      <c r="AX31" s="446"/>
      <c r="AY31" s="206"/>
      <c r="AZ31" s="429" t="s">
        <v>451</v>
      </c>
      <c r="BA31" s="430"/>
      <c r="BB31" s="431"/>
      <c r="BC31" s="444" t="s">
        <v>445</v>
      </c>
      <c r="BD31" s="445"/>
      <c r="BE31" s="445"/>
      <c r="BF31" s="445"/>
      <c r="BG31" s="445"/>
      <c r="BH31" s="446"/>
      <c r="BI31" s="204"/>
      <c r="BJ31" s="429" t="s">
        <v>452</v>
      </c>
      <c r="BK31" s="430"/>
      <c r="BL31" s="431"/>
      <c r="BM31" s="444" t="s">
        <v>445</v>
      </c>
      <c r="BN31" s="445"/>
      <c r="BO31" s="445"/>
      <c r="BP31" s="445"/>
      <c r="BQ31" s="445"/>
      <c r="BR31" s="446"/>
    </row>
    <row r="32" spans="1:72" s="34" customFormat="1" ht="9" customHeight="1" x14ac:dyDescent="0.3">
      <c r="A32" s="178"/>
      <c r="B32" s="232"/>
      <c r="C32" s="223"/>
      <c r="D32" s="223"/>
      <c r="E32" s="223"/>
      <c r="F32" s="223"/>
      <c r="G32" s="223"/>
      <c r="H32" s="223"/>
      <c r="I32" s="223"/>
      <c r="J32" s="224"/>
      <c r="K32" s="180"/>
      <c r="L32" s="232"/>
      <c r="M32" s="223"/>
      <c r="N32" s="223"/>
      <c r="O32" s="223"/>
      <c r="P32" s="223"/>
      <c r="Q32" s="223"/>
      <c r="R32" s="223"/>
      <c r="S32" s="223"/>
      <c r="T32" s="224"/>
      <c r="U32" s="180"/>
      <c r="V32" s="232"/>
      <c r="W32" s="223"/>
      <c r="X32" s="223"/>
      <c r="Y32" s="223"/>
      <c r="Z32" s="223"/>
      <c r="AA32" s="223"/>
      <c r="AB32" s="223"/>
      <c r="AC32" s="223"/>
      <c r="AD32" s="224"/>
      <c r="AE32" s="180"/>
      <c r="AF32" s="232"/>
      <c r="AG32" s="223"/>
      <c r="AH32" s="223"/>
      <c r="AI32" s="223"/>
      <c r="AJ32" s="223"/>
      <c r="AK32" s="223"/>
      <c r="AL32" s="223"/>
      <c r="AM32" s="223"/>
      <c r="AN32" s="224"/>
      <c r="AO32" s="180"/>
      <c r="AP32" s="232"/>
      <c r="AQ32" s="223"/>
      <c r="AR32" s="223"/>
      <c r="AS32" s="223"/>
      <c r="AT32" s="223"/>
      <c r="AU32" s="223"/>
      <c r="AV32" s="223"/>
      <c r="AW32" s="223"/>
      <c r="AX32" s="224"/>
      <c r="AY32" s="181"/>
      <c r="AZ32" s="232"/>
      <c r="BA32" s="223"/>
      <c r="BB32" s="223"/>
      <c r="BC32" s="223"/>
      <c r="BD32" s="223"/>
      <c r="BE32" s="223"/>
      <c r="BF32" s="223"/>
      <c r="BG32" s="223"/>
      <c r="BH32" s="224"/>
      <c r="BI32" s="180"/>
      <c r="BJ32" s="232"/>
      <c r="BK32" s="223"/>
      <c r="BL32" s="223"/>
      <c r="BM32" s="223"/>
      <c r="BN32" s="223"/>
      <c r="BO32" s="223"/>
      <c r="BP32" s="223"/>
      <c r="BQ32" s="223"/>
      <c r="BR32" s="224"/>
    </row>
    <row r="33" spans="1:72" ht="9" customHeight="1" x14ac:dyDescent="0.3">
      <c r="B33" s="176"/>
      <c r="C33" s="175"/>
      <c r="D33" s="175"/>
      <c r="E33" s="175"/>
      <c r="F33" s="175"/>
      <c r="G33" s="175"/>
      <c r="H33" s="175"/>
      <c r="I33" s="175"/>
      <c r="J33" s="177"/>
      <c r="K33" s="175"/>
      <c r="L33" s="176"/>
      <c r="M33" s="175"/>
      <c r="N33" s="175"/>
      <c r="O33" s="175"/>
      <c r="P33" s="175"/>
      <c r="Q33" s="175"/>
      <c r="R33" s="175"/>
      <c r="S33" s="175"/>
      <c r="T33" s="177"/>
      <c r="U33" s="175"/>
      <c r="V33" s="179"/>
      <c r="W33" s="180"/>
      <c r="X33" s="180"/>
      <c r="Y33" s="180"/>
      <c r="Z33" s="180"/>
      <c r="AA33" s="180"/>
      <c r="AB33" s="180"/>
      <c r="AC33" s="180"/>
      <c r="AD33" s="181"/>
      <c r="AE33" s="175"/>
      <c r="AF33" s="179"/>
      <c r="AG33" s="180"/>
      <c r="AH33" s="180"/>
      <c r="AI33" s="180"/>
      <c r="AJ33" s="180"/>
      <c r="AK33" s="180"/>
      <c r="AL33" s="180"/>
      <c r="AM33" s="180"/>
      <c r="AN33" s="181"/>
      <c r="AO33" s="177"/>
      <c r="AP33" s="179"/>
      <c r="AQ33" s="180"/>
      <c r="AR33" s="180"/>
      <c r="AS33" s="180"/>
      <c r="AT33" s="180"/>
      <c r="AU33" s="180"/>
      <c r="AV33" s="180"/>
      <c r="AW33" s="180"/>
      <c r="AX33" s="181"/>
      <c r="AY33" s="177"/>
      <c r="AZ33" s="179"/>
      <c r="BA33" s="180"/>
      <c r="BB33" s="180"/>
      <c r="BC33" s="180"/>
      <c r="BD33" s="180"/>
      <c r="BE33" s="180"/>
      <c r="BF33" s="180"/>
      <c r="BG33" s="180"/>
      <c r="BH33" s="181"/>
      <c r="BI33" s="175"/>
      <c r="BJ33" s="179"/>
      <c r="BK33" s="180"/>
      <c r="BL33" s="180"/>
      <c r="BM33" s="180"/>
      <c r="BN33" s="180"/>
      <c r="BO33" s="180"/>
      <c r="BP33" s="180"/>
      <c r="BQ33" s="180"/>
      <c r="BR33" s="181"/>
    </row>
    <row r="34" spans="1:72" ht="9" customHeight="1" x14ac:dyDescent="0.3">
      <c r="B34" s="176"/>
      <c r="C34" s="175"/>
      <c r="D34" s="175"/>
      <c r="E34" s="175"/>
      <c r="F34" s="175"/>
      <c r="G34" s="175"/>
      <c r="H34" s="175"/>
      <c r="I34" s="175"/>
      <c r="J34" s="177"/>
      <c r="K34" s="175"/>
      <c r="L34" s="176"/>
      <c r="M34" s="175"/>
      <c r="N34" s="175"/>
      <c r="O34" s="175"/>
      <c r="P34" s="175"/>
      <c r="Q34" s="175"/>
      <c r="R34" s="175"/>
      <c r="S34" s="175"/>
      <c r="T34" s="177"/>
      <c r="U34" s="175"/>
      <c r="V34" s="179"/>
      <c r="W34" s="180"/>
      <c r="X34" s="180"/>
      <c r="Y34" s="180"/>
      <c r="Z34" s="180"/>
      <c r="AA34" s="180"/>
      <c r="AB34" s="180"/>
      <c r="AC34" s="180"/>
      <c r="AD34" s="181"/>
      <c r="AE34" s="175"/>
      <c r="AF34" s="179"/>
      <c r="AG34" s="180"/>
      <c r="AH34" s="180"/>
      <c r="AI34" s="180"/>
      <c r="AJ34" s="180"/>
      <c r="AK34" s="180"/>
      <c r="AL34" s="180"/>
      <c r="AM34" s="180"/>
      <c r="AN34" s="181"/>
      <c r="AO34" s="177"/>
      <c r="AP34" s="179"/>
      <c r="AQ34" s="180"/>
      <c r="AR34" s="180"/>
      <c r="AS34" s="180"/>
      <c r="AT34" s="180"/>
      <c r="AU34" s="180"/>
      <c r="AV34" s="180"/>
      <c r="AW34" s="180"/>
      <c r="AX34" s="181"/>
      <c r="AY34" s="177"/>
      <c r="AZ34" s="179"/>
      <c r="BA34" s="180"/>
      <c r="BB34" s="180"/>
      <c r="BC34" s="180"/>
      <c r="BD34" s="180"/>
      <c r="BE34" s="180"/>
      <c r="BF34" s="180"/>
      <c r="BG34" s="180"/>
      <c r="BH34" s="181"/>
      <c r="BI34" s="175"/>
      <c r="BJ34" s="179"/>
      <c r="BK34" s="180"/>
      <c r="BL34" s="180"/>
      <c r="BM34" s="180"/>
      <c r="BN34" s="180"/>
      <c r="BO34" s="180"/>
      <c r="BP34" s="180"/>
      <c r="BQ34" s="180"/>
      <c r="BR34" s="181"/>
    </row>
    <row r="35" spans="1:72" ht="9.75" customHeight="1" x14ac:dyDescent="0.3">
      <c r="B35" s="176"/>
      <c r="C35" s="175"/>
      <c r="D35" s="175"/>
      <c r="E35" s="175"/>
      <c r="F35" s="175"/>
      <c r="G35" s="175"/>
      <c r="H35" s="175"/>
      <c r="I35" s="175"/>
      <c r="J35" s="177"/>
      <c r="K35" s="175"/>
      <c r="L35" s="176"/>
      <c r="M35" s="175"/>
      <c r="N35" s="175"/>
      <c r="O35" s="175"/>
      <c r="P35" s="175"/>
      <c r="Q35" s="175"/>
      <c r="R35" s="175"/>
      <c r="S35" s="175"/>
      <c r="T35" s="177"/>
      <c r="U35" s="175"/>
      <c r="V35" s="176"/>
      <c r="W35" s="175"/>
      <c r="X35" s="175"/>
      <c r="Y35" s="175"/>
      <c r="Z35" s="175"/>
      <c r="AA35" s="175"/>
      <c r="AB35" s="175"/>
      <c r="AC35" s="175"/>
      <c r="AD35" s="177"/>
      <c r="AE35" s="175"/>
      <c r="AF35" s="176"/>
      <c r="AG35" s="175"/>
      <c r="AH35" s="175"/>
      <c r="AI35" s="175"/>
      <c r="AJ35" s="175"/>
      <c r="AK35" s="175"/>
      <c r="AL35" s="175"/>
      <c r="AM35" s="175"/>
      <c r="AN35" s="177"/>
      <c r="AO35" s="177"/>
      <c r="AP35" s="176"/>
      <c r="AQ35" s="175"/>
      <c r="AR35" s="175"/>
      <c r="AS35" s="175"/>
      <c r="AT35" s="175"/>
      <c r="AU35" s="175"/>
      <c r="AV35" s="175"/>
      <c r="AW35" s="175"/>
      <c r="AX35" s="177"/>
      <c r="AY35" s="177"/>
      <c r="AZ35" s="176"/>
      <c r="BA35" s="175"/>
      <c r="BB35" s="175"/>
      <c r="BC35" s="175"/>
      <c r="BD35" s="175"/>
      <c r="BE35" s="175"/>
      <c r="BF35" s="175"/>
      <c r="BG35" s="175"/>
      <c r="BH35" s="177"/>
      <c r="BI35" s="175"/>
      <c r="BJ35" s="176"/>
      <c r="BK35" s="175"/>
      <c r="BL35" s="175"/>
      <c r="BM35" s="175"/>
      <c r="BN35" s="175"/>
      <c r="BO35" s="175"/>
      <c r="BP35" s="175"/>
      <c r="BQ35" s="175"/>
      <c r="BR35" s="177"/>
    </row>
    <row r="36" spans="1:72" ht="9.75" customHeight="1" x14ac:dyDescent="0.3">
      <c r="B36" s="176"/>
      <c r="C36" s="175"/>
      <c r="D36" s="175"/>
      <c r="E36" s="175"/>
      <c r="F36" s="175"/>
      <c r="G36" s="175"/>
      <c r="H36" s="175"/>
      <c r="I36" s="175"/>
      <c r="J36" s="177"/>
      <c r="K36" s="175"/>
      <c r="L36" s="176"/>
      <c r="M36" s="175"/>
      <c r="N36" s="175"/>
      <c r="O36" s="175"/>
      <c r="P36" s="175"/>
      <c r="Q36" s="175"/>
      <c r="R36" s="175"/>
      <c r="S36" s="175"/>
      <c r="T36" s="177"/>
      <c r="U36" s="175"/>
      <c r="V36" s="176"/>
      <c r="W36" s="175"/>
      <c r="X36" s="175"/>
      <c r="Y36" s="175"/>
      <c r="Z36" s="175"/>
      <c r="AA36" s="175"/>
      <c r="AB36" s="175"/>
      <c r="AC36" s="175"/>
      <c r="AD36" s="177"/>
      <c r="AE36" s="175"/>
      <c r="AF36" s="176"/>
      <c r="AG36" s="175"/>
      <c r="AH36" s="175"/>
      <c r="AI36" s="175"/>
      <c r="AJ36" s="175"/>
      <c r="AK36" s="175"/>
      <c r="AL36" s="175"/>
      <c r="AM36" s="175"/>
      <c r="AN36" s="177"/>
      <c r="AO36" s="177"/>
      <c r="AP36" s="176"/>
      <c r="AQ36" s="175"/>
      <c r="AR36" s="175"/>
      <c r="AS36" s="175"/>
      <c r="AT36" s="175"/>
      <c r="AU36" s="175"/>
      <c r="AV36" s="175"/>
      <c r="AW36" s="175"/>
      <c r="AX36" s="177"/>
      <c r="AY36" s="177"/>
      <c r="AZ36" s="176"/>
      <c r="BA36" s="175"/>
      <c r="BB36" s="175"/>
      <c r="BC36" s="175"/>
      <c r="BD36" s="175"/>
      <c r="BE36" s="175"/>
      <c r="BF36" s="175"/>
      <c r="BG36" s="175"/>
      <c r="BH36" s="177"/>
      <c r="BI36" s="175"/>
      <c r="BJ36" s="176"/>
      <c r="BK36" s="175"/>
      <c r="BL36" s="175"/>
      <c r="BM36" s="175"/>
      <c r="BN36" s="175"/>
      <c r="BO36" s="175"/>
      <c r="BP36" s="175"/>
      <c r="BQ36" s="175"/>
      <c r="BR36" s="177"/>
    </row>
    <row r="37" spans="1:72" ht="9.75" customHeight="1" x14ac:dyDescent="0.3">
      <c r="B37" s="176"/>
      <c r="C37" s="175"/>
      <c r="D37" s="175"/>
      <c r="E37" s="175"/>
      <c r="F37" s="175"/>
      <c r="G37" s="175"/>
      <c r="H37" s="175"/>
      <c r="I37" s="175"/>
      <c r="J37" s="177"/>
      <c r="K37" s="175"/>
      <c r="L37" s="176"/>
      <c r="M37" s="175"/>
      <c r="N37" s="175"/>
      <c r="O37" s="175"/>
      <c r="P37" s="175"/>
      <c r="Q37" s="175"/>
      <c r="R37" s="175"/>
      <c r="S37" s="175"/>
      <c r="T37" s="177"/>
      <c r="U37" s="175"/>
      <c r="V37" s="176"/>
      <c r="W37" s="175"/>
      <c r="X37" s="175"/>
      <c r="Y37" s="175"/>
      <c r="Z37" s="175"/>
      <c r="AA37" s="175"/>
      <c r="AB37" s="175"/>
      <c r="AC37" s="175"/>
      <c r="AD37" s="177"/>
      <c r="AE37" s="175"/>
      <c r="AF37" s="176"/>
      <c r="AG37" s="175"/>
      <c r="AH37" s="175"/>
      <c r="AI37" s="175"/>
      <c r="AJ37" s="175"/>
      <c r="AK37" s="175"/>
      <c r="AL37" s="175"/>
      <c r="AM37" s="175"/>
      <c r="AN37" s="177"/>
      <c r="AO37" s="177"/>
      <c r="AP37" s="176"/>
      <c r="AQ37" s="175"/>
      <c r="AR37" s="175"/>
      <c r="AS37" s="175"/>
      <c r="AT37" s="175"/>
      <c r="AU37" s="175"/>
      <c r="AV37" s="175"/>
      <c r="AW37" s="175"/>
      <c r="AX37" s="177"/>
      <c r="AY37" s="177"/>
      <c r="AZ37" s="176"/>
      <c r="BA37" s="175"/>
      <c r="BB37" s="175"/>
      <c r="BC37" s="175"/>
      <c r="BD37" s="175"/>
      <c r="BE37" s="175"/>
      <c r="BF37" s="175"/>
      <c r="BG37" s="175"/>
      <c r="BH37" s="177"/>
      <c r="BI37" s="175"/>
      <c r="BJ37" s="176"/>
      <c r="BK37" s="175"/>
      <c r="BL37" s="175"/>
      <c r="BM37" s="175"/>
      <c r="BN37" s="175"/>
      <c r="BO37" s="175"/>
      <c r="BP37" s="175"/>
      <c r="BQ37" s="175"/>
      <c r="BR37" s="177"/>
    </row>
    <row r="38" spans="1:72" s="41" customFormat="1" ht="9" customHeight="1" x14ac:dyDescent="0.3">
      <c r="A38" s="203"/>
      <c r="B38" s="205"/>
      <c r="C38" s="204"/>
      <c r="D38" s="204"/>
      <c r="E38" s="204"/>
      <c r="F38" s="204"/>
      <c r="G38" s="204"/>
      <c r="H38" s="204"/>
      <c r="I38" s="204"/>
      <c r="J38" s="206"/>
      <c r="K38" s="204"/>
      <c r="L38" s="205"/>
      <c r="M38" s="204"/>
      <c r="N38" s="204"/>
      <c r="O38" s="204"/>
      <c r="P38" s="204"/>
      <c r="Q38" s="204"/>
      <c r="R38" s="204"/>
      <c r="S38" s="204"/>
      <c r="T38" s="206"/>
      <c r="U38" s="182"/>
      <c r="V38" s="205"/>
      <c r="W38" s="204"/>
      <c r="X38" s="204"/>
      <c r="Y38" s="204"/>
      <c r="Z38" s="204"/>
      <c r="AA38" s="204"/>
      <c r="AB38" s="204"/>
      <c r="AC38" s="204"/>
      <c r="AD38" s="206"/>
      <c r="AE38" s="204"/>
      <c r="AF38" s="205"/>
      <c r="AG38" s="204"/>
      <c r="AH38" s="204"/>
      <c r="AI38" s="204"/>
      <c r="AJ38" s="204"/>
      <c r="AK38" s="204"/>
      <c r="AL38" s="204"/>
      <c r="AM38" s="204"/>
      <c r="AN38" s="206"/>
      <c r="AO38" s="206"/>
      <c r="AP38" s="205"/>
      <c r="AQ38" s="204"/>
      <c r="AR38" s="204"/>
      <c r="AS38" s="204"/>
      <c r="AT38" s="204"/>
      <c r="AU38" s="204"/>
      <c r="AV38" s="204"/>
      <c r="AW38" s="204"/>
      <c r="AX38" s="206"/>
      <c r="AY38" s="206"/>
      <c r="AZ38" s="205"/>
      <c r="BA38" s="204"/>
      <c r="BB38" s="204"/>
      <c r="BC38" s="204"/>
      <c r="BD38" s="204"/>
      <c r="BE38" s="204"/>
      <c r="BF38" s="204"/>
      <c r="BG38" s="204"/>
      <c r="BH38" s="206"/>
      <c r="BI38" s="204"/>
      <c r="BJ38" s="205"/>
      <c r="BK38" s="204"/>
      <c r="BL38" s="204"/>
      <c r="BM38" s="204"/>
      <c r="BN38" s="204"/>
      <c r="BO38" s="204"/>
      <c r="BP38" s="204"/>
      <c r="BQ38" s="204"/>
      <c r="BR38" s="206"/>
      <c r="BT38" s="27"/>
    </row>
    <row r="39" spans="1:72" s="41" customFormat="1" ht="9" customHeight="1" x14ac:dyDescent="0.3">
      <c r="A39" s="203"/>
      <c r="B39" s="205"/>
      <c r="C39" s="204"/>
      <c r="D39" s="204"/>
      <c r="E39" s="204"/>
      <c r="F39" s="204"/>
      <c r="G39" s="204"/>
      <c r="H39" s="204"/>
      <c r="I39" s="204"/>
      <c r="J39" s="206"/>
      <c r="K39" s="204"/>
      <c r="L39" s="205"/>
      <c r="M39" s="204"/>
      <c r="N39" s="204"/>
      <c r="O39" s="204"/>
      <c r="P39" s="204"/>
      <c r="Q39" s="204"/>
      <c r="R39" s="204"/>
      <c r="S39" s="204"/>
      <c r="T39" s="206"/>
      <c r="U39" s="182"/>
      <c r="V39" s="205"/>
      <c r="W39" s="204"/>
      <c r="X39" s="204"/>
      <c r="Y39" s="204"/>
      <c r="Z39" s="204"/>
      <c r="AA39" s="204"/>
      <c r="AB39" s="204"/>
      <c r="AC39" s="204"/>
      <c r="AD39" s="206"/>
      <c r="AE39" s="204"/>
      <c r="AF39" s="205"/>
      <c r="AG39" s="204"/>
      <c r="AH39" s="204"/>
      <c r="AI39" s="204"/>
      <c r="AJ39" s="204"/>
      <c r="AK39" s="204"/>
      <c r="AL39" s="204"/>
      <c r="AM39" s="204"/>
      <c r="AN39" s="206"/>
      <c r="AO39" s="206"/>
      <c r="AP39" s="205"/>
      <c r="AQ39" s="204"/>
      <c r="AR39" s="204"/>
      <c r="AS39" s="204"/>
      <c r="AT39" s="204"/>
      <c r="AU39" s="204"/>
      <c r="AV39" s="204"/>
      <c r="AW39" s="204"/>
      <c r="AX39" s="206"/>
      <c r="AY39" s="206"/>
      <c r="AZ39" s="205"/>
      <c r="BA39" s="204"/>
      <c r="BB39" s="204"/>
      <c r="BC39" s="204"/>
      <c r="BD39" s="204"/>
      <c r="BE39" s="204"/>
      <c r="BF39" s="204"/>
      <c r="BG39" s="204"/>
      <c r="BH39" s="206"/>
      <c r="BI39" s="204"/>
      <c r="BJ39" s="205"/>
      <c r="BK39" s="204"/>
      <c r="BL39" s="204"/>
      <c r="BM39" s="204"/>
      <c r="BN39" s="204"/>
      <c r="BO39" s="204"/>
      <c r="BP39" s="204"/>
      <c r="BQ39" s="204"/>
      <c r="BR39" s="206"/>
      <c r="BT39" s="27"/>
    </row>
    <row r="40" spans="1:72" s="41" customFormat="1" ht="9" customHeight="1" x14ac:dyDescent="0.3">
      <c r="A40" s="203"/>
      <c r="B40" s="205"/>
      <c r="C40" s="204"/>
      <c r="D40" s="204"/>
      <c r="E40" s="204"/>
      <c r="F40" s="204"/>
      <c r="G40" s="204"/>
      <c r="H40" s="204"/>
      <c r="I40" s="204"/>
      <c r="J40" s="206"/>
      <c r="K40" s="204"/>
      <c r="L40" s="205"/>
      <c r="M40" s="204"/>
      <c r="N40" s="204"/>
      <c r="O40" s="204"/>
      <c r="P40" s="204"/>
      <c r="Q40" s="204"/>
      <c r="R40" s="204"/>
      <c r="S40" s="204"/>
      <c r="T40" s="206"/>
      <c r="U40" s="182"/>
      <c r="V40" s="205"/>
      <c r="W40" s="204"/>
      <c r="X40" s="204"/>
      <c r="Y40" s="204"/>
      <c r="Z40" s="204"/>
      <c r="AA40" s="204"/>
      <c r="AB40" s="204"/>
      <c r="AC40" s="204"/>
      <c r="AD40" s="206"/>
      <c r="AE40" s="204"/>
      <c r="AF40" s="205"/>
      <c r="AG40" s="204"/>
      <c r="AH40" s="204"/>
      <c r="AI40" s="204"/>
      <c r="AJ40" s="204"/>
      <c r="AK40" s="204"/>
      <c r="AL40" s="204"/>
      <c r="AM40" s="204"/>
      <c r="AN40" s="206"/>
      <c r="AO40" s="206"/>
      <c r="AP40" s="205"/>
      <c r="AQ40" s="204"/>
      <c r="AR40" s="204"/>
      <c r="AS40" s="204"/>
      <c r="AT40" s="204"/>
      <c r="AU40" s="204"/>
      <c r="AV40" s="204"/>
      <c r="AW40" s="204"/>
      <c r="AX40" s="206"/>
      <c r="AY40" s="206"/>
      <c r="AZ40" s="205"/>
      <c r="BA40" s="204"/>
      <c r="BB40" s="204"/>
      <c r="BC40" s="204"/>
      <c r="BD40" s="204"/>
      <c r="BE40" s="204"/>
      <c r="BF40" s="204"/>
      <c r="BG40" s="204"/>
      <c r="BH40" s="206"/>
      <c r="BI40" s="204"/>
      <c r="BJ40" s="205"/>
      <c r="BK40" s="204"/>
      <c r="BL40" s="204"/>
      <c r="BM40" s="204"/>
      <c r="BN40" s="204"/>
      <c r="BO40" s="204"/>
      <c r="BP40" s="204"/>
      <c r="BQ40" s="204"/>
      <c r="BR40" s="206"/>
      <c r="BT40" s="27"/>
    </row>
    <row r="41" spans="1:72" s="41" customFormat="1" ht="9" customHeight="1" x14ac:dyDescent="0.3">
      <c r="A41" s="203"/>
      <c r="B41" s="205"/>
      <c r="C41" s="204"/>
      <c r="D41" s="204"/>
      <c r="E41" s="204"/>
      <c r="F41" s="204"/>
      <c r="G41" s="204"/>
      <c r="H41" s="204"/>
      <c r="I41" s="204"/>
      <c r="J41" s="206"/>
      <c r="K41" s="204"/>
      <c r="L41" s="205"/>
      <c r="M41" s="204"/>
      <c r="N41" s="204"/>
      <c r="O41" s="204"/>
      <c r="P41" s="204"/>
      <c r="Q41" s="204"/>
      <c r="R41" s="204"/>
      <c r="S41" s="204"/>
      <c r="T41" s="206"/>
      <c r="U41" s="182"/>
      <c r="V41" s="205"/>
      <c r="W41" s="204"/>
      <c r="X41" s="204"/>
      <c r="Y41" s="204"/>
      <c r="Z41" s="204"/>
      <c r="AA41" s="204"/>
      <c r="AB41" s="204"/>
      <c r="AC41" s="204"/>
      <c r="AD41" s="206"/>
      <c r="AE41" s="204"/>
      <c r="AF41" s="205"/>
      <c r="AG41" s="204"/>
      <c r="AH41" s="204"/>
      <c r="AI41" s="204"/>
      <c r="AJ41" s="204"/>
      <c r="AK41" s="204"/>
      <c r="AL41" s="204"/>
      <c r="AM41" s="204"/>
      <c r="AN41" s="206"/>
      <c r="AO41" s="206"/>
      <c r="AP41" s="205"/>
      <c r="AQ41" s="204"/>
      <c r="AR41" s="204"/>
      <c r="AS41" s="204"/>
      <c r="AT41" s="204"/>
      <c r="AU41" s="204"/>
      <c r="AV41" s="204"/>
      <c r="AW41" s="204"/>
      <c r="AX41" s="206"/>
      <c r="AY41" s="206"/>
      <c r="AZ41" s="205"/>
      <c r="BA41" s="204"/>
      <c r="BB41" s="204"/>
      <c r="BC41" s="204"/>
      <c r="BD41" s="204"/>
      <c r="BE41" s="204"/>
      <c r="BF41" s="204"/>
      <c r="BG41" s="204"/>
      <c r="BH41" s="206"/>
      <c r="BI41" s="204"/>
      <c r="BJ41" s="205"/>
      <c r="BK41" s="204"/>
      <c r="BL41" s="204"/>
      <c r="BM41" s="204"/>
      <c r="BN41" s="204"/>
      <c r="BO41" s="204"/>
      <c r="BP41" s="204"/>
      <c r="BQ41" s="204"/>
      <c r="BR41" s="206"/>
      <c r="BT41" s="27"/>
    </row>
    <row r="42" spans="1:72" s="41" customFormat="1" ht="9" customHeight="1" x14ac:dyDescent="0.3">
      <c r="A42" s="203"/>
      <c r="B42" s="176"/>
      <c r="C42" s="175"/>
      <c r="D42" s="175"/>
      <c r="E42" s="175"/>
      <c r="F42" s="175"/>
      <c r="G42" s="175"/>
      <c r="H42" s="175"/>
      <c r="I42" s="175"/>
      <c r="J42" s="177"/>
      <c r="K42" s="204"/>
      <c r="L42" s="205"/>
      <c r="M42" s="204"/>
      <c r="N42" s="204"/>
      <c r="O42" s="204"/>
      <c r="P42" s="204"/>
      <c r="Q42" s="204"/>
      <c r="R42" s="204"/>
      <c r="S42" s="204"/>
      <c r="T42" s="206"/>
      <c r="U42" s="182"/>
      <c r="V42" s="205"/>
      <c r="W42" s="204"/>
      <c r="X42" s="204"/>
      <c r="Y42" s="204"/>
      <c r="Z42" s="204"/>
      <c r="AA42" s="204"/>
      <c r="AB42" s="204"/>
      <c r="AC42" s="204"/>
      <c r="AD42" s="206"/>
      <c r="AE42" s="204"/>
      <c r="AF42" s="205"/>
      <c r="AG42" s="204"/>
      <c r="AH42" s="204"/>
      <c r="AI42" s="204"/>
      <c r="AJ42" s="204"/>
      <c r="AK42" s="204"/>
      <c r="AL42" s="204"/>
      <c r="AM42" s="204"/>
      <c r="AN42" s="206"/>
      <c r="AO42" s="206"/>
      <c r="AP42" s="205"/>
      <c r="AQ42" s="204"/>
      <c r="AR42" s="204"/>
      <c r="AS42" s="204"/>
      <c r="AT42" s="204"/>
      <c r="AU42" s="204"/>
      <c r="AV42" s="204"/>
      <c r="AW42" s="204"/>
      <c r="AX42" s="206"/>
      <c r="AY42" s="206"/>
      <c r="AZ42" s="205"/>
      <c r="BA42" s="204"/>
      <c r="BB42" s="204"/>
      <c r="BC42" s="204"/>
      <c r="BD42" s="204"/>
      <c r="BE42" s="204"/>
      <c r="BF42" s="204"/>
      <c r="BG42" s="204"/>
      <c r="BH42" s="206"/>
      <c r="BI42" s="204"/>
      <c r="BJ42" s="205"/>
      <c r="BK42" s="204"/>
      <c r="BL42" s="204"/>
      <c r="BM42" s="204"/>
      <c r="BN42" s="204"/>
      <c r="BO42" s="204"/>
      <c r="BP42" s="204"/>
      <c r="BQ42" s="204"/>
      <c r="BR42" s="206"/>
      <c r="BT42" s="27"/>
    </row>
    <row r="43" spans="1:72" s="41" customFormat="1" ht="9" customHeight="1" x14ac:dyDescent="0.3">
      <c r="A43" s="203"/>
      <c r="B43" s="205"/>
      <c r="C43" s="204"/>
      <c r="D43" s="204"/>
      <c r="E43" s="204"/>
      <c r="F43" s="204"/>
      <c r="G43" s="204"/>
      <c r="H43" s="204"/>
      <c r="I43" s="204"/>
      <c r="J43" s="206"/>
      <c r="K43" s="204"/>
      <c r="L43" s="205"/>
      <c r="M43" s="204"/>
      <c r="N43" s="204"/>
      <c r="O43" s="204"/>
      <c r="P43" s="204"/>
      <c r="Q43" s="204"/>
      <c r="R43" s="204"/>
      <c r="S43" s="204"/>
      <c r="T43" s="206"/>
      <c r="U43" s="175"/>
      <c r="V43" s="176"/>
      <c r="W43" s="175"/>
      <c r="X43" s="175"/>
      <c r="Y43" s="175"/>
      <c r="Z43" s="175"/>
      <c r="AA43" s="175"/>
      <c r="AB43" s="175"/>
      <c r="AC43" s="175"/>
      <c r="AD43" s="177"/>
      <c r="AE43" s="204"/>
      <c r="AF43" s="176"/>
      <c r="AG43" s="175"/>
      <c r="AH43" s="175"/>
      <c r="AI43" s="175"/>
      <c r="AJ43" s="175"/>
      <c r="AK43" s="175"/>
      <c r="AL43" s="175"/>
      <c r="AM43" s="175"/>
      <c r="AN43" s="177"/>
      <c r="AO43" s="206"/>
      <c r="AP43" s="176"/>
      <c r="AQ43" s="175"/>
      <c r="AR43" s="175"/>
      <c r="AS43" s="175"/>
      <c r="AT43" s="175"/>
      <c r="AU43" s="175"/>
      <c r="AV43" s="175"/>
      <c r="AW43" s="175"/>
      <c r="AX43" s="177"/>
      <c r="AY43" s="204"/>
      <c r="AZ43" s="176"/>
      <c r="BA43" s="175"/>
      <c r="BB43" s="175"/>
      <c r="BC43" s="175"/>
      <c r="BD43" s="175"/>
      <c r="BE43" s="175"/>
      <c r="BF43" s="175"/>
      <c r="BG43" s="175"/>
      <c r="BH43" s="177"/>
      <c r="BI43" s="204"/>
      <c r="BJ43" s="176"/>
      <c r="BK43" s="175"/>
      <c r="BL43" s="175"/>
      <c r="BM43" s="175"/>
      <c r="BN43" s="175"/>
      <c r="BO43" s="175"/>
      <c r="BP43" s="175"/>
      <c r="BQ43" s="175"/>
      <c r="BR43" s="177"/>
      <c r="BT43" s="27"/>
    </row>
    <row r="44" spans="1:72" s="69" customFormat="1" ht="9" customHeight="1" x14ac:dyDescent="0.3">
      <c r="A44" s="215"/>
      <c r="B44" s="432" t="s">
        <v>420</v>
      </c>
      <c r="C44" s="432"/>
      <c r="D44" s="432"/>
      <c r="E44" s="432"/>
      <c r="F44" s="432"/>
      <c r="G44" s="433">
        <f>CEILING(2374*B3,1)</f>
        <v>3324</v>
      </c>
      <c r="H44" s="433"/>
      <c r="I44" s="433"/>
      <c r="J44" s="433"/>
      <c r="K44" s="190"/>
      <c r="L44" s="432" t="s">
        <v>420</v>
      </c>
      <c r="M44" s="432"/>
      <c r="N44" s="432"/>
      <c r="O44" s="432"/>
      <c r="P44" s="432"/>
      <c r="Q44" s="433">
        <f>CEILING(2730*B3,1)</f>
        <v>3822</v>
      </c>
      <c r="R44" s="433"/>
      <c r="S44" s="433"/>
      <c r="T44" s="433"/>
      <c r="U44" s="183"/>
      <c r="V44" s="432" t="s">
        <v>420</v>
      </c>
      <c r="W44" s="432"/>
      <c r="X44" s="432"/>
      <c r="Y44" s="432"/>
      <c r="Z44" s="432"/>
      <c r="AA44" s="433">
        <f>CEILING(3197*B3,1)</f>
        <v>4476</v>
      </c>
      <c r="AB44" s="433"/>
      <c r="AC44" s="433"/>
      <c r="AD44" s="433"/>
      <c r="AE44" s="190"/>
      <c r="AF44" s="432" t="s">
        <v>420</v>
      </c>
      <c r="AG44" s="432"/>
      <c r="AH44" s="432"/>
      <c r="AI44" s="432"/>
      <c r="AJ44" s="432"/>
      <c r="AK44" s="433">
        <f>CEILING(3368*B3,1)</f>
        <v>4716</v>
      </c>
      <c r="AL44" s="433"/>
      <c r="AM44" s="433"/>
      <c r="AN44" s="433"/>
      <c r="AO44" s="190"/>
      <c r="AP44" s="432" t="s">
        <v>420</v>
      </c>
      <c r="AQ44" s="432"/>
      <c r="AR44" s="432"/>
      <c r="AS44" s="432"/>
      <c r="AT44" s="432"/>
      <c r="AU44" s="433">
        <f>CEILING(3368*B3,1)</f>
        <v>4716</v>
      </c>
      <c r="AV44" s="433"/>
      <c r="AW44" s="433"/>
      <c r="AX44" s="433"/>
      <c r="AY44" s="190"/>
      <c r="AZ44" s="432" t="s">
        <v>420</v>
      </c>
      <c r="BA44" s="432"/>
      <c r="BB44" s="432"/>
      <c r="BC44" s="432"/>
      <c r="BD44" s="432"/>
      <c r="BE44" s="433">
        <f>CEILING(3751*B3,1)</f>
        <v>5252</v>
      </c>
      <c r="BF44" s="433"/>
      <c r="BG44" s="433"/>
      <c r="BH44" s="433"/>
      <c r="BI44" s="190"/>
      <c r="BJ44" s="432" t="s">
        <v>420</v>
      </c>
      <c r="BK44" s="432"/>
      <c r="BL44" s="432"/>
      <c r="BM44" s="432"/>
      <c r="BN44" s="432"/>
      <c r="BO44" s="433">
        <f>CEILING(4105*B3,1)</f>
        <v>5747</v>
      </c>
      <c r="BP44" s="433"/>
      <c r="BQ44" s="433"/>
      <c r="BR44" s="433"/>
      <c r="BT44" s="66"/>
    </row>
    <row r="45" spans="1:72" s="69" customFormat="1" ht="9" customHeight="1" x14ac:dyDescent="0.3">
      <c r="A45" s="215"/>
      <c r="B45" s="432" t="s">
        <v>425</v>
      </c>
      <c r="C45" s="432"/>
      <c r="D45" s="432"/>
      <c r="E45" s="432"/>
      <c r="F45" s="432"/>
      <c r="G45" s="433">
        <f>CEILING(2617*B3,1)</f>
        <v>3664</v>
      </c>
      <c r="H45" s="433"/>
      <c r="I45" s="433"/>
      <c r="J45" s="433"/>
      <c r="K45" s="190"/>
      <c r="L45" s="432" t="s">
        <v>425</v>
      </c>
      <c r="M45" s="432"/>
      <c r="N45" s="432"/>
      <c r="O45" s="432"/>
      <c r="P45" s="432"/>
      <c r="Q45" s="433">
        <f>CEILING(2976*B3,1)</f>
        <v>4167</v>
      </c>
      <c r="R45" s="433"/>
      <c r="S45" s="433"/>
      <c r="T45" s="433"/>
      <c r="U45" s="183"/>
      <c r="V45" s="432" t="s">
        <v>425</v>
      </c>
      <c r="W45" s="432"/>
      <c r="X45" s="432"/>
      <c r="Y45" s="432"/>
      <c r="Z45" s="432"/>
      <c r="AA45" s="433">
        <f>CEILING(3439*B3,1)</f>
        <v>4815</v>
      </c>
      <c r="AB45" s="433"/>
      <c r="AC45" s="433"/>
      <c r="AD45" s="433"/>
      <c r="AE45" s="190"/>
      <c r="AF45" s="432" t="s">
        <v>425</v>
      </c>
      <c r="AG45" s="432"/>
      <c r="AH45" s="432"/>
      <c r="AI45" s="432"/>
      <c r="AJ45" s="432"/>
      <c r="AK45" s="433">
        <f>CEILING(3515*B3,1)</f>
        <v>4921</v>
      </c>
      <c r="AL45" s="433"/>
      <c r="AM45" s="433"/>
      <c r="AN45" s="433"/>
      <c r="AO45" s="190"/>
      <c r="AP45" s="432" t="s">
        <v>425</v>
      </c>
      <c r="AQ45" s="432"/>
      <c r="AR45" s="432"/>
      <c r="AS45" s="432"/>
      <c r="AT45" s="432"/>
      <c r="AU45" s="433">
        <f>CEILING(3649*B3,1)</f>
        <v>5109</v>
      </c>
      <c r="AV45" s="433"/>
      <c r="AW45" s="433"/>
      <c r="AX45" s="433"/>
      <c r="AY45" s="190"/>
      <c r="AZ45" s="432" t="s">
        <v>425</v>
      </c>
      <c r="BA45" s="432"/>
      <c r="BB45" s="432"/>
      <c r="BC45" s="432"/>
      <c r="BD45" s="432"/>
      <c r="BE45" s="433">
        <f>CEILING(3934*B3,1)</f>
        <v>5508</v>
      </c>
      <c r="BF45" s="433"/>
      <c r="BG45" s="433"/>
      <c r="BH45" s="433"/>
      <c r="BI45" s="190"/>
      <c r="BJ45" s="432" t="s">
        <v>425</v>
      </c>
      <c r="BK45" s="432"/>
      <c r="BL45" s="432"/>
      <c r="BM45" s="432"/>
      <c r="BN45" s="432"/>
      <c r="BO45" s="433">
        <f>CEILING(4301*B3,1)</f>
        <v>6022</v>
      </c>
      <c r="BP45" s="433"/>
      <c r="BQ45" s="433"/>
      <c r="BR45" s="433"/>
      <c r="BT45" s="66"/>
    </row>
    <row r="46" spans="1:72" ht="1.5" customHeight="1" x14ac:dyDescent="0.3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97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</row>
    <row r="47" spans="1:72" ht="9" customHeight="1" x14ac:dyDescent="0.3">
      <c r="B47" s="429" t="s">
        <v>453</v>
      </c>
      <c r="C47" s="430"/>
      <c r="D47" s="431"/>
      <c r="E47" s="444" t="s">
        <v>179</v>
      </c>
      <c r="F47" s="445"/>
      <c r="G47" s="445"/>
      <c r="H47" s="445"/>
      <c r="I47" s="445"/>
      <c r="J47" s="446"/>
      <c r="K47" s="175"/>
      <c r="L47" s="429" t="s">
        <v>454</v>
      </c>
      <c r="M47" s="430"/>
      <c r="N47" s="431"/>
      <c r="O47" s="444" t="s">
        <v>179</v>
      </c>
      <c r="P47" s="445"/>
      <c r="Q47" s="445"/>
      <c r="R47" s="445"/>
      <c r="S47" s="445"/>
      <c r="T47" s="446"/>
      <c r="U47" s="175"/>
      <c r="V47" s="429" t="s">
        <v>455</v>
      </c>
      <c r="W47" s="430"/>
      <c r="X47" s="431"/>
      <c r="Y47" s="444" t="s">
        <v>179</v>
      </c>
      <c r="Z47" s="445"/>
      <c r="AA47" s="445"/>
      <c r="AB47" s="445"/>
      <c r="AC47" s="445"/>
      <c r="AD47" s="446"/>
      <c r="AE47" s="175"/>
      <c r="AF47" s="429" t="s">
        <v>456</v>
      </c>
      <c r="AG47" s="430"/>
      <c r="AH47" s="431"/>
      <c r="AI47" s="444" t="s">
        <v>179</v>
      </c>
      <c r="AJ47" s="445"/>
      <c r="AK47" s="445"/>
      <c r="AL47" s="445"/>
      <c r="AM47" s="445"/>
      <c r="AN47" s="446"/>
      <c r="AO47" s="175"/>
      <c r="AP47" s="429" t="s">
        <v>457</v>
      </c>
      <c r="AQ47" s="430"/>
      <c r="AR47" s="431"/>
      <c r="AS47" s="444" t="s">
        <v>179</v>
      </c>
      <c r="AT47" s="445"/>
      <c r="AU47" s="445"/>
      <c r="AV47" s="445"/>
      <c r="AW47" s="445"/>
      <c r="AX47" s="446"/>
      <c r="AY47" s="175"/>
      <c r="AZ47" s="429" t="s">
        <v>458</v>
      </c>
      <c r="BA47" s="430"/>
      <c r="BB47" s="431"/>
      <c r="BC47" s="444" t="s">
        <v>179</v>
      </c>
      <c r="BD47" s="445"/>
      <c r="BE47" s="445"/>
      <c r="BF47" s="445"/>
      <c r="BG47" s="445"/>
      <c r="BH47" s="446"/>
      <c r="BI47" s="175"/>
      <c r="BJ47" s="429" t="s">
        <v>459</v>
      </c>
      <c r="BK47" s="430"/>
      <c r="BL47" s="431"/>
      <c r="BM47" s="444" t="s">
        <v>179</v>
      </c>
      <c r="BN47" s="445"/>
      <c r="BO47" s="445"/>
      <c r="BP47" s="445"/>
      <c r="BQ47" s="445"/>
      <c r="BR47" s="446"/>
    </row>
    <row r="48" spans="1:72" s="34" customFormat="1" ht="9" customHeight="1" x14ac:dyDescent="0.3">
      <c r="A48" s="178"/>
      <c r="B48" s="423" t="s">
        <v>444</v>
      </c>
      <c r="C48" s="424"/>
      <c r="D48" s="424"/>
      <c r="E48" s="424"/>
      <c r="F48" s="424"/>
      <c r="G48" s="424"/>
      <c r="H48" s="424"/>
      <c r="I48" s="424"/>
      <c r="J48" s="425"/>
      <c r="K48" s="180"/>
      <c r="L48" s="423" t="s">
        <v>444</v>
      </c>
      <c r="M48" s="424"/>
      <c r="N48" s="424"/>
      <c r="O48" s="424"/>
      <c r="P48" s="424"/>
      <c r="Q48" s="424"/>
      <c r="R48" s="424"/>
      <c r="S48" s="424"/>
      <c r="T48" s="425"/>
      <c r="U48" s="180"/>
      <c r="V48" s="423" t="s">
        <v>444</v>
      </c>
      <c r="W48" s="424"/>
      <c r="X48" s="424"/>
      <c r="Y48" s="424"/>
      <c r="Z48" s="424"/>
      <c r="AA48" s="424"/>
      <c r="AB48" s="424"/>
      <c r="AC48" s="424"/>
      <c r="AD48" s="425"/>
      <c r="AE48" s="180"/>
      <c r="AF48" s="423" t="s">
        <v>444</v>
      </c>
      <c r="AG48" s="424"/>
      <c r="AH48" s="424"/>
      <c r="AI48" s="424"/>
      <c r="AJ48" s="424"/>
      <c r="AK48" s="424"/>
      <c r="AL48" s="424"/>
      <c r="AM48" s="424"/>
      <c r="AN48" s="425"/>
      <c r="AO48" s="180"/>
      <c r="AP48" s="423" t="s">
        <v>444</v>
      </c>
      <c r="AQ48" s="424"/>
      <c r="AR48" s="424"/>
      <c r="AS48" s="424"/>
      <c r="AT48" s="424"/>
      <c r="AU48" s="424"/>
      <c r="AV48" s="424"/>
      <c r="AW48" s="424"/>
      <c r="AX48" s="425"/>
      <c r="AY48" s="180"/>
      <c r="AZ48" s="423" t="s">
        <v>444</v>
      </c>
      <c r="BA48" s="424"/>
      <c r="BB48" s="424"/>
      <c r="BC48" s="424"/>
      <c r="BD48" s="424"/>
      <c r="BE48" s="424"/>
      <c r="BF48" s="424"/>
      <c r="BG48" s="424"/>
      <c r="BH48" s="425"/>
      <c r="BI48" s="180"/>
      <c r="BJ48" s="423" t="s">
        <v>444</v>
      </c>
      <c r="BK48" s="424"/>
      <c r="BL48" s="424"/>
      <c r="BM48" s="424"/>
      <c r="BN48" s="424"/>
      <c r="BO48" s="424"/>
      <c r="BP48" s="424"/>
      <c r="BQ48" s="424"/>
      <c r="BR48" s="425"/>
    </row>
    <row r="49" spans="1:72" s="34" customFormat="1" ht="9" customHeight="1" x14ac:dyDescent="0.3">
      <c r="A49" s="178"/>
      <c r="B49" s="179"/>
      <c r="C49" s="180"/>
      <c r="D49" s="180"/>
      <c r="E49" s="180"/>
      <c r="F49" s="180"/>
      <c r="G49" s="180"/>
      <c r="H49" s="180"/>
      <c r="I49" s="180"/>
      <c r="J49" s="181"/>
      <c r="K49" s="180"/>
      <c r="L49" s="179"/>
      <c r="M49" s="180"/>
      <c r="N49" s="180"/>
      <c r="O49" s="180"/>
      <c r="P49" s="180"/>
      <c r="Q49" s="180"/>
      <c r="R49" s="180"/>
      <c r="S49" s="180"/>
      <c r="T49" s="181"/>
      <c r="U49" s="180"/>
      <c r="V49" s="179"/>
      <c r="W49" s="180"/>
      <c r="X49" s="180"/>
      <c r="Y49" s="180"/>
      <c r="Z49" s="180"/>
      <c r="AA49" s="180"/>
      <c r="AB49" s="180"/>
      <c r="AC49" s="180"/>
      <c r="AD49" s="181"/>
      <c r="AE49" s="180"/>
      <c r="AF49" s="179"/>
      <c r="AG49" s="180"/>
      <c r="AH49" s="180"/>
      <c r="AI49" s="180"/>
      <c r="AJ49" s="180"/>
      <c r="AK49" s="180"/>
      <c r="AL49" s="180"/>
      <c r="AM49" s="180"/>
      <c r="AN49" s="181"/>
      <c r="AO49" s="180"/>
      <c r="AP49" s="179"/>
      <c r="AQ49" s="180"/>
      <c r="AR49" s="180"/>
      <c r="AS49" s="180"/>
      <c r="AT49" s="180"/>
      <c r="AU49" s="180"/>
      <c r="AV49" s="180"/>
      <c r="AW49" s="180"/>
      <c r="AX49" s="181"/>
      <c r="AY49" s="180"/>
      <c r="AZ49" s="179"/>
      <c r="BA49" s="180"/>
      <c r="BB49" s="180"/>
      <c r="BC49" s="180"/>
      <c r="BD49" s="180"/>
      <c r="BE49" s="180"/>
      <c r="BF49" s="180"/>
      <c r="BG49" s="180"/>
      <c r="BH49" s="181"/>
      <c r="BI49" s="180"/>
      <c r="BJ49" s="179"/>
      <c r="BK49" s="180"/>
      <c r="BL49" s="180"/>
      <c r="BM49" s="180"/>
      <c r="BN49" s="180"/>
      <c r="BO49" s="180"/>
      <c r="BP49" s="180"/>
      <c r="BQ49" s="180"/>
      <c r="BR49" s="181"/>
      <c r="BT49" s="27"/>
    </row>
    <row r="50" spans="1:72" s="34" customFormat="1" ht="9" customHeight="1" x14ac:dyDescent="0.3">
      <c r="A50" s="178"/>
      <c r="B50" s="179"/>
      <c r="C50" s="180"/>
      <c r="D50" s="180"/>
      <c r="E50" s="180"/>
      <c r="F50" s="180"/>
      <c r="G50" s="180"/>
      <c r="H50" s="180"/>
      <c r="I50" s="180"/>
      <c r="J50" s="181"/>
      <c r="K50" s="180"/>
      <c r="L50" s="179"/>
      <c r="M50" s="180"/>
      <c r="N50" s="180"/>
      <c r="O50" s="180"/>
      <c r="P50" s="180"/>
      <c r="Q50" s="180"/>
      <c r="R50" s="180"/>
      <c r="S50" s="180"/>
      <c r="T50" s="181"/>
      <c r="U50" s="180"/>
      <c r="V50" s="179"/>
      <c r="W50" s="180"/>
      <c r="X50" s="180"/>
      <c r="Y50" s="180"/>
      <c r="Z50" s="180"/>
      <c r="AA50" s="180"/>
      <c r="AB50" s="180"/>
      <c r="AC50" s="180"/>
      <c r="AD50" s="181"/>
      <c r="AE50" s="180"/>
      <c r="AF50" s="179"/>
      <c r="AG50" s="180"/>
      <c r="AH50" s="180"/>
      <c r="AI50" s="180"/>
      <c r="AJ50" s="180"/>
      <c r="AK50" s="180"/>
      <c r="AL50" s="180"/>
      <c r="AM50" s="180"/>
      <c r="AN50" s="181"/>
      <c r="AO50" s="180"/>
      <c r="AP50" s="179"/>
      <c r="AQ50" s="180"/>
      <c r="AR50" s="180"/>
      <c r="AS50" s="180"/>
      <c r="AT50" s="180"/>
      <c r="AU50" s="180"/>
      <c r="AV50" s="180"/>
      <c r="AW50" s="180"/>
      <c r="AX50" s="181"/>
      <c r="AY50" s="180"/>
      <c r="AZ50" s="179"/>
      <c r="BA50" s="180"/>
      <c r="BB50" s="180"/>
      <c r="BC50" s="180"/>
      <c r="BD50" s="180"/>
      <c r="BE50" s="180"/>
      <c r="BF50" s="180"/>
      <c r="BG50" s="180"/>
      <c r="BH50" s="181"/>
      <c r="BI50" s="180"/>
      <c r="BJ50" s="179"/>
      <c r="BK50" s="180"/>
      <c r="BL50" s="180"/>
      <c r="BM50" s="180"/>
      <c r="BN50" s="180"/>
      <c r="BO50" s="180"/>
      <c r="BP50" s="180"/>
      <c r="BQ50" s="180"/>
      <c r="BR50" s="181"/>
      <c r="BT50" s="27"/>
    </row>
    <row r="51" spans="1:72" ht="9" customHeight="1" x14ac:dyDescent="0.3">
      <c r="B51" s="176"/>
      <c r="C51" s="175"/>
      <c r="D51" s="175"/>
      <c r="E51" s="175"/>
      <c r="F51" s="175"/>
      <c r="G51" s="175"/>
      <c r="H51" s="175"/>
      <c r="I51" s="175"/>
      <c r="J51" s="177"/>
      <c r="K51" s="175"/>
      <c r="L51" s="176"/>
      <c r="M51" s="175"/>
      <c r="N51" s="175"/>
      <c r="O51" s="175"/>
      <c r="P51" s="175"/>
      <c r="Q51" s="175"/>
      <c r="R51" s="175"/>
      <c r="S51" s="175"/>
      <c r="T51" s="177"/>
      <c r="U51" s="175"/>
      <c r="V51" s="176"/>
      <c r="W51" s="175"/>
      <c r="X51" s="175"/>
      <c r="Y51" s="175"/>
      <c r="Z51" s="175"/>
      <c r="AA51" s="175"/>
      <c r="AB51" s="175"/>
      <c r="AC51" s="175"/>
      <c r="AD51" s="177"/>
      <c r="AE51" s="175"/>
      <c r="AF51" s="176"/>
      <c r="AG51" s="175"/>
      <c r="AH51" s="175"/>
      <c r="AI51" s="175"/>
      <c r="AJ51" s="175"/>
      <c r="AK51" s="175"/>
      <c r="AL51" s="175"/>
      <c r="AM51" s="175"/>
      <c r="AN51" s="177"/>
      <c r="AO51" s="175"/>
      <c r="AP51" s="176"/>
      <c r="AQ51" s="175"/>
      <c r="AR51" s="175"/>
      <c r="AS51" s="175"/>
      <c r="AT51" s="175"/>
      <c r="AU51" s="175"/>
      <c r="AV51" s="175"/>
      <c r="AW51" s="175"/>
      <c r="AX51" s="177"/>
      <c r="AY51" s="175"/>
      <c r="AZ51" s="176"/>
      <c r="BA51" s="175"/>
      <c r="BB51" s="175"/>
      <c r="BC51" s="175"/>
      <c r="BD51" s="175"/>
      <c r="BE51" s="175"/>
      <c r="BF51" s="175"/>
      <c r="BG51" s="175"/>
      <c r="BH51" s="177"/>
      <c r="BI51" s="175"/>
      <c r="BJ51" s="176"/>
      <c r="BK51" s="175"/>
      <c r="BL51" s="175"/>
      <c r="BM51" s="175"/>
      <c r="BN51" s="175"/>
      <c r="BO51" s="175"/>
      <c r="BP51" s="175"/>
      <c r="BQ51" s="175"/>
      <c r="BR51" s="177"/>
    </row>
    <row r="52" spans="1:72" s="41" customFormat="1" ht="9" customHeight="1" x14ac:dyDescent="0.3">
      <c r="A52" s="203"/>
      <c r="B52" s="205"/>
      <c r="C52" s="204"/>
      <c r="D52" s="204"/>
      <c r="E52" s="204"/>
      <c r="F52" s="204"/>
      <c r="G52" s="204"/>
      <c r="H52" s="204"/>
      <c r="I52" s="204"/>
      <c r="J52" s="206"/>
      <c r="K52" s="204"/>
      <c r="L52" s="205"/>
      <c r="M52" s="204"/>
      <c r="N52" s="204"/>
      <c r="O52" s="204"/>
      <c r="P52" s="204"/>
      <c r="Q52" s="204"/>
      <c r="R52" s="204"/>
      <c r="S52" s="204"/>
      <c r="T52" s="206"/>
      <c r="U52" s="204"/>
      <c r="V52" s="205"/>
      <c r="W52" s="204"/>
      <c r="X52" s="204"/>
      <c r="Y52" s="204"/>
      <c r="Z52" s="204"/>
      <c r="AA52" s="204"/>
      <c r="AB52" s="204"/>
      <c r="AC52" s="204"/>
      <c r="AD52" s="206"/>
      <c r="AE52" s="204"/>
      <c r="AF52" s="205"/>
      <c r="AG52" s="204"/>
      <c r="AH52" s="204"/>
      <c r="AI52" s="204"/>
      <c r="AJ52" s="204"/>
      <c r="AK52" s="204"/>
      <c r="AL52" s="204"/>
      <c r="AM52" s="204"/>
      <c r="AN52" s="206"/>
      <c r="AO52" s="204"/>
      <c r="AP52" s="205"/>
      <c r="AQ52" s="204"/>
      <c r="AR52" s="204"/>
      <c r="AS52" s="204"/>
      <c r="AT52" s="204"/>
      <c r="AU52" s="204"/>
      <c r="AV52" s="204"/>
      <c r="AW52" s="204"/>
      <c r="AX52" s="206"/>
      <c r="AY52" s="204"/>
      <c r="AZ52" s="205"/>
      <c r="BA52" s="204"/>
      <c r="BB52" s="204"/>
      <c r="BC52" s="204"/>
      <c r="BD52" s="204"/>
      <c r="BE52" s="204"/>
      <c r="BF52" s="204"/>
      <c r="BG52" s="204"/>
      <c r="BH52" s="206"/>
      <c r="BI52" s="204"/>
      <c r="BJ52" s="205"/>
      <c r="BK52" s="204"/>
      <c r="BL52" s="204"/>
      <c r="BM52" s="204"/>
      <c r="BN52" s="204"/>
      <c r="BO52" s="204"/>
      <c r="BP52" s="204"/>
      <c r="BQ52" s="204"/>
      <c r="BR52" s="206"/>
      <c r="BT52" s="27"/>
    </row>
    <row r="53" spans="1:72" s="41" customFormat="1" ht="9" customHeight="1" x14ac:dyDescent="0.3">
      <c r="A53" s="203"/>
      <c r="B53" s="205"/>
      <c r="C53" s="204"/>
      <c r="D53" s="204"/>
      <c r="E53" s="204"/>
      <c r="F53" s="204"/>
      <c r="G53" s="204"/>
      <c r="H53" s="204"/>
      <c r="I53" s="204"/>
      <c r="J53" s="206"/>
      <c r="K53" s="204"/>
      <c r="L53" s="205"/>
      <c r="M53" s="204"/>
      <c r="N53" s="204"/>
      <c r="O53" s="204"/>
      <c r="P53" s="204"/>
      <c r="Q53" s="204"/>
      <c r="R53" s="204"/>
      <c r="S53" s="204"/>
      <c r="T53" s="206"/>
      <c r="U53" s="204"/>
      <c r="V53" s="205"/>
      <c r="W53" s="204"/>
      <c r="X53" s="204"/>
      <c r="Y53" s="204"/>
      <c r="Z53" s="204"/>
      <c r="AA53" s="204"/>
      <c r="AB53" s="204"/>
      <c r="AC53" s="204"/>
      <c r="AD53" s="206"/>
      <c r="AE53" s="204"/>
      <c r="AF53" s="205"/>
      <c r="AG53" s="204"/>
      <c r="AH53" s="204"/>
      <c r="AI53" s="204"/>
      <c r="AJ53" s="204"/>
      <c r="AK53" s="204"/>
      <c r="AL53" s="204"/>
      <c r="AM53" s="204"/>
      <c r="AN53" s="206"/>
      <c r="AO53" s="204"/>
      <c r="AP53" s="205"/>
      <c r="AQ53" s="204"/>
      <c r="AR53" s="204"/>
      <c r="AS53" s="204"/>
      <c r="AT53" s="204"/>
      <c r="AU53" s="204"/>
      <c r="AV53" s="204"/>
      <c r="AW53" s="204"/>
      <c r="AX53" s="206"/>
      <c r="AY53" s="204"/>
      <c r="AZ53" s="205"/>
      <c r="BA53" s="204"/>
      <c r="BB53" s="204"/>
      <c r="BC53" s="204"/>
      <c r="BD53" s="204"/>
      <c r="BE53" s="204"/>
      <c r="BF53" s="204"/>
      <c r="BG53" s="204"/>
      <c r="BH53" s="206"/>
      <c r="BI53" s="204"/>
      <c r="BJ53" s="205"/>
      <c r="BK53" s="204"/>
      <c r="BL53" s="204"/>
      <c r="BM53" s="204"/>
      <c r="BN53" s="204"/>
      <c r="BO53" s="204"/>
      <c r="BP53" s="204"/>
      <c r="BQ53" s="204"/>
      <c r="BR53" s="206"/>
      <c r="BT53" s="27"/>
    </row>
    <row r="54" spans="1:72" s="41" customFormat="1" ht="9" customHeight="1" x14ac:dyDescent="0.3">
      <c r="A54" s="203"/>
      <c r="B54" s="205"/>
      <c r="C54" s="204"/>
      <c r="D54" s="204"/>
      <c r="E54" s="204"/>
      <c r="F54" s="204"/>
      <c r="G54" s="204"/>
      <c r="H54" s="204"/>
      <c r="I54" s="204"/>
      <c r="J54" s="206"/>
      <c r="K54" s="204"/>
      <c r="L54" s="205"/>
      <c r="M54" s="204"/>
      <c r="N54" s="204"/>
      <c r="O54" s="204"/>
      <c r="P54" s="204"/>
      <c r="Q54" s="204"/>
      <c r="R54" s="204"/>
      <c r="S54" s="204"/>
      <c r="T54" s="206"/>
      <c r="U54" s="204"/>
      <c r="V54" s="205"/>
      <c r="W54" s="204"/>
      <c r="X54" s="204"/>
      <c r="Y54" s="204"/>
      <c r="Z54" s="204"/>
      <c r="AA54" s="204"/>
      <c r="AB54" s="204"/>
      <c r="AC54" s="204"/>
      <c r="AD54" s="206"/>
      <c r="AE54" s="204"/>
      <c r="AF54" s="205"/>
      <c r="AG54" s="204"/>
      <c r="AH54" s="204"/>
      <c r="AI54" s="204"/>
      <c r="AJ54" s="204"/>
      <c r="AK54" s="204"/>
      <c r="AL54" s="204"/>
      <c r="AM54" s="204"/>
      <c r="AN54" s="206"/>
      <c r="AO54" s="204"/>
      <c r="AP54" s="205"/>
      <c r="AQ54" s="204"/>
      <c r="AR54" s="204"/>
      <c r="AS54" s="204"/>
      <c r="AT54" s="204"/>
      <c r="AU54" s="204"/>
      <c r="AV54" s="204"/>
      <c r="AW54" s="204"/>
      <c r="AX54" s="206"/>
      <c r="AY54" s="204"/>
      <c r="AZ54" s="205"/>
      <c r="BA54" s="204"/>
      <c r="BB54" s="204"/>
      <c r="BC54" s="204"/>
      <c r="BD54" s="204"/>
      <c r="BE54" s="204"/>
      <c r="BF54" s="204"/>
      <c r="BG54" s="204"/>
      <c r="BH54" s="206"/>
      <c r="BI54" s="204"/>
      <c r="BJ54" s="205"/>
      <c r="BK54" s="204"/>
      <c r="BL54" s="204"/>
      <c r="BM54" s="204"/>
      <c r="BN54" s="204"/>
      <c r="BO54" s="204"/>
      <c r="BP54" s="204"/>
      <c r="BQ54" s="204"/>
      <c r="BR54" s="206"/>
      <c r="BT54" s="27"/>
    </row>
    <row r="55" spans="1:72" s="41" customFormat="1" ht="9" customHeight="1" x14ac:dyDescent="0.3">
      <c r="A55" s="203"/>
      <c r="B55" s="205"/>
      <c r="C55" s="204"/>
      <c r="D55" s="204"/>
      <c r="E55" s="204"/>
      <c r="F55" s="204"/>
      <c r="G55" s="204"/>
      <c r="H55" s="204"/>
      <c r="I55" s="204"/>
      <c r="J55" s="206"/>
      <c r="K55" s="204"/>
      <c r="L55" s="205"/>
      <c r="M55" s="204"/>
      <c r="N55" s="204"/>
      <c r="O55" s="204"/>
      <c r="P55" s="204"/>
      <c r="Q55" s="204"/>
      <c r="R55" s="204"/>
      <c r="S55" s="204"/>
      <c r="T55" s="206"/>
      <c r="U55" s="204"/>
      <c r="V55" s="205"/>
      <c r="W55" s="204"/>
      <c r="X55" s="204"/>
      <c r="Y55" s="204"/>
      <c r="Z55" s="204"/>
      <c r="AA55" s="204"/>
      <c r="AB55" s="204"/>
      <c r="AC55" s="204"/>
      <c r="AD55" s="206"/>
      <c r="AE55" s="204"/>
      <c r="AF55" s="205"/>
      <c r="AG55" s="204"/>
      <c r="AH55" s="204"/>
      <c r="AI55" s="204"/>
      <c r="AJ55" s="204"/>
      <c r="AK55" s="204"/>
      <c r="AL55" s="204"/>
      <c r="AM55" s="204"/>
      <c r="AN55" s="206"/>
      <c r="AO55" s="204"/>
      <c r="AP55" s="205"/>
      <c r="AQ55" s="204"/>
      <c r="AR55" s="204"/>
      <c r="AS55" s="204"/>
      <c r="AT55" s="204"/>
      <c r="AU55" s="204"/>
      <c r="AV55" s="204"/>
      <c r="AW55" s="204"/>
      <c r="AX55" s="206"/>
      <c r="AY55" s="204"/>
      <c r="AZ55" s="205"/>
      <c r="BA55" s="204"/>
      <c r="BB55" s="204"/>
      <c r="BC55" s="204"/>
      <c r="BD55" s="204"/>
      <c r="BE55" s="204"/>
      <c r="BF55" s="204"/>
      <c r="BG55" s="204"/>
      <c r="BH55" s="206"/>
      <c r="BI55" s="204"/>
      <c r="BJ55" s="205"/>
      <c r="BK55" s="204"/>
      <c r="BL55" s="204"/>
      <c r="BM55" s="204"/>
      <c r="BN55" s="204"/>
      <c r="BO55" s="204"/>
      <c r="BP55" s="204"/>
      <c r="BQ55" s="204"/>
      <c r="BR55" s="206"/>
      <c r="BT55" s="27"/>
    </row>
    <row r="56" spans="1:72" s="41" customFormat="1" ht="9" customHeight="1" x14ac:dyDescent="0.3">
      <c r="A56" s="203"/>
      <c r="B56" s="205"/>
      <c r="C56" s="204"/>
      <c r="D56" s="204"/>
      <c r="E56" s="204"/>
      <c r="F56" s="204"/>
      <c r="G56" s="204"/>
      <c r="H56" s="204"/>
      <c r="I56" s="204"/>
      <c r="J56" s="206"/>
      <c r="K56" s="204"/>
      <c r="L56" s="205"/>
      <c r="M56" s="204"/>
      <c r="N56" s="204"/>
      <c r="O56" s="204"/>
      <c r="P56" s="204"/>
      <c r="Q56" s="204"/>
      <c r="R56" s="204"/>
      <c r="S56" s="204"/>
      <c r="T56" s="206"/>
      <c r="U56" s="204"/>
      <c r="V56" s="205"/>
      <c r="W56" s="204"/>
      <c r="X56" s="204"/>
      <c r="Y56" s="204"/>
      <c r="Z56" s="204"/>
      <c r="AA56" s="204"/>
      <c r="AB56" s="204"/>
      <c r="AC56" s="204"/>
      <c r="AD56" s="206"/>
      <c r="AE56" s="204"/>
      <c r="AF56" s="205"/>
      <c r="AG56" s="204"/>
      <c r="AH56" s="204"/>
      <c r="AI56" s="204"/>
      <c r="AJ56" s="204"/>
      <c r="AK56" s="204"/>
      <c r="AL56" s="204"/>
      <c r="AM56" s="204"/>
      <c r="AN56" s="206"/>
      <c r="AO56" s="204"/>
      <c r="AP56" s="205"/>
      <c r="AQ56" s="204"/>
      <c r="AR56" s="204"/>
      <c r="AS56" s="204"/>
      <c r="AT56" s="204"/>
      <c r="AU56" s="204"/>
      <c r="AV56" s="204"/>
      <c r="AW56" s="204"/>
      <c r="AX56" s="206"/>
      <c r="AY56" s="204"/>
      <c r="AZ56" s="205"/>
      <c r="BA56" s="204"/>
      <c r="BB56" s="204"/>
      <c r="BC56" s="204"/>
      <c r="BD56" s="204"/>
      <c r="BE56" s="204"/>
      <c r="BF56" s="204"/>
      <c r="BG56" s="204"/>
      <c r="BH56" s="206"/>
      <c r="BI56" s="204"/>
      <c r="BJ56" s="205"/>
      <c r="BK56" s="204"/>
      <c r="BL56" s="204"/>
      <c r="BM56" s="204"/>
      <c r="BN56" s="204"/>
      <c r="BO56" s="204"/>
      <c r="BP56" s="204"/>
      <c r="BQ56" s="204"/>
      <c r="BR56" s="206"/>
      <c r="BT56" s="27"/>
    </row>
    <row r="57" spans="1:72" s="41" customFormat="1" ht="9" customHeight="1" x14ac:dyDescent="0.3">
      <c r="A57" s="203"/>
      <c r="B57" s="205"/>
      <c r="C57" s="204"/>
      <c r="D57" s="204"/>
      <c r="E57" s="204"/>
      <c r="F57" s="204"/>
      <c r="G57" s="204"/>
      <c r="H57" s="204"/>
      <c r="I57" s="204"/>
      <c r="J57" s="206"/>
      <c r="K57" s="204"/>
      <c r="L57" s="205"/>
      <c r="M57" s="204"/>
      <c r="N57" s="204"/>
      <c r="O57" s="204"/>
      <c r="P57" s="204"/>
      <c r="Q57" s="204"/>
      <c r="R57" s="204"/>
      <c r="S57" s="204"/>
      <c r="T57" s="206"/>
      <c r="U57" s="204"/>
      <c r="V57" s="205"/>
      <c r="W57" s="204"/>
      <c r="X57" s="204"/>
      <c r="Y57" s="204"/>
      <c r="Z57" s="204"/>
      <c r="AA57" s="204"/>
      <c r="AB57" s="204"/>
      <c r="AC57" s="204"/>
      <c r="AD57" s="206"/>
      <c r="AE57" s="204"/>
      <c r="AF57" s="205"/>
      <c r="AG57" s="204"/>
      <c r="AH57" s="204"/>
      <c r="AI57" s="204"/>
      <c r="AJ57" s="204"/>
      <c r="AK57" s="204"/>
      <c r="AL57" s="204"/>
      <c r="AM57" s="204"/>
      <c r="AN57" s="206"/>
      <c r="AO57" s="204"/>
      <c r="AP57" s="205"/>
      <c r="AQ57" s="204"/>
      <c r="AR57" s="204"/>
      <c r="AS57" s="204"/>
      <c r="AT57" s="204"/>
      <c r="AU57" s="204"/>
      <c r="AV57" s="204"/>
      <c r="AW57" s="204"/>
      <c r="AX57" s="206"/>
      <c r="AY57" s="204"/>
      <c r="AZ57" s="205"/>
      <c r="BA57" s="204"/>
      <c r="BB57" s="204"/>
      <c r="BC57" s="204"/>
      <c r="BD57" s="204"/>
      <c r="BE57" s="204"/>
      <c r="BF57" s="204"/>
      <c r="BG57" s="204"/>
      <c r="BH57" s="206"/>
      <c r="BI57" s="204"/>
      <c r="BJ57" s="205"/>
      <c r="BK57" s="204"/>
      <c r="BL57" s="204"/>
      <c r="BM57" s="204"/>
      <c r="BN57" s="204"/>
      <c r="BO57" s="204"/>
      <c r="BP57" s="204"/>
      <c r="BQ57" s="204"/>
      <c r="BR57" s="206"/>
      <c r="BT57" s="27"/>
    </row>
    <row r="58" spans="1:72" s="41" customFormat="1" ht="9" customHeight="1" x14ac:dyDescent="0.3">
      <c r="A58" s="203"/>
      <c r="B58" s="205"/>
      <c r="C58" s="204"/>
      <c r="D58" s="204"/>
      <c r="E58" s="204"/>
      <c r="F58" s="204"/>
      <c r="G58" s="204"/>
      <c r="H58" s="204"/>
      <c r="I58" s="204"/>
      <c r="J58" s="206"/>
      <c r="K58" s="204"/>
      <c r="L58" s="205"/>
      <c r="M58" s="204"/>
      <c r="N58" s="204"/>
      <c r="O58" s="204"/>
      <c r="P58" s="204"/>
      <c r="Q58" s="204"/>
      <c r="R58" s="204"/>
      <c r="S58" s="204"/>
      <c r="T58" s="206"/>
      <c r="U58" s="204"/>
      <c r="V58" s="205"/>
      <c r="W58" s="204"/>
      <c r="X58" s="204"/>
      <c r="Y58" s="204"/>
      <c r="Z58" s="204"/>
      <c r="AA58" s="204"/>
      <c r="AB58" s="204"/>
      <c r="AC58" s="204"/>
      <c r="AD58" s="206"/>
      <c r="AE58" s="204"/>
      <c r="AF58" s="205"/>
      <c r="AG58" s="204"/>
      <c r="AH58" s="204"/>
      <c r="AI58" s="204"/>
      <c r="AJ58" s="204"/>
      <c r="AK58" s="204"/>
      <c r="AL58" s="204"/>
      <c r="AM58" s="204"/>
      <c r="AN58" s="206"/>
      <c r="AO58" s="204"/>
      <c r="AP58" s="205"/>
      <c r="AQ58" s="204"/>
      <c r="AR58" s="204"/>
      <c r="AS58" s="204"/>
      <c r="AT58" s="204"/>
      <c r="AU58" s="204"/>
      <c r="AV58" s="204"/>
      <c r="AW58" s="204"/>
      <c r="AX58" s="206"/>
      <c r="AY58" s="204"/>
      <c r="AZ58" s="205"/>
      <c r="BA58" s="204"/>
      <c r="BB58" s="204"/>
      <c r="BC58" s="204"/>
      <c r="BD58" s="204"/>
      <c r="BE58" s="204"/>
      <c r="BF58" s="204"/>
      <c r="BG58" s="204"/>
      <c r="BH58" s="206"/>
      <c r="BI58" s="204"/>
      <c r="BJ58" s="205"/>
      <c r="BK58" s="204"/>
      <c r="BL58" s="204"/>
      <c r="BM58" s="204"/>
      <c r="BN58" s="204"/>
      <c r="BO58" s="204"/>
      <c r="BP58" s="204"/>
      <c r="BQ58" s="204"/>
      <c r="BR58" s="206"/>
      <c r="BT58" s="27"/>
    </row>
    <row r="59" spans="1:72" ht="9" customHeight="1" x14ac:dyDescent="0.3">
      <c r="B59" s="176"/>
      <c r="C59" s="175"/>
      <c r="D59" s="175"/>
      <c r="E59" s="175"/>
      <c r="F59" s="175"/>
      <c r="G59" s="175"/>
      <c r="H59" s="175"/>
      <c r="I59" s="175"/>
      <c r="J59" s="177"/>
      <c r="K59" s="175"/>
      <c r="L59" s="176"/>
      <c r="M59" s="175"/>
      <c r="N59" s="175"/>
      <c r="O59" s="175"/>
      <c r="P59" s="175"/>
      <c r="Q59" s="175"/>
      <c r="R59" s="175"/>
      <c r="S59" s="175"/>
      <c r="T59" s="177"/>
      <c r="U59" s="175"/>
      <c r="V59" s="176"/>
      <c r="W59" s="175"/>
      <c r="X59" s="175"/>
      <c r="Y59" s="175"/>
      <c r="Z59" s="175"/>
      <c r="AA59" s="175"/>
      <c r="AB59" s="175"/>
      <c r="AC59" s="175"/>
      <c r="AD59" s="177"/>
      <c r="AE59" s="175"/>
      <c r="AF59" s="176"/>
      <c r="AG59" s="175"/>
      <c r="AH59" s="175"/>
      <c r="AI59" s="175"/>
      <c r="AJ59" s="175"/>
      <c r="AK59" s="175"/>
      <c r="AL59" s="175"/>
      <c r="AM59" s="175"/>
      <c r="AN59" s="177"/>
      <c r="AO59" s="175"/>
      <c r="AP59" s="176"/>
      <c r="AQ59" s="175"/>
      <c r="AR59" s="175"/>
      <c r="AS59" s="175"/>
      <c r="AT59" s="175"/>
      <c r="AU59" s="175"/>
      <c r="AV59" s="175"/>
      <c r="AW59" s="175"/>
      <c r="AX59" s="177"/>
      <c r="AY59" s="175"/>
      <c r="AZ59" s="176"/>
      <c r="BA59" s="175"/>
      <c r="BB59" s="175"/>
      <c r="BC59" s="175"/>
      <c r="BD59" s="175"/>
      <c r="BE59" s="175"/>
      <c r="BF59" s="175"/>
      <c r="BG59" s="175"/>
      <c r="BH59" s="177"/>
      <c r="BI59" s="175"/>
      <c r="BJ59" s="232"/>
      <c r="BK59" s="223"/>
      <c r="BL59" s="223"/>
      <c r="BM59" s="223"/>
      <c r="BN59" s="223"/>
      <c r="BO59" s="223"/>
      <c r="BP59" s="223"/>
      <c r="BQ59" s="223"/>
      <c r="BR59" s="224"/>
    </row>
    <row r="60" spans="1:72" ht="9" customHeight="1" x14ac:dyDescent="0.3">
      <c r="B60" s="432" t="s">
        <v>421</v>
      </c>
      <c r="C60" s="432"/>
      <c r="D60" s="432"/>
      <c r="E60" s="432"/>
      <c r="F60" s="432"/>
      <c r="G60" s="433">
        <f>CEILING(3212*B3,1)</f>
        <v>4497</v>
      </c>
      <c r="H60" s="433"/>
      <c r="I60" s="433"/>
      <c r="J60" s="433"/>
      <c r="K60" s="183"/>
      <c r="L60" s="432" t="s">
        <v>421</v>
      </c>
      <c r="M60" s="432"/>
      <c r="N60" s="432"/>
      <c r="O60" s="432"/>
      <c r="P60" s="432"/>
      <c r="Q60" s="433">
        <f>CEILING(3784*B3,1)</f>
        <v>5298</v>
      </c>
      <c r="R60" s="433"/>
      <c r="S60" s="433"/>
      <c r="T60" s="433"/>
      <c r="U60" s="183"/>
      <c r="V60" s="432" t="s">
        <v>421</v>
      </c>
      <c r="W60" s="432"/>
      <c r="X60" s="432"/>
      <c r="Y60" s="432"/>
      <c r="Z60" s="432"/>
      <c r="AA60" s="433">
        <f>CEILING(4661*B3,1)</f>
        <v>6526</v>
      </c>
      <c r="AB60" s="433"/>
      <c r="AC60" s="433"/>
      <c r="AD60" s="433"/>
      <c r="AE60" s="183"/>
      <c r="AF60" s="432" t="s">
        <v>421</v>
      </c>
      <c r="AG60" s="432"/>
      <c r="AH60" s="432"/>
      <c r="AI60" s="432"/>
      <c r="AJ60" s="432"/>
      <c r="AK60" s="433">
        <f>CEILING(4534*B3,1)</f>
        <v>6348</v>
      </c>
      <c r="AL60" s="433"/>
      <c r="AM60" s="433"/>
      <c r="AN60" s="433"/>
      <c r="AO60" s="183"/>
      <c r="AP60" s="432" t="s">
        <v>421</v>
      </c>
      <c r="AQ60" s="432"/>
      <c r="AR60" s="432"/>
      <c r="AS60" s="432"/>
      <c r="AT60" s="432"/>
      <c r="AU60" s="433">
        <f>CEILING(5000*B3,1)</f>
        <v>7000</v>
      </c>
      <c r="AV60" s="433"/>
      <c r="AW60" s="433"/>
      <c r="AX60" s="433"/>
      <c r="AY60" s="183"/>
      <c r="AZ60" s="432" t="s">
        <v>421</v>
      </c>
      <c r="BA60" s="432"/>
      <c r="BB60" s="432"/>
      <c r="BC60" s="432"/>
      <c r="BD60" s="432"/>
      <c r="BE60" s="433">
        <f>CEILING(5582*B3,1)</f>
        <v>7815</v>
      </c>
      <c r="BF60" s="433"/>
      <c r="BG60" s="433"/>
      <c r="BH60" s="433"/>
      <c r="BI60" s="186"/>
      <c r="BJ60" s="227"/>
      <c r="BK60" s="191"/>
      <c r="BL60" s="191"/>
      <c r="BM60" s="191"/>
      <c r="BN60" s="191"/>
      <c r="BO60" s="191"/>
      <c r="BP60" s="191"/>
      <c r="BQ60" s="191"/>
      <c r="BR60" s="192"/>
    </row>
    <row r="61" spans="1:72" s="66" customFormat="1" ht="9" customHeight="1" x14ac:dyDescent="0.3">
      <c r="A61" s="196"/>
      <c r="B61" s="432" t="s">
        <v>219</v>
      </c>
      <c r="C61" s="432"/>
      <c r="D61" s="432"/>
      <c r="E61" s="432"/>
      <c r="F61" s="432"/>
      <c r="G61" s="433">
        <f>CEILING(3376*B3,1)</f>
        <v>4727</v>
      </c>
      <c r="H61" s="433"/>
      <c r="I61" s="433"/>
      <c r="J61" s="433"/>
      <c r="K61" s="183"/>
      <c r="L61" s="432" t="s">
        <v>219</v>
      </c>
      <c r="M61" s="432"/>
      <c r="N61" s="432"/>
      <c r="O61" s="432"/>
      <c r="P61" s="432"/>
      <c r="Q61" s="433">
        <f>CEILING(4128*B3,1)</f>
        <v>5780</v>
      </c>
      <c r="R61" s="433"/>
      <c r="S61" s="433"/>
      <c r="T61" s="433"/>
      <c r="U61" s="183"/>
      <c r="V61" s="432" t="s">
        <v>219</v>
      </c>
      <c r="W61" s="432"/>
      <c r="X61" s="432"/>
      <c r="Y61" s="432"/>
      <c r="Z61" s="432"/>
      <c r="AA61" s="433">
        <f>CEILING(4879*B3,1)</f>
        <v>6831</v>
      </c>
      <c r="AB61" s="433"/>
      <c r="AC61" s="433"/>
      <c r="AD61" s="433"/>
      <c r="AE61" s="183"/>
      <c r="AF61" s="432" t="s">
        <v>219</v>
      </c>
      <c r="AG61" s="432"/>
      <c r="AH61" s="432"/>
      <c r="AI61" s="432"/>
      <c r="AJ61" s="432"/>
      <c r="AK61" s="433">
        <f>CEILING(4928*B3,1)</f>
        <v>6900</v>
      </c>
      <c r="AL61" s="433"/>
      <c r="AM61" s="433"/>
      <c r="AN61" s="433"/>
      <c r="AO61" s="183"/>
      <c r="AP61" s="432" t="s">
        <v>219</v>
      </c>
      <c r="AQ61" s="432"/>
      <c r="AR61" s="432"/>
      <c r="AS61" s="432"/>
      <c r="AT61" s="432"/>
      <c r="AU61" s="433">
        <f>CEILING(5165*B3,1)</f>
        <v>7231</v>
      </c>
      <c r="AV61" s="433"/>
      <c r="AW61" s="433"/>
      <c r="AX61" s="433"/>
      <c r="AY61" s="183"/>
      <c r="AZ61" s="432" t="s">
        <v>219</v>
      </c>
      <c r="BA61" s="432"/>
      <c r="BB61" s="432"/>
      <c r="BC61" s="432"/>
      <c r="BD61" s="432"/>
      <c r="BE61" s="433">
        <f>CEILING(6119*B3,1)</f>
        <v>8567</v>
      </c>
      <c r="BF61" s="433"/>
      <c r="BG61" s="433"/>
      <c r="BH61" s="433"/>
      <c r="BI61" s="231"/>
      <c r="BJ61" s="432" t="s">
        <v>219</v>
      </c>
      <c r="BK61" s="432"/>
      <c r="BL61" s="432"/>
      <c r="BM61" s="432"/>
      <c r="BN61" s="432"/>
      <c r="BO61" s="433">
        <f>CEILING(5870*B3,1)</f>
        <v>8218</v>
      </c>
      <c r="BP61" s="433"/>
      <c r="BQ61" s="433"/>
      <c r="BR61" s="433"/>
    </row>
    <row r="62" spans="1:72" ht="1.5" customHeight="1" x14ac:dyDescent="0.3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</row>
    <row r="63" spans="1:72" ht="9" customHeight="1" x14ac:dyDescent="0.3">
      <c r="B63" s="429" t="s">
        <v>460</v>
      </c>
      <c r="C63" s="430"/>
      <c r="D63" s="431"/>
      <c r="E63" s="444" t="s">
        <v>179</v>
      </c>
      <c r="F63" s="445"/>
      <c r="G63" s="445"/>
      <c r="H63" s="445"/>
      <c r="I63" s="445"/>
      <c r="J63" s="446"/>
      <c r="K63" s="175"/>
      <c r="L63" s="429" t="s">
        <v>461</v>
      </c>
      <c r="M63" s="430"/>
      <c r="N63" s="431"/>
      <c r="O63" s="444" t="s">
        <v>179</v>
      </c>
      <c r="P63" s="445"/>
      <c r="Q63" s="445"/>
      <c r="R63" s="445"/>
      <c r="S63" s="445"/>
      <c r="T63" s="446"/>
      <c r="U63" s="175"/>
      <c r="V63" s="429" t="s">
        <v>462</v>
      </c>
      <c r="W63" s="430"/>
      <c r="X63" s="431"/>
      <c r="Y63" s="444" t="s">
        <v>179</v>
      </c>
      <c r="Z63" s="445"/>
      <c r="AA63" s="445"/>
      <c r="AB63" s="445"/>
      <c r="AC63" s="445"/>
      <c r="AD63" s="446"/>
      <c r="AE63" s="175"/>
      <c r="AF63" s="429" t="s">
        <v>463</v>
      </c>
      <c r="AG63" s="430"/>
      <c r="AH63" s="431"/>
      <c r="AI63" s="444" t="s">
        <v>179</v>
      </c>
      <c r="AJ63" s="445"/>
      <c r="AK63" s="445"/>
      <c r="AL63" s="445"/>
      <c r="AM63" s="445"/>
      <c r="AN63" s="446"/>
      <c r="AO63" s="175"/>
      <c r="AP63" s="429" t="s">
        <v>464</v>
      </c>
      <c r="AQ63" s="430"/>
      <c r="AR63" s="431"/>
      <c r="AS63" s="444" t="s">
        <v>179</v>
      </c>
      <c r="AT63" s="445"/>
      <c r="AU63" s="445"/>
      <c r="AV63" s="445"/>
      <c r="AW63" s="445"/>
      <c r="AX63" s="446"/>
      <c r="AY63" s="175"/>
      <c r="AZ63" s="429" t="s">
        <v>465</v>
      </c>
      <c r="BA63" s="430"/>
      <c r="BB63" s="431"/>
      <c r="BC63" s="444" t="s">
        <v>179</v>
      </c>
      <c r="BD63" s="445"/>
      <c r="BE63" s="445"/>
      <c r="BF63" s="445"/>
      <c r="BG63" s="445"/>
      <c r="BH63" s="446"/>
      <c r="BI63" s="204"/>
      <c r="BJ63" s="429" t="s">
        <v>466</v>
      </c>
      <c r="BK63" s="430"/>
      <c r="BL63" s="431"/>
      <c r="BM63" s="444" t="s">
        <v>179</v>
      </c>
      <c r="BN63" s="445"/>
      <c r="BO63" s="445"/>
      <c r="BP63" s="445"/>
      <c r="BQ63" s="445"/>
      <c r="BR63" s="446"/>
    </row>
    <row r="64" spans="1:72" ht="9" customHeight="1" x14ac:dyDescent="0.3">
      <c r="B64" s="423" t="s">
        <v>614</v>
      </c>
      <c r="C64" s="424"/>
      <c r="D64" s="424"/>
      <c r="E64" s="424"/>
      <c r="F64" s="424"/>
      <c r="G64" s="424"/>
      <c r="H64" s="424"/>
      <c r="I64" s="424"/>
      <c r="J64" s="425"/>
      <c r="K64" s="180"/>
      <c r="L64" s="423" t="s">
        <v>614</v>
      </c>
      <c r="M64" s="424"/>
      <c r="N64" s="424"/>
      <c r="O64" s="424"/>
      <c r="P64" s="424"/>
      <c r="Q64" s="424"/>
      <c r="R64" s="424"/>
      <c r="S64" s="424"/>
      <c r="T64" s="425"/>
      <c r="U64" s="180"/>
      <c r="V64" s="423" t="s">
        <v>614</v>
      </c>
      <c r="W64" s="424"/>
      <c r="X64" s="424"/>
      <c r="Y64" s="424"/>
      <c r="Z64" s="424"/>
      <c r="AA64" s="424"/>
      <c r="AB64" s="424"/>
      <c r="AC64" s="424"/>
      <c r="AD64" s="425"/>
      <c r="AE64" s="180"/>
      <c r="AF64" s="423" t="s">
        <v>614</v>
      </c>
      <c r="AG64" s="424"/>
      <c r="AH64" s="424"/>
      <c r="AI64" s="424"/>
      <c r="AJ64" s="424"/>
      <c r="AK64" s="424"/>
      <c r="AL64" s="424"/>
      <c r="AM64" s="424"/>
      <c r="AN64" s="425"/>
      <c r="AO64" s="180"/>
      <c r="AP64" s="423" t="s">
        <v>614</v>
      </c>
      <c r="AQ64" s="424"/>
      <c r="AR64" s="424"/>
      <c r="AS64" s="424"/>
      <c r="AT64" s="424"/>
      <c r="AU64" s="424"/>
      <c r="AV64" s="424"/>
      <c r="AW64" s="424"/>
      <c r="AX64" s="425"/>
      <c r="AY64" s="175"/>
      <c r="AZ64" s="423" t="s">
        <v>614</v>
      </c>
      <c r="BA64" s="424"/>
      <c r="BB64" s="424"/>
      <c r="BC64" s="424"/>
      <c r="BD64" s="424"/>
      <c r="BE64" s="424"/>
      <c r="BF64" s="424"/>
      <c r="BG64" s="424"/>
      <c r="BH64" s="425"/>
      <c r="BI64" s="204"/>
      <c r="BJ64" s="423" t="s">
        <v>614</v>
      </c>
      <c r="BK64" s="424"/>
      <c r="BL64" s="424"/>
      <c r="BM64" s="424"/>
      <c r="BN64" s="424"/>
      <c r="BO64" s="424"/>
      <c r="BP64" s="424"/>
      <c r="BQ64" s="424"/>
      <c r="BR64" s="425"/>
      <c r="BT64" s="34"/>
    </row>
    <row r="65" spans="1:80" ht="9" customHeight="1" x14ac:dyDescent="0.3">
      <c r="B65" s="179"/>
      <c r="C65" s="180"/>
      <c r="D65" s="180"/>
      <c r="E65" s="180"/>
      <c r="F65" s="180"/>
      <c r="G65" s="180"/>
      <c r="H65" s="180"/>
      <c r="I65" s="180"/>
      <c r="J65" s="181"/>
      <c r="K65" s="180"/>
      <c r="L65" s="179"/>
      <c r="M65" s="180"/>
      <c r="N65" s="180"/>
      <c r="O65" s="180"/>
      <c r="P65" s="180"/>
      <c r="Q65" s="180"/>
      <c r="R65" s="180"/>
      <c r="S65" s="180"/>
      <c r="T65" s="181"/>
      <c r="U65" s="180"/>
      <c r="V65" s="179"/>
      <c r="W65" s="180"/>
      <c r="X65" s="180"/>
      <c r="Y65" s="180"/>
      <c r="Z65" s="180"/>
      <c r="AA65" s="180"/>
      <c r="AB65" s="180"/>
      <c r="AC65" s="180"/>
      <c r="AD65" s="181"/>
      <c r="AE65" s="180"/>
      <c r="AF65" s="179"/>
      <c r="AG65" s="180"/>
      <c r="AH65" s="180"/>
      <c r="AI65" s="180"/>
      <c r="AJ65" s="180"/>
      <c r="AK65" s="180"/>
      <c r="AL65" s="180"/>
      <c r="AM65" s="180"/>
      <c r="AN65" s="181"/>
      <c r="AO65" s="180"/>
      <c r="AP65" s="179"/>
      <c r="AQ65" s="180"/>
      <c r="AR65" s="180"/>
      <c r="AS65" s="180"/>
      <c r="AT65" s="180"/>
      <c r="AU65" s="180"/>
      <c r="AV65" s="180"/>
      <c r="AW65" s="180"/>
      <c r="AX65" s="181"/>
      <c r="AY65" s="175"/>
      <c r="AZ65" s="232"/>
      <c r="BA65" s="223"/>
      <c r="BB65" s="223"/>
      <c r="BC65" s="180"/>
      <c r="BD65" s="180"/>
      <c r="BE65" s="180"/>
      <c r="BF65" s="180"/>
      <c r="BG65" s="180"/>
      <c r="BH65" s="181"/>
      <c r="BI65" s="204"/>
      <c r="BJ65" s="232"/>
      <c r="BK65" s="223"/>
      <c r="BL65" s="223"/>
      <c r="BM65" s="180"/>
      <c r="BN65" s="180"/>
      <c r="BO65" s="180"/>
      <c r="BP65" s="180"/>
      <c r="BQ65" s="180"/>
      <c r="BR65" s="181"/>
    </row>
    <row r="66" spans="1:80" ht="9" customHeight="1" x14ac:dyDescent="0.3">
      <c r="B66" s="179"/>
      <c r="C66" s="180"/>
      <c r="D66" s="180"/>
      <c r="E66" s="180"/>
      <c r="F66" s="180"/>
      <c r="G66" s="180"/>
      <c r="H66" s="180"/>
      <c r="I66" s="180"/>
      <c r="J66" s="181"/>
      <c r="K66" s="180"/>
      <c r="L66" s="179"/>
      <c r="M66" s="180"/>
      <c r="N66" s="180"/>
      <c r="O66" s="180"/>
      <c r="P66" s="180"/>
      <c r="Q66" s="180"/>
      <c r="R66" s="180"/>
      <c r="S66" s="180"/>
      <c r="T66" s="181"/>
      <c r="U66" s="180"/>
      <c r="V66" s="179"/>
      <c r="W66" s="180"/>
      <c r="X66" s="180"/>
      <c r="Y66" s="180"/>
      <c r="Z66" s="180"/>
      <c r="AA66" s="180"/>
      <c r="AB66" s="180"/>
      <c r="AC66" s="180"/>
      <c r="AD66" s="181"/>
      <c r="AE66" s="180"/>
      <c r="AF66" s="179"/>
      <c r="AG66" s="180"/>
      <c r="AH66" s="180"/>
      <c r="AI66" s="180"/>
      <c r="AJ66" s="180"/>
      <c r="AK66" s="180"/>
      <c r="AL66" s="180"/>
      <c r="AM66" s="180"/>
      <c r="AN66" s="181"/>
      <c r="AO66" s="180"/>
      <c r="AP66" s="179"/>
      <c r="AQ66" s="180"/>
      <c r="AR66" s="180"/>
      <c r="AS66" s="180"/>
      <c r="AT66" s="180"/>
      <c r="AU66" s="180"/>
      <c r="AV66" s="180"/>
      <c r="AW66" s="180"/>
      <c r="AX66" s="181"/>
      <c r="AY66" s="175"/>
      <c r="AZ66" s="232"/>
      <c r="BA66" s="223"/>
      <c r="BB66" s="223"/>
      <c r="BC66" s="223"/>
      <c r="BD66" s="223"/>
      <c r="BE66" s="223"/>
      <c r="BF66" s="223"/>
      <c r="BG66" s="223"/>
      <c r="BH66" s="224"/>
      <c r="BI66" s="204"/>
      <c r="BJ66" s="179"/>
      <c r="BK66" s="180"/>
      <c r="BL66" s="180"/>
      <c r="BM66" s="180"/>
      <c r="BN66" s="180"/>
      <c r="BO66" s="180"/>
      <c r="BP66" s="180"/>
      <c r="BQ66" s="180"/>
      <c r="BR66" s="181"/>
    </row>
    <row r="67" spans="1:80" ht="9" customHeight="1" x14ac:dyDescent="0.3">
      <c r="B67" s="176"/>
      <c r="C67" s="175"/>
      <c r="D67" s="175"/>
      <c r="E67" s="175"/>
      <c r="F67" s="175"/>
      <c r="G67" s="175"/>
      <c r="H67" s="175"/>
      <c r="I67" s="175"/>
      <c r="J67" s="177"/>
      <c r="K67" s="175"/>
      <c r="L67" s="176"/>
      <c r="M67" s="175"/>
      <c r="N67" s="175"/>
      <c r="O67" s="175"/>
      <c r="P67" s="175"/>
      <c r="Q67" s="175"/>
      <c r="R67" s="175"/>
      <c r="S67" s="175"/>
      <c r="T67" s="177"/>
      <c r="U67" s="175"/>
      <c r="V67" s="176"/>
      <c r="W67" s="175"/>
      <c r="X67" s="175"/>
      <c r="Y67" s="175"/>
      <c r="Z67" s="175"/>
      <c r="AA67" s="175"/>
      <c r="AB67" s="175"/>
      <c r="AC67" s="175"/>
      <c r="AD67" s="177"/>
      <c r="AE67" s="175"/>
      <c r="AF67" s="176"/>
      <c r="AG67" s="175"/>
      <c r="AH67" s="175"/>
      <c r="AI67" s="175"/>
      <c r="AJ67" s="175"/>
      <c r="AK67" s="175"/>
      <c r="AL67" s="175"/>
      <c r="AM67" s="175"/>
      <c r="AN67" s="177"/>
      <c r="AO67" s="175"/>
      <c r="AP67" s="176"/>
      <c r="AQ67" s="175"/>
      <c r="AR67" s="175"/>
      <c r="AS67" s="175"/>
      <c r="AT67" s="175"/>
      <c r="AU67" s="175"/>
      <c r="AV67" s="175"/>
      <c r="AW67" s="175"/>
      <c r="AX67" s="177"/>
      <c r="AY67" s="175"/>
      <c r="AZ67" s="232"/>
      <c r="BA67" s="223"/>
      <c r="BB67" s="223"/>
      <c r="BC67" s="223"/>
      <c r="BD67" s="223"/>
      <c r="BE67" s="223"/>
      <c r="BF67" s="223"/>
      <c r="BG67" s="223"/>
      <c r="BH67" s="224"/>
      <c r="BI67" s="204"/>
      <c r="BJ67" s="232"/>
      <c r="BK67" s="223"/>
      <c r="BL67" s="223"/>
      <c r="BM67" s="223"/>
      <c r="BN67" s="223"/>
      <c r="BO67" s="223"/>
      <c r="BP67" s="223"/>
      <c r="BQ67" s="223"/>
      <c r="BR67" s="224"/>
    </row>
    <row r="68" spans="1:80" ht="9" customHeight="1" x14ac:dyDescent="0.3">
      <c r="B68" s="176"/>
      <c r="C68" s="175"/>
      <c r="D68" s="175"/>
      <c r="E68" s="175"/>
      <c r="F68" s="175"/>
      <c r="G68" s="175"/>
      <c r="H68" s="175"/>
      <c r="I68" s="175"/>
      <c r="J68" s="177"/>
      <c r="K68" s="175"/>
      <c r="L68" s="176"/>
      <c r="M68" s="175"/>
      <c r="N68" s="175"/>
      <c r="O68" s="175"/>
      <c r="P68" s="175"/>
      <c r="Q68" s="175"/>
      <c r="R68" s="175"/>
      <c r="S68" s="175"/>
      <c r="T68" s="177"/>
      <c r="U68" s="175"/>
      <c r="V68" s="176"/>
      <c r="W68" s="175"/>
      <c r="X68" s="175"/>
      <c r="Y68" s="175"/>
      <c r="Z68" s="175"/>
      <c r="AA68" s="175"/>
      <c r="AB68" s="175"/>
      <c r="AC68" s="175"/>
      <c r="AD68" s="177"/>
      <c r="AE68" s="175"/>
      <c r="AF68" s="176"/>
      <c r="AG68" s="175"/>
      <c r="AH68" s="175"/>
      <c r="AI68" s="175"/>
      <c r="AJ68" s="175"/>
      <c r="AK68" s="175"/>
      <c r="AL68" s="175"/>
      <c r="AM68" s="175"/>
      <c r="AN68" s="177"/>
      <c r="AO68" s="175"/>
      <c r="AP68" s="176"/>
      <c r="AQ68" s="175"/>
      <c r="AR68" s="175"/>
      <c r="AS68" s="175"/>
      <c r="AT68" s="175"/>
      <c r="AU68" s="175"/>
      <c r="AV68" s="175"/>
      <c r="AW68" s="175"/>
      <c r="AX68" s="177"/>
      <c r="AY68" s="175"/>
      <c r="AZ68" s="232"/>
      <c r="BA68" s="223"/>
      <c r="BB68" s="223"/>
      <c r="BC68" s="223"/>
      <c r="BD68" s="223"/>
      <c r="BE68" s="223"/>
      <c r="BF68" s="223"/>
      <c r="BG68" s="223"/>
      <c r="BH68" s="224"/>
      <c r="BI68" s="204"/>
      <c r="BJ68" s="232"/>
      <c r="BK68" s="223"/>
      <c r="BL68" s="223"/>
      <c r="BM68" s="223"/>
      <c r="BN68" s="223"/>
      <c r="BO68" s="223"/>
      <c r="BP68" s="223"/>
      <c r="BQ68" s="223"/>
      <c r="BR68" s="224"/>
    </row>
    <row r="69" spans="1:80" ht="9" customHeight="1" x14ac:dyDescent="0.3">
      <c r="B69" s="176"/>
      <c r="C69" s="175"/>
      <c r="D69" s="175"/>
      <c r="E69" s="175"/>
      <c r="F69" s="175"/>
      <c r="G69" s="175"/>
      <c r="H69" s="175"/>
      <c r="I69" s="175"/>
      <c r="J69" s="177"/>
      <c r="K69" s="175"/>
      <c r="L69" s="176"/>
      <c r="M69" s="175"/>
      <c r="N69" s="175"/>
      <c r="O69" s="175"/>
      <c r="P69" s="175"/>
      <c r="Q69" s="175"/>
      <c r="R69" s="175"/>
      <c r="S69" s="175"/>
      <c r="T69" s="177"/>
      <c r="U69" s="175"/>
      <c r="V69" s="176"/>
      <c r="W69" s="175"/>
      <c r="X69" s="175"/>
      <c r="Y69" s="175"/>
      <c r="Z69" s="175"/>
      <c r="AA69" s="175"/>
      <c r="AB69" s="175"/>
      <c r="AC69" s="175"/>
      <c r="AD69" s="177"/>
      <c r="AE69" s="175"/>
      <c r="AF69" s="176"/>
      <c r="AG69" s="175"/>
      <c r="AH69" s="175"/>
      <c r="AI69" s="175"/>
      <c r="AJ69" s="175"/>
      <c r="AK69" s="175"/>
      <c r="AL69" s="175"/>
      <c r="AM69" s="175"/>
      <c r="AN69" s="177"/>
      <c r="AO69" s="175"/>
      <c r="AP69" s="176"/>
      <c r="AQ69" s="175"/>
      <c r="AR69" s="175"/>
      <c r="AS69" s="175"/>
      <c r="AT69" s="175"/>
      <c r="AU69" s="175"/>
      <c r="AV69" s="175"/>
      <c r="AW69" s="175"/>
      <c r="AX69" s="177"/>
      <c r="AY69" s="175"/>
      <c r="AZ69" s="232"/>
      <c r="BA69" s="223"/>
      <c r="BB69" s="223"/>
      <c r="BC69" s="223"/>
      <c r="BD69" s="223"/>
      <c r="BE69" s="223"/>
      <c r="BF69" s="223"/>
      <c r="BG69" s="223"/>
      <c r="BH69" s="224"/>
      <c r="BI69" s="204"/>
      <c r="BJ69" s="232"/>
      <c r="BK69" s="223"/>
      <c r="BL69" s="223"/>
      <c r="BM69" s="223"/>
      <c r="BN69" s="223"/>
      <c r="BO69" s="223"/>
      <c r="BP69" s="223"/>
      <c r="BQ69" s="223"/>
      <c r="BR69" s="224"/>
    </row>
    <row r="70" spans="1:80" ht="9" customHeight="1" x14ac:dyDescent="0.3">
      <c r="B70" s="176"/>
      <c r="C70" s="175"/>
      <c r="D70" s="175"/>
      <c r="E70" s="175"/>
      <c r="F70" s="175"/>
      <c r="G70" s="175"/>
      <c r="H70" s="175"/>
      <c r="I70" s="175"/>
      <c r="J70" s="177"/>
      <c r="K70" s="175"/>
      <c r="L70" s="176"/>
      <c r="M70" s="175"/>
      <c r="N70" s="175"/>
      <c r="O70" s="175"/>
      <c r="P70" s="175"/>
      <c r="Q70" s="175"/>
      <c r="R70" s="175"/>
      <c r="S70" s="175"/>
      <c r="T70" s="177"/>
      <c r="U70" s="175"/>
      <c r="V70" s="176"/>
      <c r="W70" s="175"/>
      <c r="X70" s="175"/>
      <c r="Y70" s="175"/>
      <c r="Z70" s="175"/>
      <c r="AA70" s="175"/>
      <c r="AB70" s="175"/>
      <c r="AC70" s="175"/>
      <c r="AD70" s="177"/>
      <c r="AE70" s="175"/>
      <c r="AF70" s="176"/>
      <c r="AG70" s="175"/>
      <c r="AH70" s="175"/>
      <c r="AI70" s="175"/>
      <c r="AJ70" s="175"/>
      <c r="AK70" s="175"/>
      <c r="AL70" s="175"/>
      <c r="AM70" s="175"/>
      <c r="AN70" s="177"/>
      <c r="AO70" s="175"/>
      <c r="AP70" s="176"/>
      <c r="AQ70" s="175"/>
      <c r="AR70" s="175"/>
      <c r="AS70" s="175"/>
      <c r="AT70" s="175"/>
      <c r="AU70" s="175"/>
      <c r="AV70" s="175"/>
      <c r="AW70" s="175"/>
      <c r="AX70" s="177"/>
      <c r="AY70" s="175"/>
      <c r="AZ70" s="232"/>
      <c r="BA70" s="223"/>
      <c r="BB70" s="223"/>
      <c r="BC70" s="223"/>
      <c r="BD70" s="223"/>
      <c r="BE70" s="223"/>
      <c r="BF70" s="223"/>
      <c r="BG70" s="223"/>
      <c r="BH70" s="224"/>
      <c r="BI70" s="204"/>
      <c r="BJ70" s="232"/>
      <c r="BK70" s="223"/>
      <c r="BL70" s="223"/>
      <c r="BM70" s="223"/>
      <c r="BN70" s="223"/>
      <c r="BO70" s="223"/>
      <c r="BP70" s="223"/>
      <c r="BQ70" s="223"/>
      <c r="BR70" s="224"/>
    </row>
    <row r="71" spans="1:80" ht="9" customHeight="1" x14ac:dyDescent="0.3">
      <c r="B71" s="176"/>
      <c r="C71" s="175"/>
      <c r="D71" s="175"/>
      <c r="E71" s="175"/>
      <c r="F71" s="175"/>
      <c r="G71" s="175"/>
      <c r="H71" s="175"/>
      <c r="I71" s="175"/>
      <c r="J71" s="177"/>
      <c r="K71" s="175"/>
      <c r="L71" s="176"/>
      <c r="M71" s="175"/>
      <c r="N71" s="175"/>
      <c r="O71" s="175"/>
      <c r="P71" s="175"/>
      <c r="Q71" s="175"/>
      <c r="R71" s="175"/>
      <c r="S71" s="175"/>
      <c r="T71" s="177"/>
      <c r="U71" s="175"/>
      <c r="V71" s="176"/>
      <c r="W71" s="175"/>
      <c r="X71" s="175"/>
      <c r="Y71" s="175"/>
      <c r="Z71" s="175"/>
      <c r="AA71" s="175"/>
      <c r="AB71" s="175"/>
      <c r="AC71" s="175"/>
      <c r="AD71" s="177"/>
      <c r="AE71" s="175"/>
      <c r="AF71" s="176"/>
      <c r="AG71" s="175"/>
      <c r="AH71" s="175"/>
      <c r="AI71" s="175"/>
      <c r="AJ71" s="175"/>
      <c r="AK71" s="175"/>
      <c r="AL71" s="175"/>
      <c r="AM71" s="175"/>
      <c r="AN71" s="177"/>
      <c r="AO71" s="175"/>
      <c r="AP71" s="176"/>
      <c r="AQ71" s="175"/>
      <c r="AR71" s="175"/>
      <c r="AS71" s="175"/>
      <c r="AT71" s="175"/>
      <c r="AU71" s="175"/>
      <c r="AV71" s="175"/>
      <c r="AW71" s="175"/>
      <c r="AX71" s="177"/>
      <c r="AY71" s="175"/>
      <c r="AZ71" s="232"/>
      <c r="BA71" s="223"/>
      <c r="BB71" s="223"/>
      <c r="BC71" s="223"/>
      <c r="BD71" s="223"/>
      <c r="BE71" s="223"/>
      <c r="BF71" s="223"/>
      <c r="BG71" s="223"/>
      <c r="BH71" s="224"/>
      <c r="BI71" s="204"/>
      <c r="BJ71" s="232"/>
      <c r="BK71" s="223"/>
      <c r="BL71" s="223"/>
      <c r="BM71" s="223"/>
      <c r="BN71" s="223"/>
      <c r="BO71" s="223"/>
      <c r="BP71" s="223"/>
      <c r="BQ71" s="223"/>
      <c r="BR71" s="224"/>
    </row>
    <row r="72" spans="1:80" ht="9" customHeight="1" x14ac:dyDescent="0.3">
      <c r="B72" s="176"/>
      <c r="C72" s="175"/>
      <c r="D72" s="175"/>
      <c r="E72" s="175"/>
      <c r="F72" s="175"/>
      <c r="G72" s="175"/>
      <c r="H72" s="175"/>
      <c r="I72" s="175"/>
      <c r="J72" s="177"/>
      <c r="K72" s="175"/>
      <c r="L72" s="176"/>
      <c r="M72" s="175"/>
      <c r="N72" s="175"/>
      <c r="O72" s="175"/>
      <c r="P72" s="175"/>
      <c r="Q72" s="175"/>
      <c r="R72" s="175"/>
      <c r="S72" s="175"/>
      <c r="T72" s="177"/>
      <c r="U72" s="175"/>
      <c r="V72" s="176"/>
      <c r="W72" s="175"/>
      <c r="X72" s="175"/>
      <c r="Y72" s="175"/>
      <c r="Z72" s="175"/>
      <c r="AA72" s="175"/>
      <c r="AB72" s="175"/>
      <c r="AC72" s="175"/>
      <c r="AD72" s="177"/>
      <c r="AE72" s="175"/>
      <c r="AF72" s="176"/>
      <c r="AG72" s="175"/>
      <c r="AH72" s="175"/>
      <c r="AI72" s="175"/>
      <c r="AJ72" s="175"/>
      <c r="AK72" s="175"/>
      <c r="AL72" s="175"/>
      <c r="AM72" s="175"/>
      <c r="AN72" s="177"/>
      <c r="AO72" s="175"/>
      <c r="AP72" s="176"/>
      <c r="AQ72" s="175"/>
      <c r="AR72" s="175"/>
      <c r="AS72" s="175"/>
      <c r="AT72" s="175"/>
      <c r="AU72" s="175"/>
      <c r="AV72" s="175"/>
      <c r="AW72" s="175"/>
      <c r="AX72" s="177"/>
      <c r="AY72" s="175"/>
      <c r="AZ72" s="232"/>
      <c r="BA72" s="223"/>
      <c r="BB72" s="223"/>
      <c r="BC72" s="223"/>
      <c r="BD72" s="223"/>
      <c r="BE72" s="223"/>
      <c r="BF72" s="223"/>
      <c r="BG72" s="223"/>
      <c r="BH72" s="224"/>
      <c r="BI72" s="204"/>
      <c r="BJ72" s="232"/>
      <c r="BK72" s="223"/>
      <c r="BL72" s="223"/>
      <c r="BM72" s="223"/>
      <c r="BN72" s="223"/>
      <c r="BO72" s="223"/>
      <c r="BP72" s="223"/>
      <c r="BQ72" s="223"/>
      <c r="BR72" s="224"/>
    </row>
    <row r="73" spans="1:80" ht="9" customHeight="1" x14ac:dyDescent="0.3">
      <c r="B73" s="176"/>
      <c r="C73" s="175"/>
      <c r="D73" s="175"/>
      <c r="E73" s="175"/>
      <c r="F73" s="175"/>
      <c r="G73" s="175"/>
      <c r="H73" s="175"/>
      <c r="I73" s="175"/>
      <c r="J73" s="177"/>
      <c r="K73" s="175"/>
      <c r="L73" s="176"/>
      <c r="M73" s="175"/>
      <c r="N73" s="175"/>
      <c r="O73" s="175"/>
      <c r="P73" s="175"/>
      <c r="Q73" s="175"/>
      <c r="R73" s="175"/>
      <c r="S73" s="175"/>
      <c r="T73" s="177"/>
      <c r="U73" s="175"/>
      <c r="V73" s="176"/>
      <c r="W73" s="175"/>
      <c r="X73" s="175"/>
      <c r="Y73" s="175"/>
      <c r="Z73" s="175"/>
      <c r="AA73" s="175"/>
      <c r="AB73" s="175"/>
      <c r="AC73" s="175"/>
      <c r="AD73" s="177"/>
      <c r="AE73" s="175"/>
      <c r="AF73" s="176"/>
      <c r="AG73" s="175"/>
      <c r="AH73" s="175"/>
      <c r="AI73" s="175"/>
      <c r="AJ73" s="175"/>
      <c r="AK73" s="175"/>
      <c r="AL73" s="175"/>
      <c r="AM73" s="175"/>
      <c r="AN73" s="177"/>
      <c r="AO73" s="175"/>
      <c r="AP73" s="176"/>
      <c r="AQ73" s="175"/>
      <c r="AR73" s="175"/>
      <c r="AS73" s="175"/>
      <c r="AT73" s="175"/>
      <c r="AU73" s="175"/>
      <c r="AV73" s="175"/>
      <c r="AW73" s="175"/>
      <c r="AX73" s="177"/>
      <c r="AY73" s="175"/>
      <c r="AZ73" s="232"/>
      <c r="BA73" s="223"/>
      <c r="BB73" s="223"/>
      <c r="BC73" s="223"/>
      <c r="BD73" s="223"/>
      <c r="BE73" s="223"/>
      <c r="BF73" s="223"/>
      <c r="BG73" s="223"/>
      <c r="BH73" s="224"/>
      <c r="BI73" s="204"/>
      <c r="BJ73" s="232"/>
      <c r="BK73" s="223"/>
      <c r="BL73" s="223"/>
      <c r="BM73" s="223"/>
      <c r="BN73" s="223"/>
      <c r="BO73" s="223"/>
      <c r="BP73" s="223"/>
      <c r="BQ73" s="223"/>
      <c r="BR73" s="224"/>
    </row>
    <row r="74" spans="1:80" ht="9" customHeight="1" x14ac:dyDescent="0.3">
      <c r="B74" s="205"/>
      <c r="C74" s="204"/>
      <c r="D74" s="204"/>
      <c r="E74" s="204"/>
      <c r="F74" s="204"/>
      <c r="G74" s="204"/>
      <c r="H74" s="204"/>
      <c r="I74" s="204"/>
      <c r="J74" s="206"/>
      <c r="K74" s="175"/>
      <c r="L74" s="205"/>
      <c r="M74" s="204"/>
      <c r="N74" s="204"/>
      <c r="O74" s="204"/>
      <c r="P74" s="204"/>
      <c r="Q74" s="204"/>
      <c r="R74" s="204"/>
      <c r="S74" s="204"/>
      <c r="T74" s="206"/>
      <c r="U74" s="175"/>
      <c r="V74" s="205"/>
      <c r="W74" s="204"/>
      <c r="X74" s="204"/>
      <c r="Y74" s="204"/>
      <c r="Z74" s="204"/>
      <c r="AA74" s="204"/>
      <c r="AB74" s="204"/>
      <c r="AC74" s="204"/>
      <c r="AD74" s="206"/>
      <c r="AE74" s="175"/>
      <c r="AF74" s="176"/>
      <c r="AG74" s="175"/>
      <c r="AH74" s="175"/>
      <c r="AI74" s="175"/>
      <c r="AJ74" s="175"/>
      <c r="AK74" s="175"/>
      <c r="AL74" s="175"/>
      <c r="AM74" s="175"/>
      <c r="AN74" s="177"/>
      <c r="AO74" s="175"/>
      <c r="AP74" s="176"/>
      <c r="AQ74" s="175"/>
      <c r="AR74" s="175"/>
      <c r="AS74" s="175"/>
      <c r="AT74" s="175"/>
      <c r="AU74" s="175"/>
      <c r="AV74" s="175"/>
      <c r="AW74" s="175"/>
      <c r="AX74" s="177"/>
      <c r="AY74" s="175"/>
      <c r="AZ74" s="232"/>
      <c r="BA74" s="223"/>
      <c r="BB74" s="223"/>
      <c r="BC74" s="223"/>
      <c r="BD74" s="223"/>
      <c r="BE74" s="223"/>
      <c r="BF74" s="223"/>
      <c r="BG74" s="223"/>
      <c r="BH74" s="224"/>
      <c r="BI74" s="204"/>
      <c r="BJ74" s="232"/>
      <c r="BK74" s="223"/>
      <c r="BL74" s="223"/>
      <c r="BM74" s="223"/>
      <c r="BN74" s="223"/>
      <c r="BO74" s="223"/>
      <c r="BP74" s="223"/>
      <c r="BQ74" s="223"/>
      <c r="BR74" s="224"/>
    </row>
    <row r="75" spans="1:80" ht="8.25" customHeight="1" x14ac:dyDescent="0.3">
      <c r="B75" s="176"/>
      <c r="C75" s="175"/>
      <c r="D75" s="175"/>
      <c r="E75" s="175"/>
      <c r="F75" s="175"/>
      <c r="G75" s="175"/>
      <c r="H75" s="175"/>
      <c r="I75" s="175"/>
      <c r="J75" s="177"/>
      <c r="K75" s="175"/>
      <c r="L75" s="176"/>
      <c r="M75" s="175"/>
      <c r="N75" s="175"/>
      <c r="O75" s="175"/>
      <c r="P75" s="175"/>
      <c r="Q75" s="175"/>
      <c r="R75" s="175"/>
      <c r="S75" s="175"/>
      <c r="T75" s="177"/>
      <c r="U75" s="175"/>
      <c r="V75" s="176"/>
      <c r="W75" s="175"/>
      <c r="X75" s="175"/>
      <c r="Y75" s="175"/>
      <c r="Z75" s="175"/>
      <c r="AA75" s="175"/>
      <c r="AB75" s="175"/>
      <c r="AC75" s="175"/>
      <c r="AD75" s="177"/>
      <c r="AE75" s="175"/>
      <c r="AF75" s="176"/>
      <c r="AG75" s="175"/>
      <c r="AH75" s="175"/>
      <c r="AI75" s="175"/>
      <c r="AJ75" s="175"/>
      <c r="AK75" s="175"/>
      <c r="AL75" s="175"/>
      <c r="AM75" s="175"/>
      <c r="AN75" s="177"/>
      <c r="AO75" s="175"/>
      <c r="AP75" s="176"/>
      <c r="AQ75" s="175"/>
      <c r="AR75" s="175"/>
      <c r="AS75" s="175"/>
      <c r="AT75" s="175"/>
      <c r="AU75" s="175"/>
      <c r="AV75" s="175"/>
      <c r="AW75" s="175"/>
      <c r="AX75" s="177"/>
      <c r="AY75" s="175"/>
      <c r="AZ75" s="232"/>
      <c r="BA75" s="223"/>
      <c r="BB75" s="223"/>
      <c r="BC75" s="223"/>
      <c r="BD75" s="223"/>
      <c r="BE75" s="223"/>
      <c r="BF75" s="223"/>
      <c r="BG75" s="223"/>
      <c r="BH75" s="224"/>
      <c r="BI75" s="204"/>
      <c r="BJ75" s="232"/>
      <c r="BK75" s="223"/>
      <c r="BL75" s="223"/>
      <c r="BM75" s="223"/>
      <c r="BN75" s="223"/>
      <c r="BO75" s="223"/>
      <c r="BP75" s="223"/>
      <c r="BQ75" s="223"/>
      <c r="BR75" s="224"/>
    </row>
    <row r="76" spans="1:80" s="66" customFormat="1" ht="9" customHeight="1" x14ac:dyDescent="0.3">
      <c r="A76" s="196"/>
      <c r="B76" s="432" t="s">
        <v>474</v>
      </c>
      <c r="C76" s="432"/>
      <c r="D76" s="432"/>
      <c r="E76" s="432"/>
      <c r="F76" s="432"/>
      <c r="G76" s="433">
        <f>CEILING(3515*B3,1)</f>
        <v>4921</v>
      </c>
      <c r="H76" s="433"/>
      <c r="I76" s="433"/>
      <c r="J76" s="433"/>
      <c r="K76" s="183"/>
      <c r="L76" s="432" t="s">
        <v>421</v>
      </c>
      <c r="M76" s="432"/>
      <c r="N76" s="432"/>
      <c r="O76" s="432"/>
      <c r="P76" s="432"/>
      <c r="Q76" s="433">
        <f>CEILING(3921*B3,1)</f>
        <v>5490</v>
      </c>
      <c r="R76" s="433"/>
      <c r="S76" s="433"/>
      <c r="T76" s="433"/>
      <c r="U76" s="183"/>
      <c r="V76" s="432" t="s">
        <v>633</v>
      </c>
      <c r="W76" s="432"/>
      <c r="X76" s="432"/>
      <c r="Y76" s="432"/>
      <c r="Z76" s="432"/>
      <c r="AA76" s="433">
        <f>CEILING(3664*B3,1)</f>
        <v>5130</v>
      </c>
      <c r="AB76" s="433"/>
      <c r="AC76" s="433"/>
      <c r="AD76" s="433"/>
      <c r="AE76" s="183"/>
      <c r="AF76" s="432" t="s">
        <v>477</v>
      </c>
      <c r="AG76" s="432"/>
      <c r="AH76" s="432"/>
      <c r="AI76" s="432"/>
      <c r="AJ76" s="432"/>
      <c r="AK76" s="433">
        <f>CEILING(5346*B3,1)</f>
        <v>7485</v>
      </c>
      <c r="AL76" s="433"/>
      <c r="AM76" s="433"/>
      <c r="AN76" s="433"/>
      <c r="AO76" s="183"/>
      <c r="AP76" s="432" t="s">
        <v>418</v>
      </c>
      <c r="AQ76" s="432"/>
      <c r="AR76" s="432"/>
      <c r="AS76" s="432"/>
      <c r="AT76" s="432"/>
      <c r="AU76" s="433">
        <f>CEILING(5373*B3,1)</f>
        <v>7523</v>
      </c>
      <c r="AV76" s="433"/>
      <c r="AW76" s="433"/>
      <c r="AX76" s="433"/>
      <c r="AY76" s="183"/>
      <c r="AZ76" s="432" t="s">
        <v>477</v>
      </c>
      <c r="BA76" s="432"/>
      <c r="BB76" s="432"/>
      <c r="BC76" s="432"/>
      <c r="BD76" s="432"/>
      <c r="BE76" s="433">
        <f>CEILING(6450*B3,1)</f>
        <v>9030</v>
      </c>
      <c r="BF76" s="433"/>
      <c r="BG76" s="433"/>
      <c r="BH76" s="433"/>
      <c r="BI76" s="183"/>
      <c r="BJ76" s="432" t="s">
        <v>478</v>
      </c>
      <c r="BK76" s="432"/>
      <c r="BL76" s="432"/>
      <c r="BM76" s="432"/>
      <c r="BN76" s="432"/>
      <c r="BO76" s="433">
        <f>CEILING(3391*B3,1)</f>
        <v>4748</v>
      </c>
      <c r="BP76" s="433"/>
      <c r="BQ76" s="433"/>
      <c r="BR76" s="433"/>
    </row>
    <row r="77" spans="1:80" s="66" customFormat="1" ht="9" customHeight="1" x14ac:dyDescent="0.3">
      <c r="A77" s="196"/>
      <c r="B77" s="432" t="s">
        <v>475</v>
      </c>
      <c r="C77" s="432"/>
      <c r="D77" s="432"/>
      <c r="E77" s="432"/>
      <c r="F77" s="432"/>
      <c r="G77" s="433">
        <f>CEILING(4008*B3,1)</f>
        <v>5612</v>
      </c>
      <c r="H77" s="433"/>
      <c r="I77" s="433"/>
      <c r="J77" s="433"/>
      <c r="K77" s="183"/>
      <c r="L77" s="432" t="s">
        <v>219</v>
      </c>
      <c r="M77" s="432"/>
      <c r="N77" s="432"/>
      <c r="O77" s="432"/>
      <c r="P77" s="432"/>
      <c r="Q77" s="433">
        <f>CEILING(4129*B3,1)</f>
        <v>5781</v>
      </c>
      <c r="R77" s="433"/>
      <c r="S77" s="433"/>
      <c r="T77" s="433"/>
      <c r="U77" s="183"/>
      <c r="V77" s="432" t="s">
        <v>476</v>
      </c>
      <c r="W77" s="432"/>
      <c r="X77" s="432"/>
      <c r="Y77" s="432"/>
      <c r="Z77" s="432"/>
      <c r="AA77" s="433">
        <f>CEILING(4203*B3,1)</f>
        <v>5885</v>
      </c>
      <c r="AB77" s="433"/>
      <c r="AC77" s="433"/>
      <c r="AD77" s="433"/>
      <c r="AE77" s="183"/>
      <c r="AF77" s="432" t="s">
        <v>427</v>
      </c>
      <c r="AG77" s="432"/>
      <c r="AH77" s="432"/>
      <c r="AI77" s="432"/>
      <c r="AJ77" s="432"/>
      <c r="AK77" s="433">
        <f>CEILING(5642*B3,1)</f>
        <v>7899</v>
      </c>
      <c r="AL77" s="433"/>
      <c r="AM77" s="433"/>
      <c r="AN77" s="433"/>
      <c r="AO77" s="183"/>
      <c r="AP77" s="432" t="s">
        <v>423</v>
      </c>
      <c r="AQ77" s="432"/>
      <c r="AR77" s="432"/>
      <c r="AS77" s="432"/>
      <c r="AT77" s="432"/>
      <c r="AU77" s="433">
        <f>CEILING(6095*B3,1)</f>
        <v>8533</v>
      </c>
      <c r="AV77" s="433"/>
      <c r="AW77" s="433"/>
      <c r="AX77" s="433"/>
      <c r="AY77" s="183"/>
      <c r="AZ77" s="432" t="s">
        <v>427</v>
      </c>
      <c r="BA77" s="432"/>
      <c r="BB77" s="432"/>
      <c r="BC77" s="432"/>
      <c r="BD77" s="432"/>
      <c r="BE77" s="433">
        <f>CEILING(7962*B3,1)</f>
        <v>11147</v>
      </c>
      <c r="BF77" s="433"/>
      <c r="BG77" s="433"/>
      <c r="BH77" s="433"/>
      <c r="BI77" s="183"/>
      <c r="BJ77" s="432" t="s">
        <v>635</v>
      </c>
      <c r="BK77" s="432"/>
      <c r="BL77" s="432"/>
      <c r="BM77" s="432"/>
      <c r="BN77" s="432"/>
      <c r="BO77" s="433">
        <f>CEILING(3773*B3,1)</f>
        <v>5283</v>
      </c>
      <c r="BP77" s="433"/>
      <c r="BQ77" s="433"/>
      <c r="BR77" s="433"/>
    </row>
    <row r="78" spans="1:80" ht="1.5" customHeight="1" x14ac:dyDescent="0.3"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</row>
    <row r="79" spans="1:80" ht="9" customHeight="1" x14ac:dyDescent="0.3">
      <c r="B79" s="429" t="s">
        <v>467</v>
      </c>
      <c r="C79" s="430"/>
      <c r="D79" s="431"/>
      <c r="E79" s="444" t="s">
        <v>179</v>
      </c>
      <c r="F79" s="445"/>
      <c r="G79" s="445"/>
      <c r="H79" s="445"/>
      <c r="I79" s="445"/>
      <c r="J79" s="446"/>
      <c r="K79" s="175"/>
      <c r="L79" s="429" t="s">
        <v>468</v>
      </c>
      <c r="M79" s="430"/>
      <c r="N79" s="431"/>
      <c r="O79" s="444" t="s">
        <v>179</v>
      </c>
      <c r="P79" s="445"/>
      <c r="Q79" s="445"/>
      <c r="R79" s="445"/>
      <c r="S79" s="445"/>
      <c r="T79" s="446"/>
      <c r="U79" s="175"/>
      <c r="V79" s="429" t="s">
        <v>469</v>
      </c>
      <c r="W79" s="430"/>
      <c r="X79" s="431"/>
      <c r="Y79" s="444" t="s">
        <v>179</v>
      </c>
      <c r="Z79" s="445"/>
      <c r="AA79" s="445"/>
      <c r="AB79" s="445"/>
      <c r="AC79" s="445"/>
      <c r="AD79" s="446"/>
      <c r="AE79" s="175"/>
      <c r="AF79" s="429" t="s">
        <v>470</v>
      </c>
      <c r="AG79" s="430"/>
      <c r="AH79" s="431"/>
      <c r="AI79" s="445" t="s">
        <v>564</v>
      </c>
      <c r="AJ79" s="445"/>
      <c r="AK79" s="445"/>
      <c r="AL79" s="445"/>
      <c r="AM79" s="445"/>
      <c r="AN79" s="446"/>
      <c r="AO79" s="175"/>
      <c r="AP79" s="429" t="s">
        <v>471</v>
      </c>
      <c r="AQ79" s="430"/>
      <c r="AR79" s="431"/>
      <c r="AS79" s="444" t="s">
        <v>179</v>
      </c>
      <c r="AT79" s="445"/>
      <c r="AU79" s="445"/>
      <c r="AV79" s="445"/>
      <c r="AW79" s="445"/>
      <c r="AX79" s="446"/>
      <c r="AY79" s="175"/>
      <c r="AZ79" s="429" t="s">
        <v>473</v>
      </c>
      <c r="BA79" s="430"/>
      <c r="BB79" s="431"/>
      <c r="BC79" s="444" t="s">
        <v>179</v>
      </c>
      <c r="BD79" s="445"/>
      <c r="BE79" s="445"/>
      <c r="BF79" s="445"/>
      <c r="BG79" s="445"/>
      <c r="BH79" s="446"/>
      <c r="BI79" s="204"/>
      <c r="BJ79" s="429" t="s">
        <v>472</v>
      </c>
      <c r="BK79" s="430"/>
      <c r="BL79" s="431"/>
      <c r="BM79" s="444" t="s">
        <v>179</v>
      </c>
      <c r="BN79" s="445"/>
      <c r="BO79" s="445"/>
      <c r="BP79" s="445"/>
      <c r="BQ79" s="445"/>
      <c r="BR79" s="446"/>
      <c r="BT79" s="470"/>
      <c r="BU79" s="470"/>
      <c r="BV79" s="470"/>
      <c r="BW79" s="470"/>
      <c r="BX79" s="470"/>
      <c r="BY79" s="470"/>
      <c r="BZ79" s="470"/>
      <c r="CA79" s="470"/>
      <c r="CB79" s="470"/>
    </row>
    <row r="80" spans="1:80" ht="9" customHeight="1" x14ac:dyDescent="0.3">
      <c r="B80" s="423" t="s">
        <v>614</v>
      </c>
      <c r="C80" s="424"/>
      <c r="D80" s="424"/>
      <c r="E80" s="424"/>
      <c r="F80" s="424"/>
      <c r="G80" s="424"/>
      <c r="H80" s="424"/>
      <c r="I80" s="424"/>
      <c r="J80" s="425"/>
      <c r="K80" s="175"/>
      <c r="L80" s="423" t="s">
        <v>614</v>
      </c>
      <c r="M80" s="424"/>
      <c r="N80" s="424"/>
      <c r="O80" s="424"/>
      <c r="P80" s="424"/>
      <c r="Q80" s="424"/>
      <c r="R80" s="424"/>
      <c r="S80" s="424"/>
      <c r="T80" s="425"/>
      <c r="U80" s="175"/>
      <c r="V80" s="423" t="s">
        <v>614</v>
      </c>
      <c r="W80" s="424"/>
      <c r="X80" s="424"/>
      <c r="Y80" s="424"/>
      <c r="Z80" s="424"/>
      <c r="AA80" s="424"/>
      <c r="AB80" s="424"/>
      <c r="AC80" s="424"/>
      <c r="AD80" s="425"/>
      <c r="AE80" s="175"/>
      <c r="AF80" s="423" t="s">
        <v>634</v>
      </c>
      <c r="AG80" s="424"/>
      <c r="AH80" s="424"/>
      <c r="AI80" s="424"/>
      <c r="AJ80" s="424"/>
      <c r="AK80" s="424"/>
      <c r="AL80" s="424"/>
      <c r="AM80" s="424"/>
      <c r="AN80" s="425"/>
      <c r="AO80" s="175"/>
      <c r="AP80" s="423" t="s">
        <v>634</v>
      </c>
      <c r="AQ80" s="424"/>
      <c r="AR80" s="424"/>
      <c r="AS80" s="424"/>
      <c r="AT80" s="424"/>
      <c r="AU80" s="424"/>
      <c r="AV80" s="424"/>
      <c r="AW80" s="424"/>
      <c r="AX80" s="425"/>
      <c r="AY80" s="175"/>
      <c r="AZ80" s="423" t="s">
        <v>634</v>
      </c>
      <c r="BA80" s="424"/>
      <c r="BB80" s="424"/>
      <c r="BC80" s="424"/>
      <c r="BD80" s="424"/>
      <c r="BE80" s="424"/>
      <c r="BF80" s="424"/>
      <c r="BG80" s="424"/>
      <c r="BH80" s="425"/>
      <c r="BI80" s="206"/>
      <c r="BJ80" s="423" t="s">
        <v>634</v>
      </c>
      <c r="BK80" s="424"/>
      <c r="BL80" s="424"/>
      <c r="BM80" s="424"/>
      <c r="BN80" s="424"/>
      <c r="BO80" s="424"/>
      <c r="BP80" s="424"/>
      <c r="BQ80" s="424"/>
      <c r="BR80" s="425"/>
      <c r="BT80" s="50"/>
      <c r="BU80" s="50"/>
      <c r="BV80" s="50"/>
      <c r="BW80" s="50"/>
      <c r="BX80" s="50"/>
      <c r="BY80" s="50"/>
      <c r="BZ80" s="50"/>
      <c r="CA80" s="50"/>
      <c r="CB80" s="50"/>
    </row>
    <row r="81" spans="1:80" ht="9" customHeight="1" x14ac:dyDescent="0.3">
      <c r="B81" s="176"/>
      <c r="C81" s="175"/>
      <c r="D81" s="175"/>
      <c r="E81" s="175"/>
      <c r="F81" s="175"/>
      <c r="G81" s="175"/>
      <c r="H81" s="175"/>
      <c r="I81" s="175"/>
      <c r="J81" s="177"/>
      <c r="K81" s="175"/>
      <c r="L81" s="176"/>
      <c r="M81" s="175"/>
      <c r="N81" s="175"/>
      <c r="O81" s="175"/>
      <c r="P81" s="175"/>
      <c r="Q81" s="175"/>
      <c r="R81" s="175"/>
      <c r="S81" s="175"/>
      <c r="T81" s="177"/>
      <c r="U81" s="175"/>
      <c r="V81" s="176"/>
      <c r="W81" s="175"/>
      <c r="X81" s="175"/>
      <c r="Y81" s="175"/>
      <c r="Z81" s="175"/>
      <c r="AA81" s="175"/>
      <c r="AB81" s="175"/>
      <c r="AC81" s="175"/>
      <c r="AD81" s="177"/>
      <c r="AE81" s="175"/>
      <c r="AF81" s="176"/>
      <c r="AG81" s="175"/>
      <c r="AH81" s="175"/>
      <c r="AI81" s="175"/>
      <c r="AJ81" s="175"/>
      <c r="AK81" s="175"/>
      <c r="AL81" s="175"/>
      <c r="AM81" s="175"/>
      <c r="AN81" s="177"/>
      <c r="AO81" s="175"/>
      <c r="AP81" s="176"/>
      <c r="AQ81" s="175"/>
      <c r="AR81" s="175"/>
      <c r="AS81" s="175"/>
      <c r="AT81" s="175"/>
      <c r="AU81" s="175"/>
      <c r="AV81" s="175"/>
      <c r="AW81" s="175"/>
      <c r="AX81" s="177"/>
      <c r="AY81" s="175"/>
      <c r="AZ81" s="232"/>
      <c r="BA81" s="223"/>
      <c r="BB81" s="223"/>
      <c r="BC81" s="180"/>
      <c r="BD81" s="180"/>
      <c r="BE81" s="180"/>
      <c r="BF81" s="180"/>
      <c r="BG81" s="180"/>
      <c r="BH81" s="181"/>
      <c r="BI81" s="206"/>
      <c r="BJ81" s="232"/>
      <c r="BK81" s="223"/>
      <c r="BL81" s="223"/>
      <c r="BM81" s="180"/>
      <c r="BN81" s="180"/>
      <c r="BO81" s="180"/>
      <c r="BP81" s="180"/>
      <c r="BQ81" s="180"/>
      <c r="BR81" s="181"/>
      <c r="BT81" s="50"/>
      <c r="BU81" s="50"/>
      <c r="BV81" s="50"/>
      <c r="BW81" s="34"/>
      <c r="BX81" s="34"/>
      <c r="BY81" s="34"/>
      <c r="BZ81" s="34"/>
      <c r="CA81" s="34"/>
      <c r="CB81" s="34"/>
    </row>
    <row r="82" spans="1:80" ht="9" customHeight="1" x14ac:dyDescent="0.3">
      <c r="B82" s="176"/>
      <c r="C82" s="175"/>
      <c r="D82" s="175"/>
      <c r="E82" s="175"/>
      <c r="F82" s="175"/>
      <c r="G82" s="175"/>
      <c r="H82" s="175"/>
      <c r="I82" s="175"/>
      <c r="J82" s="177"/>
      <c r="K82" s="175"/>
      <c r="L82" s="176"/>
      <c r="M82" s="175"/>
      <c r="N82" s="175"/>
      <c r="O82" s="175"/>
      <c r="P82" s="175"/>
      <c r="Q82" s="175"/>
      <c r="R82" s="175"/>
      <c r="S82" s="175"/>
      <c r="T82" s="177"/>
      <c r="U82" s="175"/>
      <c r="V82" s="176"/>
      <c r="W82" s="175"/>
      <c r="X82" s="175"/>
      <c r="Y82" s="175"/>
      <c r="Z82" s="175"/>
      <c r="AA82" s="175"/>
      <c r="AB82" s="175"/>
      <c r="AC82" s="175"/>
      <c r="AD82" s="177"/>
      <c r="AE82" s="175"/>
      <c r="AF82" s="176"/>
      <c r="AG82" s="175"/>
      <c r="AH82" s="175"/>
      <c r="AI82" s="175"/>
      <c r="AJ82" s="175"/>
      <c r="AK82" s="175"/>
      <c r="AL82" s="175"/>
      <c r="AM82" s="175"/>
      <c r="AN82" s="177"/>
      <c r="AO82" s="175"/>
      <c r="AP82" s="176"/>
      <c r="AQ82" s="175"/>
      <c r="AR82" s="175"/>
      <c r="AS82" s="175"/>
      <c r="AT82" s="175"/>
      <c r="AU82" s="175"/>
      <c r="AV82" s="175"/>
      <c r="AW82" s="175"/>
      <c r="AX82" s="177"/>
      <c r="AY82" s="175"/>
      <c r="AZ82" s="232"/>
      <c r="BA82" s="223"/>
      <c r="BB82" s="223"/>
      <c r="BC82" s="180"/>
      <c r="BD82" s="180"/>
      <c r="BE82" s="180"/>
      <c r="BF82" s="180"/>
      <c r="BG82" s="180"/>
      <c r="BH82" s="181"/>
      <c r="BI82" s="206"/>
      <c r="BJ82" s="232"/>
      <c r="BK82" s="223"/>
      <c r="BL82" s="223"/>
      <c r="BM82" s="180"/>
      <c r="BN82" s="180"/>
      <c r="BO82" s="180"/>
      <c r="BP82" s="180"/>
      <c r="BQ82" s="180"/>
      <c r="BR82" s="181"/>
      <c r="BT82" s="50"/>
      <c r="BU82" s="50"/>
      <c r="BV82" s="50"/>
      <c r="BW82" s="34"/>
      <c r="BX82" s="34"/>
      <c r="BY82" s="34"/>
      <c r="BZ82" s="34"/>
      <c r="CA82" s="34"/>
      <c r="CB82" s="34"/>
    </row>
    <row r="83" spans="1:80" ht="9" customHeight="1" x14ac:dyDescent="0.3">
      <c r="B83" s="176"/>
      <c r="C83" s="175"/>
      <c r="D83" s="175"/>
      <c r="E83" s="175"/>
      <c r="F83" s="175"/>
      <c r="G83" s="175"/>
      <c r="H83" s="175"/>
      <c r="I83" s="175"/>
      <c r="J83" s="177"/>
      <c r="K83" s="175"/>
      <c r="L83" s="176"/>
      <c r="M83" s="175"/>
      <c r="N83" s="175"/>
      <c r="O83" s="175"/>
      <c r="P83" s="175"/>
      <c r="Q83" s="175"/>
      <c r="R83" s="175"/>
      <c r="S83" s="175"/>
      <c r="T83" s="177"/>
      <c r="U83" s="175"/>
      <c r="V83" s="176"/>
      <c r="W83" s="175"/>
      <c r="X83" s="175"/>
      <c r="Y83" s="175"/>
      <c r="Z83" s="175"/>
      <c r="AA83" s="175"/>
      <c r="AB83" s="175"/>
      <c r="AC83" s="175"/>
      <c r="AD83" s="177"/>
      <c r="AE83" s="175"/>
      <c r="AF83" s="176"/>
      <c r="AG83" s="175"/>
      <c r="AH83" s="175"/>
      <c r="AI83" s="175"/>
      <c r="AJ83" s="175"/>
      <c r="AK83" s="175"/>
      <c r="AL83" s="175"/>
      <c r="AM83" s="175"/>
      <c r="AN83" s="177"/>
      <c r="AO83" s="175"/>
      <c r="AP83" s="176"/>
      <c r="AQ83" s="175"/>
      <c r="AR83" s="175"/>
      <c r="AS83" s="175"/>
      <c r="AT83" s="175"/>
      <c r="AU83" s="175"/>
      <c r="AV83" s="175"/>
      <c r="AW83" s="175"/>
      <c r="AX83" s="177"/>
      <c r="AY83" s="175"/>
      <c r="AZ83" s="232"/>
      <c r="BA83" s="223"/>
      <c r="BB83" s="223"/>
      <c r="BC83" s="180"/>
      <c r="BD83" s="180"/>
      <c r="BE83" s="180"/>
      <c r="BF83" s="180"/>
      <c r="BG83" s="180"/>
      <c r="BH83" s="181"/>
      <c r="BI83" s="206"/>
      <c r="BJ83" s="232"/>
      <c r="BK83" s="223"/>
      <c r="BL83" s="223"/>
      <c r="BM83" s="180"/>
      <c r="BN83" s="180"/>
      <c r="BO83" s="180"/>
      <c r="BP83" s="180"/>
      <c r="BQ83" s="180"/>
      <c r="BR83" s="181"/>
      <c r="BT83" s="50"/>
      <c r="BU83" s="50"/>
      <c r="BV83" s="50"/>
      <c r="BW83" s="34"/>
      <c r="BX83" s="34"/>
      <c r="BY83" s="34"/>
      <c r="BZ83" s="34"/>
      <c r="CA83" s="34"/>
      <c r="CB83" s="34"/>
    </row>
    <row r="84" spans="1:80" ht="9" customHeight="1" x14ac:dyDescent="0.3">
      <c r="B84" s="176"/>
      <c r="C84" s="175"/>
      <c r="D84" s="175"/>
      <c r="E84" s="175"/>
      <c r="F84" s="175"/>
      <c r="G84" s="175"/>
      <c r="H84" s="175"/>
      <c r="I84" s="175"/>
      <c r="J84" s="177"/>
      <c r="K84" s="175"/>
      <c r="L84" s="176"/>
      <c r="M84" s="175"/>
      <c r="N84" s="175"/>
      <c r="O84" s="175"/>
      <c r="P84" s="175"/>
      <c r="Q84" s="175"/>
      <c r="R84" s="175"/>
      <c r="S84" s="175"/>
      <c r="T84" s="177"/>
      <c r="U84" s="175"/>
      <c r="V84" s="176"/>
      <c r="W84" s="175"/>
      <c r="X84" s="175"/>
      <c r="Y84" s="175"/>
      <c r="Z84" s="175"/>
      <c r="AA84" s="175"/>
      <c r="AB84" s="175"/>
      <c r="AC84" s="175"/>
      <c r="AD84" s="177"/>
      <c r="AE84" s="175"/>
      <c r="AF84" s="176"/>
      <c r="AG84" s="175"/>
      <c r="AH84" s="175"/>
      <c r="AI84" s="175"/>
      <c r="AJ84" s="175"/>
      <c r="AK84" s="175"/>
      <c r="AL84" s="175"/>
      <c r="AM84" s="175"/>
      <c r="AN84" s="177"/>
      <c r="AO84" s="175"/>
      <c r="AP84" s="176"/>
      <c r="AQ84" s="175"/>
      <c r="AR84" s="175"/>
      <c r="AS84" s="175"/>
      <c r="AT84" s="175"/>
      <c r="AU84" s="175"/>
      <c r="AV84" s="175"/>
      <c r="AW84" s="175"/>
      <c r="AX84" s="177"/>
      <c r="AY84" s="175"/>
      <c r="AZ84" s="232"/>
      <c r="BA84" s="223"/>
      <c r="BB84" s="223"/>
      <c r="BC84" s="180"/>
      <c r="BD84" s="180"/>
      <c r="BE84" s="180"/>
      <c r="BF84" s="180"/>
      <c r="BG84" s="180"/>
      <c r="BH84" s="181"/>
      <c r="BI84" s="206"/>
      <c r="BJ84" s="232"/>
      <c r="BK84" s="223"/>
      <c r="BL84" s="223"/>
      <c r="BM84" s="180"/>
      <c r="BN84" s="180"/>
      <c r="BO84" s="180"/>
      <c r="BP84" s="180"/>
      <c r="BQ84" s="180"/>
      <c r="BR84" s="181"/>
      <c r="BT84" s="50"/>
      <c r="BU84" s="50"/>
      <c r="BV84" s="50"/>
      <c r="BW84" s="34"/>
      <c r="BX84" s="34"/>
      <c r="BY84" s="34"/>
      <c r="BZ84" s="34"/>
      <c r="CA84" s="34"/>
      <c r="CB84" s="34"/>
    </row>
    <row r="85" spans="1:80" ht="9" customHeight="1" x14ac:dyDescent="0.3">
      <c r="B85" s="176"/>
      <c r="C85" s="175"/>
      <c r="D85" s="175"/>
      <c r="E85" s="175"/>
      <c r="F85" s="175"/>
      <c r="G85" s="175"/>
      <c r="H85" s="175"/>
      <c r="I85" s="175"/>
      <c r="J85" s="177"/>
      <c r="K85" s="175"/>
      <c r="L85" s="176"/>
      <c r="M85" s="175"/>
      <c r="N85" s="175"/>
      <c r="O85" s="175"/>
      <c r="P85" s="175"/>
      <c r="Q85" s="175"/>
      <c r="R85" s="175"/>
      <c r="S85" s="175"/>
      <c r="T85" s="177"/>
      <c r="U85" s="175"/>
      <c r="V85" s="176"/>
      <c r="W85" s="175"/>
      <c r="X85" s="175"/>
      <c r="Y85" s="175"/>
      <c r="Z85" s="175"/>
      <c r="AA85" s="175"/>
      <c r="AB85" s="175"/>
      <c r="AC85" s="175"/>
      <c r="AD85" s="177"/>
      <c r="AE85" s="175"/>
      <c r="AF85" s="176"/>
      <c r="AG85" s="175"/>
      <c r="AH85" s="175"/>
      <c r="AI85" s="175"/>
      <c r="AJ85" s="175"/>
      <c r="AK85" s="175"/>
      <c r="AL85" s="175"/>
      <c r="AM85" s="175"/>
      <c r="AN85" s="177"/>
      <c r="AO85" s="175"/>
      <c r="AP85" s="176"/>
      <c r="AQ85" s="175"/>
      <c r="AR85" s="175"/>
      <c r="AS85" s="175"/>
      <c r="AT85" s="175"/>
      <c r="AU85" s="175"/>
      <c r="AV85" s="175"/>
      <c r="AW85" s="175"/>
      <c r="AX85" s="177"/>
      <c r="AY85" s="175"/>
      <c r="AZ85" s="232"/>
      <c r="BA85" s="223"/>
      <c r="BB85" s="223"/>
      <c r="BC85" s="180"/>
      <c r="BD85" s="180"/>
      <c r="BE85" s="180"/>
      <c r="BF85" s="180"/>
      <c r="BG85" s="180"/>
      <c r="BH85" s="181"/>
      <c r="BI85" s="206"/>
      <c r="BJ85" s="232"/>
      <c r="BK85" s="223"/>
      <c r="BL85" s="223"/>
      <c r="BM85" s="180"/>
      <c r="BN85" s="180"/>
      <c r="BO85" s="180"/>
      <c r="BP85" s="180"/>
      <c r="BQ85" s="180"/>
      <c r="BR85" s="181"/>
      <c r="BT85" s="50"/>
      <c r="BU85" s="50"/>
      <c r="BV85" s="50"/>
      <c r="BW85" s="34"/>
      <c r="BX85" s="34"/>
      <c r="BY85" s="34"/>
      <c r="BZ85" s="34"/>
      <c r="CA85" s="34"/>
      <c r="CB85" s="34"/>
    </row>
    <row r="86" spans="1:80" ht="9" customHeight="1" x14ac:dyDescent="0.3">
      <c r="B86" s="176"/>
      <c r="C86" s="175"/>
      <c r="D86" s="175"/>
      <c r="E86" s="175"/>
      <c r="F86" s="175"/>
      <c r="G86" s="175"/>
      <c r="H86" s="175"/>
      <c r="I86" s="175"/>
      <c r="J86" s="177"/>
      <c r="K86" s="175"/>
      <c r="L86" s="176"/>
      <c r="M86" s="175"/>
      <c r="N86" s="175"/>
      <c r="O86" s="175"/>
      <c r="P86" s="175"/>
      <c r="Q86" s="175"/>
      <c r="R86" s="175"/>
      <c r="S86" s="175"/>
      <c r="T86" s="177"/>
      <c r="U86" s="175"/>
      <c r="V86" s="176"/>
      <c r="W86" s="175"/>
      <c r="X86" s="175"/>
      <c r="Y86" s="175"/>
      <c r="Z86" s="175"/>
      <c r="AA86" s="175"/>
      <c r="AB86" s="175"/>
      <c r="AC86" s="175"/>
      <c r="AD86" s="177"/>
      <c r="AE86" s="175"/>
      <c r="AF86" s="176"/>
      <c r="AG86" s="175"/>
      <c r="AH86" s="175"/>
      <c r="AI86" s="175"/>
      <c r="AJ86" s="175"/>
      <c r="AK86" s="175"/>
      <c r="AL86" s="175"/>
      <c r="AM86" s="175"/>
      <c r="AN86" s="177"/>
      <c r="AO86" s="175"/>
      <c r="AP86" s="176"/>
      <c r="AQ86" s="175"/>
      <c r="AR86" s="175"/>
      <c r="AS86" s="175"/>
      <c r="AT86" s="175"/>
      <c r="AU86" s="175"/>
      <c r="AV86" s="175"/>
      <c r="AW86" s="175"/>
      <c r="AX86" s="177"/>
      <c r="AY86" s="175"/>
      <c r="AZ86" s="232"/>
      <c r="BA86" s="223"/>
      <c r="BB86" s="223"/>
      <c r="BC86" s="180"/>
      <c r="BD86" s="180"/>
      <c r="BE86" s="180"/>
      <c r="BF86" s="180"/>
      <c r="BG86" s="180"/>
      <c r="BH86" s="181"/>
      <c r="BI86" s="206"/>
      <c r="BJ86" s="232"/>
      <c r="BK86" s="223"/>
      <c r="BL86" s="223"/>
      <c r="BM86" s="180"/>
      <c r="BN86" s="180"/>
      <c r="BO86" s="180"/>
      <c r="BP86" s="180"/>
      <c r="BQ86" s="180"/>
      <c r="BR86" s="181"/>
      <c r="BT86" s="50"/>
      <c r="BU86" s="50"/>
      <c r="BV86" s="50"/>
      <c r="BW86" s="34"/>
      <c r="BX86" s="34"/>
      <c r="BY86" s="34"/>
      <c r="BZ86" s="34"/>
      <c r="CA86" s="34"/>
      <c r="CB86" s="34"/>
    </row>
    <row r="87" spans="1:80" ht="9" customHeight="1" x14ac:dyDescent="0.3">
      <c r="B87" s="176"/>
      <c r="C87" s="175"/>
      <c r="D87" s="175"/>
      <c r="E87" s="175"/>
      <c r="F87" s="175"/>
      <c r="G87" s="175"/>
      <c r="H87" s="175"/>
      <c r="I87" s="175"/>
      <c r="J87" s="177"/>
      <c r="K87" s="175"/>
      <c r="L87" s="176"/>
      <c r="M87" s="175"/>
      <c r="N87" s="175"/>
      <c r="O87" s="175"/>
      <c r="P87" s="175"/>
      <c r="Q87" s="175"/>
      <c r="R87" s="175"/>
      <c r="S87" s="175"/>
      <c r="T87" s="177"/>
      <c r="U87" s="175"/>
      <c r="V87" s="176"/>
      <c r="W87" s="175"/>
      <c r="X87" s="175"/>
      <c r="Y87" s="175"/>
      <c r="Z87" s="175"/>
      <c r="AA87" s="175"/>
      <c r="AB87" s="175"/>
      <c r="AC87" s="175"/>
      <c r="AD87" s="177"/>
      <c r="AE87" s="175"/>
      <c r="AF87" s="176"/>
      <c r="AG87" s="175"/>
      <c r="AH87" s="175"/>
      <c r="AI87" s="175"/>
      <c r="AJ87" s="175"/>
      <c r="AK87" s="175"/>
      <c r="AL87" s="175"/>
      <c r="AM87" s="175"/>
      <c r="AN87" s="177"/>
      <c r="AO87" s="175"/>
      <c r="AP87" s="176"/>
      <c r="AQ87" s="175"/>
      <c r="AR87" s="175"/>
      <c r="AS87" s="175"/>
      <c r="AT87" s="175"/>
      <c r="AU87" s="175"/>
      <c r="AV87" s="175"/>
      <c r="AW87" s="175"/>
      <c r="AX87" s="177"/>
      <c r="AY87" s="175"/>
      <c r="AZ87" s="232"/>
      <c r="BA87" s="223"/>
      <c r="BB87" s="223"/>
      <c r="BC87" s="180"/>
      <c r="BD87" s="180"/>
      <c r="BE87" s="180"/>
      <c r="BF87" s="180"/>
      <c r="BG87" s="180"/>
      <c r="BH87" s="181"/>
      <c r="BI87" s="206"/>
      <c r="BJ87" s="232"/>
      <c r="BK87" s="223"/>
      <c r="BL87" s="223"/>
      <c r="BM87" s="180"/>
      <c r="BN87" s="180"/>
      <c r="BO87" s="180"/>
      <c r="BP87" s="180"/>
      <c r="BQ87" s="180"/>
      <c r="BR87" s="181"/>
      <c r="BT87" s="50"/>
      <c r="BU87" s="50"/>
      <c r="BV87" s="50"/>
      <c r="BW87" s="34"/>
      <c r="BX87" s="34"/>
      <c r="BY87" s="34"/>
      <c r="BZ87" s="34"/>
      <c r="CA87" s="34"/>
      <c r="CB87" s="34"/>
    </row>
    <row r="88" spans="1:80" ht="9" customHeight="1" x14ac:dyDescent="0.3">
      <c r="B88" s="176"/>
      <c r="C88" s="175"/>
      <c r="D88" s="175"/>
      <c r="E88" s="175"/>
      <c r="F88" s="175"/>
      <c r="G88" s="175"/>
      <c r="H88" s="175"/>
      <c r="I88" s="175"/>
      <c r="J88" s="177"/>
      <c r="K88" s="175"/>
      <c r="L88" s="176"/>
      <c r="M88" s="175"/>
      <c r="N88" s="175"/>
      <c r="O88" s="175"/>
      <c r="P88" s="175"/>
      <c r="Q88" s="175"/>
      <c r="R88" s="175"/>
      <c r="S88" s="175"/>
      <c r="T88" s="177"/>
      <c r="U88" s="175"/>
      <c r="V88" s="176"/>
      <c r="W88" s="175"/>
      <c r="X88" s="175"/>
      <c r="Y88" s="175"/>
      <c r="Z88" s="175"/>
      <c r="AA88" s="175"/>
      <c r="AB88" s="175"/>
      <c r="AC88" s="175"/>
      <c r="AD88" s="177"/>
      <c r="AE88" s="175"/>
      <c r="AF88" s="176"/>
      <c r="AG88" s="175"/>
      <c r="AH88" s="175"/>
      <c r="AI88" s="175"/>
      <c r="AJ88" s="175"/>
      <c r="AK88" s="175"/>
      <c r="AL88" s="175"/>
      <c r="AM88" s="175"/>
      <c r="AN88" s="177"/>
      <c r="AO88" s="175"/>
      <c r="AP88" s="176"/>
      <c r="AQ88" s="175"/>
      <c r="AR88" s="175"/>
      <c r="AS88" s="175"/>
      <c r="AT88" s="175"/>
      <c r="AU88" s="175"/>
      <c r="AV88" s="175"/>
      <c r="AW88" s="175"/>
      <c r="AX88" s="177"/>
      <c r="AY88" s="175"/>
      <c r="AZ88" s="232"/>
      <c r="BA88" s="223"/>
      <c r="BB88" s="223"/>
      <c r="BC88" s="180"/>
      <c r="BD88" s="180"/>
      <c r="BE88" s="180"/>
      <c r="BF88" s="180"/>
      <c r="BG88" s="180"/>
      <c r="BH88" s="181"/>
      <c r="BI88" s="206"/>
      <c r="BJ88" s="232"/>
      <c r="BK88" s="223"/>
      <c r="BL88" s="223"/>
      <c r="BM88" s="180"/>
      <c r="BN88" s="180"/>
      <c r="BO88" s="180"/>
      <c r="BP88" s="180"/>
      <c r="BQ88" s="180"/>
      <c r="BR88" s="181"/>
      <c r="BT88" s="50"/>
      <c r="BU88" s="50"/>
      <c r="BV88" s="50"/>
      <c r="BW88" s="34"/>
      <c r="BX88" s="34"/>
      <c r="BY88" s="34"/>
      <c r="BZ88" s="34"/>
      <c r="CA88" s="34"/>
      <c r="CB88" s="34"/>
    </row>
    <row r="89" spans="1:80" ht="9" customHeight="1" x14ac:dyDescent="0.3">
      <c r="B89" s="176"/>
      <c r="C89" s="175"/>
      <c r="D89" s="175"/>
      <c r="E89" s="175"/>
      <c r="F89" s="175"/>
      <c r="G89" s="175"/>
      <c r="H89" s="175"/>
      <c r="I89" s="175"/>
      <c r="J89" s="177"/>
      <c r="K89" s="175"/>
      <c r="L89" s="176"/>
      <c r="M89" s="175"/>
      <c r="N89" s="175"/>
      <c r="O89" s="175"/>
      <c r="P89" s="175"/>
      <c r="Q89" s="175"/>
      <c r="R89" s="175"/>
      <c r="S89" s="175"/>
      <c r="T89" s="177"/>
      <c r="U89" s="175"/>
      <c r="V89" s="176"/>
      <c r="W89" s="175"/>
      <c r="X89" s="175"/>
      <c r="Y89" s="175"/>
      <c r="Z89" s="175"/>
      <c r="AA89" s="175"/>
      <c r="AB89" s="175"/>
      <c r="AC89" s="175"/>
      <c r="AD89" s="177"/>
      <c r="AE89" s="175"/>
      <c r="AF89" s="176"/>
      <c r="AG89" s="175"/>
      <c r="AH89" s="175"/>
      <c r="AI89" s="175"/>
      <c r="AJ89" s="175"/>
      <c r="AK89" s="175"/>
      <c r="AL89" s="175"/>
      <c r="AM89" s="175"/>
      <c r="AN89" s="177"/>
      <c r="AO89" s="175"/>
      <c r="AP89" s="176"/>
      <c r="AQ89" s="175"/>
      <c r="AR89" s="175"/>
      <c r="AS89" s="175"/>
      <c r="AT89" s="175"/>
      <c r="AU89" s="175"/>
      <c r="AV89" s="175"/>
      <c r="AW89" s="175"/>
      <c r="AX89" s="177"/>
      <c r="AY89" s="175"/>
      <c r="AZ89" s="232"/>
      <c r="BA89" s="223"/>
      <c r="BB89" s="223"/>
      <c r="BC89" s="180"/>
      <c r="BD89" s="180"/>
      <c r="BE89" s="180"/>
      <c r="BF89" s="180"/>
      <c r="BG89" s="180"/>
      <c r="BH89" s="181"/>
      <c r="BI89" s="206"/>
      <c r="BJ89" s="232"/>
      <c r="BK89" s="223"/>
      <c r="BL89" s="223"/>
      <c r="BM89" s="180"/>
      <c r="BN89" s="180"/>
      <c r="BO89" s="180"/>
      <c r="BP89" s="180"/>
      <c r="BQ89" s="180"/>
      <c r="BR89" s="181"/>
      <c r="BT89" s="50"/>
      <c r="BU89" s="50"/>
      <c r="BV89" s="50"/>
      <c r="BW89" s="34"/>
      <c r="BX89" s="34"/>
      <c r="BY89" s="34"/>
      <c r="BZ89" s="34"/>
      <c r="CA89" s="34"/>
      <c r="CB89" s="34"/>
    </row>
    <row r="90" spans="1:80" ht="9" customHeight="1" x14ac:dyDescent="0.3">
      <c r="B90" s="232"/>
      <c r="C90" s="223"/>
      <c r="D90" s="223"/>
      <c r="E90" s="223"/>
      <c r="F90" s="223"/>
      <c r="G90" s="223"/>
      <c r="H90" s="223"/>
      <c r="I90" s="223"/>
      <c r="J90" s="224"/>
      <c r="K90" s="175"/>
      <c r="L90" s="232"/>
      <c r="M90" s="223"/>
      <c r="N90" s="223"/>
      <c r="O90" s="223"/>
      <c r="P90" s="223"/>
      <c r="Q90" s="223"/>
      <c r="R90" s="223"/>
      <c r="S90" s="223"/>
      <c r="T90" s="224"/>
      <c r="U90" s="175"/>
      <c r="V90" s="232"/>
      <c r="W90" s="223"/>
      <c r="X90" s="223"/>
      <c r="Y90" s="223"/>
      <c r="Z90" s="223"/>
      <c r="AA90" s="223"/>
      <c r="AB90" s="223"/>
      <c r="AC90" s="223"/>
      <c r="AD90" s="224"/>
      <c r="AE90" s="175"/>
      <c r="AF90" s="176"/>
      <c r="AG90" s="175"/>
      <c r="AH90" s="175"/>
      <c r="AI90" s="175"/>
      <c r="AJ90" s="175"/>
      <c r="AK90" s="175"/>
      <c r="AL90" s="175"/>
      <c r="AM90" s="175"/>
      <c r="AN90" s="177"/>
      <c r="AO90" s="175"/>
      <c r="AP90" s="176"/>
      <c r="AQ90" s="175"/>
      <c r="AR90" s="175"/>
      <c r="AS90" s="175"/>
      <c r="AT90" s="175"/>
      <c r="AU90" s="175"/>
      <c r="AV90" s="175"/>
      <c r="AW90" s="175"/>
      <c r="AX90" s="177"/>
      <c r="AY90" s="175"/>
      <c r="AZ90" s="176"/>
      <c r="BA90" s="175"/>
      <c r="BB90" s="175"/>
      <c r="BC90" s="175"/>
      <c r="BD90" s="175"/>
      <c r="BE90" s="175"/>
      <c r="BF90" s="175"/>
      <c r="BG90" s="175"/>
      <c r="BH90" s="177"/>
      <c r="BI90" s="206"/>
      <c r="BJ90" s="176"/>
      <c r="BK90" s="175"/>
      <c r="BL90" s="175"/>
      <c r="BM90" s="175"/>
      <c r="BN90" s="175"/>
      <c r="BO90" s="175"/>
      <c r="BP90" s="175"/>
      <c r="BQ90" s="175"/>
      <c r="BR90" s="177"/>
      <c r="BT90" s="50"/>
      <c r="BU90" s="50"/>
      <c r="BV90" s="50"/>
      <c r="BW90" s="50"/>
      <c r="BX90" s="50"/>
      <c r="BY90" s="50"/>
      <c r="BZ90" s="50"/>
      <c r="CA90" s="50"/>
      <c r="CB90" s="50"/>
    </row>
    <row r="91" spans="1:80" ht="9" customHeight="1" x14ac:dyDescent="0.3">
      <c r="B91" s="232"/>
      <c r="C91" s="223"/>
      <c r="D91" s="223"/>
      <c r="E91" s="223"/>
      <c r="F91" s="223"/>
      <c r="G91" s="223"/>
      <c r="H91" s="223"/>
      <c r="I91" s="223"/>
      <c r="J91" s="224"/>
      <c r="K91" s="175"/>
      <c r="L91" s="232"/>
      <c r="M91" s="223"/>
      <c r="N91" s="223"/>
      <c r="O91" s="223"/>
      <c r="P91" s="223"/>
      <c r="Q91" s="223"/>
      <c r="R91" s="223"/>
      <c r="S91" s="223"/>
      <c r="T91" s="224"/>
      <c r="U91" s="175"/>
      <c r="V91" s="232"/>
      <c r="W91" s="223"/>
      <c r="X91" s="223"/>
      <c r="Y91" s="223"/>
      <c r="Z91" s="223"/>
      <c r="AA91" s="223"/>
      <c r="AB91" s="223"/>
      <c r="AC91" s="223"/>
      <c r="AD91" s="224"/>
      <c r="AE91" s="175"/>
      <c r="AF91" s="176"/>
      <c r="AG91" s="175"/>
      <c r="AH91" s="175"/>
      <c r="AI91" s="175"/>
      <c r="AJ91" s="175"/>
      <c r="AK91" s="175"/>
      <c r="AL91" s="175"/>
      <c r="AM91" s="175"/>
      <c r="AN91" s="177"/>
      <c r="AO91" s="175"/>
      <c r="AP91" s="176"/>
      <c r="AQ91" s="175"/>
      <c r="AR91" s="175"/>
      <c r="AS91" s="175"/>
      <c r="AT91" s="175"/>
      <c r="AU91" s="175"/>
      <c r="AV91" s="175"/>
      <c r="AW91" s="175"/>
      <c r="AX91" s="177"/>
      <c r="AY91" s="175"/>
      <c r="AZ91" s="176"/>
      <c r="BA91" s="175"/>
      <c r="BB91" s="175"/>
      <c r="BC91" s="175"/>
      <c r="BD91" s="175"/>
      <c r="BE91" s="175"/>
      <c r="BF91" s="175"/>
      <c r="BG91" s="175"/>
      <c r="BH91" s="177"/>
      <c r="BI91" s="206"/>
      <c r="BJ91" s="176"/>
      <c r="BK91" s="175"/>
      <c r="BL91" s="175"/>
      <c r="BM91" s="175"/>
      <c r="BN91" s="175"/>
      <c r="BO91" s="175"/>
      <c r="BP91" s="175"/>
      <c r="BQ91" s="175"/>
      <c r="BR91" s="177"/>
      <c r="BT91" s="473"/>
      <c r="BU91" s="473"/>
      <c r="BV91" s="473"/>
      <c r="BW91" s="473"/>
      <c r="BX91" s="473"/>
      <c r="BY91" s="470"/>
      <c r="BZ91" s="470"/>
      <c r="CA91" s="470"/>
      <c r="CB91" s="470"/>
    </row>
    <row r="92" spans="1:80" ht="9" customHeight="1" x14ac:dyDescent="0.3">
      <c r="B92" s="232"/>
      <c r="C92" s="223"/>
      <c r="D92" s="223"/>
      <c r="E92" s="223"/>
      <c r="F92" s="223"/>
      <c r="G92" s="223"/>
      <c r="H92" s="223"/>
      <c r="I92" s="223"/>
      <c r="J92" s="224"/>
      <c r="K92" s="175"/>
      <c r="L92" s="232"/>
      <c r="M92" s="223"/>
      <c r="N92" s="223"/>
      <c r="O92" s="223"/>
      <c r="P92" s="223"/>
      <c r="Q92" s="223"/>
      <c r="R92" s="223"/>
      <c r="S92" s="223"/>
      <c r="T92" s="224"/>
      <c r="U92" s="175"/>
      <c r="V92" s="232"/>
      <c r="W92" s="223"/>
      <c r="X92" s="223"/>
      <c r="Y92" s="223"/>
      <c r="Z92" s="223"/>
      <c r="AA92" s="223"/>
      <c r="AB92" s="223"/>
      <c r="AC92" s="223"/>
      <c r="AD92" s="224"/>
      <c r="AE92" s="175"/>
      <c r="AF92" s="432" t="s">
        <v>421</v>
      </c>
      <c r="AG92" s="432"/>
      <c r="AH92" s="432"/>
      <c r="AI92" s="432"/>
      <c r="AJ92" s="432"/>
      <c r="AK92" s="433" t="s">
        <v>479</v>
      </c>
      <c r="AL92" s="433"/>
      <c r="AM92" s="433">
        <f>CEILING(6690*B3,1)</f>
        <v>9366</v>
      </c>
      <c r="AN92" s="433"/>
      <c r="AO92" s="183"/>
      <c r="AP92" s="432" t="s">
        <v>421</v>
      </c>
      <c r="AQ92" s="432"/>
      <c r="AR92" s="432"/>
      <c r="AS92" s="432"/>
      <c r="AT92" s="432"/>
      <c r="AU92" s="433" t="s">
        <v>479</v>
      </c>
      <c r="AV92" s="433"/>
      <c r="AW92" s="433">
        <f>CEILING(7040*B3,1)</f>
        <v>9856</v>
      </c>
      <c r="AX92" s="433"/>
      <c r="AY92" s="183"/>
      <c r="AZ92" s="432" t="s">
        <v>421</v>
      </c>
      <c r="BA92" s="432"/>
      <c r="BB92" s="432"/>
      <c r="BC92" s="432"/>
      <c r="BD92" s="432"/>
      <c r="BE92" s="433" t="s">
        <v>612</v>
      </c>
      <c r="BF92" s="433"/>
      <c r="BG92" s="433">
        <f>CEILING(5014*B3,1)</f>
        <v>7020</v>
      </c>
      <c r="BH92" s="433"/>
      <c r="BI92" s="183"/>
      <c r="BJ92" s="432" t="s">
        <v>421</v>
      </c>
      <c r="BK92" s="432"/>
      <c r="BL92" s="432"/>
      <c r="BM92" s="432"/>
      <c r="BN92" s="432"/>
      <c r="BO92" s="433" t="s">
        <v>612</v>
      </c>
      <c r="BP92" s="433"/>
      <c r="BQ92" s="433">
        <f>CEILING(5530*B3,1)</f>
        <v>7742</v>
      </c>
      <c r="BR92" s="433"/>
      <c r="BT92" s="50"/>
      <c r="BU92" s="50"/>
      <c r="BV92" s="50"/>
      <c r="BW92" s="50"/>
      <c r="BX92" s="50"/>
      <c r="BY92" s="50"/>
      <c r="BZ92" s="50"/>
      <c r="CA92" s="50"/>
      <c r="CB92" s="50"/>
    </row>
    <row r="93" spans="1:80" s="66" customFormat="1" ht="9" customHeight="1" x14ac:dyDescent="0.3">
      <c r="A93" s="196"/>
      <c r="B93" s="432" t="s">
        <v>481</v>
      </c>
      <c r="C93" s="432"/>
      <c r="D93" s="432"/>
      <c r="E93" s="432"/>
      <c r="F93" s="432"/>
      <c r="G93" s="433">
        <f>CEILING(3210*B3,1)</f>
        <v>4494</v>
      </c>
      <c r="H93" s="433"/>
      <c r="I93" s="433"/>
      <c r="J93" s="433"/>
      <c r="K93" s="183"/>
      <c r="L93" s="432" t="s">
        <v>635</v>
      </c>
      <c r="M93" s="432"/>
      <c r="N93" s="432"/>
      <c r="O93" s="432"/>
      <c r="P93" s="432"/>
      <c r="Q93" s="433">
        <f>CEILING(4915*B3,1)</f>
        <v>6881</v>
      </c>
      <c r="R93" s="433"/>
      <c r="S93" s="433"/>
      <c r="T93" s="433"/>
      <c r="U93" s="183"/>
      <c r="V93" s="432" t="s">
        <v>482</v>
      </c>
      <c r="W93" s="432"/>
      <c r="X93" s="432"/>
      <c r="Y93" s="432"/>
      <c r="Z93" s="432"/>
      <c r="AA93" s="433">
        <f>CEILING(4179*B3,1)</f>
        <v>5851</v>
      </c>
      <c r="AB93" s="433"/>
      <c r="AC93" s="433"/>
      <c r="AD93" s="433"/>
      <c r="AE93" s="237"/>
      <c r="AF93" s="432" t="s">
        <v>219</v>
      </c>
      <c r="AG93" s="432"/>
      <c r="AH93" s="432"/>
      <c r="AI93" s="432"/>
      <c r="AJ93" s="432"/>
      <c r="AK93" s="433" t="s">
        <v>480</v>
      </c>
      <c r="AL93" s="433"/>
      <c r="AM93" s="433">
        <f>CEILING(7938*B3,1)</f>
        <v>11114</v>
      </c>
      <c r="AN93" s="433"/>
      <c r="AO93" s="183"/>
      <c r="AP93" s="432" t="s">
        <v>219</v>
      </c>
      <c r="AQ93" s="432"/>
      <c r="AR93" s="432"/>
      <c r="AS93" s="432"/>
      <c r="AT93" s="432"/>
      <c r="AU93" s="433" t="s">
        <v>480</v>
      </c>
      <c r="AV93" s="433"/>
      <c r="AW93" s="433">
        <f>CEILING(8319*B3,1)</f>
        <v>11647</v>
      </c>
      <c r="AX93" s="433"/>
      <c r="AY93" s="183"/>
      <c r="AZ93" s="432" t="s">
        <v>219</v>
      </c>
      <c r="BA93" s="432"/>
      <c r="BB93" s="432"/>
      <c r="BC93" s="432"/>
      <c r="BD93" s="432"/>
      <c r="BE93" s="433" t="s">
        <v>613</v>
      </c>
      <c r="BF93" s="433"/>
      <c r="BG93" s="433">
        <f>CEILING(5715*B3,1)</f>
        <v>8001</v>
      </c>
      <c r="BH93" s="433"/>
      <c r="BI93" s="183"/>
      <c r="BJ93" s="432" t="s">
        <v>219</v>
      </c>
      <c r="BK93" s="432"/>
      <c r="BL93" s="432"/>
      <c r="BM93" s="432"/>
      <c r="BN93" s="432"/>
      <c r="BO93" s="433" t="s">
        <v>613</v>
      </c>
      <c r="BP93" s="433"/>
      <c r="BQ93" s="433">
        <f>CEILING(5764*B3,1)</f>
        <v>8070</v>
      </c>
      <c r="BR93" s="433"/>
      <c r="BT93" s="475"/>
      <c r="BU93" s="475"/>
      <c r="BV93" s="475"/>
      <c r="BW93" s="475"/>
      <c r="BX93" s="475"/>
      <c r="BY93" s="474"/>
      <c r="BZ93" s="474"/>
      <c r="CA93" s="474"/>
      <c r="CB93" s="474"/>
    </row>
  </sheetData>
  <mergeCells count="261">
    <mergeCell ref="E79:J79"/>
    <mergeCell ref="L79:N79"/>
    <mergeCell ref="O79:T79"/>
    <mergeCell ref="V79:X79"/>
    <mergeCell ref="Y79:AD79"/>
    <mergeCell ref="B76:F76"/>
    <mergeCell ref="G76:J76"/>
    <mergeCell ref="L76:P76"/>
    <mergeCell ref="AF5:AH5"/>
    <mergeCell ref="AI5:AN5"/>
    <mergeCell ref="B5:D5"/>
    <mergeCell ref="E5:J5"/>
    <mergeCell ref="L5:N5"/>
    <mergeCell ref="O5:T5"/>
    <mergeCell ref="V5:X5"/>
    <mergeCell ref="BC5:BH5"/>
    <mergeCell ref="B80:J80"/>
    <mergeCell ref="L80:T80"/>
    <mergeCell ref="V80:AD80"/>
    <mergeCell ref="B48:J48"/>
    <mergeCell ref="L48:T48"/>
    <mergeCell ref="V48:AD48"/>
    <mergeCell ref="AF48:AN48"/>
    <mergeCell ref="AP48:AX48"/>
    <mergeCell ref="B64:J64"/>
    <mergeCell ref="L64:T64"/>
    <mergeCell ref="V64:AD64"/>
    <mergeCell ref="AF64:AN64"/>
    <mergeCell ref="AP64:AX64"/>
    <mergeCell ref="AU61:AX61"/>
    <mergeCell ref="AU76:AX76"/>
    <mergeCell ref="B79:D79"/>
    <mergeCell ref="BJ5:BL5"/>
    <mergeCell ref="BM5:BR5"/>
    <mergeCell ref="AP5:AR5"/>
    <mergeCell ref="AS5:AX5"/>
    <mergeCell ref="AZ5:BB5"/>
    <mergeCell ref="L3:BR3"/>
    <mergeCell ref="B3:J3"/>
    <mergeCell ref="B1:BR1"/>
    <mergeCell ref="O18:T18"/>
    <mergeCell ref="BO16:BR16"/>
    <mergeCell ref="AK16:AN16"/>
    <mergeCell ref="AP16:AT16"/>
    <mergeCell ref="AU16:AX16"/>
    <mergeCell ref="AZ16:BD16"/>
    <mergeCell ref="BE16:BH16"/>
    <mergeCell ref="BJ16:BN16"/>
    <mergeCell ref="B16:F16"/>
    <mergeCell ref="G16:J16"/>
    <mergeCell ref="L16:P16"/>
    <mergeCell ref="Q16:T16"/>
    <mergeCell ref="V16:Z16"/>
    <mergeCell ref="AA16:AD16"/>
    <mergeCell ref="AF16:AJ16"/>
    <mergeCell ref="Y5:AD5"/>
    <mergeCell ref="V29:Z29"/>
    <mergeCell ref="AA29:AD29"/>
    <mergeCell ref="AF29:AJ29"/>
    <mergeCell ref="AK29:AN29"/>
    <mergeCell ref="AS18:AX18"/>
    <mergeCell ref="AZ18:BB18"/>
    <mergeCell ref="BC18:BH18"/>
    <mergeCell ref="BJ18:BL18"/>
    <mergeCell ref="BM18:BR18"/>
    <mergeCell ref="V18:X18"/>
    <mergeCell ref="AF31:AH31"/>
    <mergeCell ref="AI31:AN31"/>
    <mergeCell ref="AP31:AR31"/>
    <mergeCell ref="AP44:AT44"/>
    <mergeCell ref="AS31:AX31"/>
    <mergeCell ref="AU44:AX44"/>
    <mergeCell ref="AZ31:BB31"/>
    <mergeCell ref="BC31:BH31"/>
    <mergeCell ref="B31:D31"/>
    <mergeCell ref="E31:J31"/>
    <mergeCell ref="L31:N31"/>
    <mergeCell ref="O31:T31"/>
    <mergeCell ref="AZ44:BD44"/>
    <mergeCell ref="BJ47:BL47"/>
    <mergeCell ref="BM47:BR47"/>
    <mergeCell ref="BJ45:BN45"/>
    <mergeCell ref="BO45:BR45"/>
    <mergeCell ref="B47:D47"/>
    <mergeCell ref="E47:J47"/>
    <mergeCell ref="L47:N47"/>
    <mergeCell ref="O47:T47"/>
    <mergeCell ref="V47:X47"/>
    <mergeCell ref="Y47:AD47"/>
    <mergeCell ref="AF47:AH47"/>
    <mergeCell ref="AI47:AN47"/>
    <mergeCell ref="AF45:AJ45"/>
    <mergeCell ref="AK45:AN45"/>
    <mergeCell ref="AP45:AT45"/>
    <mergeCell ref="AU45:AX45"/>
    <mergeCell ref="AZ45:BD45"/>
    <mergeCell ref="BE45:BH45"/>
    <mergeCell ref="B45:F45"/>
    <mergeCell ref="G45:J45"/>
    <mergeCell ref="L45:P45"/>
    <mergeCell ref="Q45:T45"/>
    <mergeCell ref="V45:Z45"/>
    <mergeCell ref="AA45:AD45"/>
    <mergeCell ref="BJ61:BN61"/>
    <mergeCell ref="BO61:BR61"/>
    <mergeCell ref="AZ48:BH48"/>
    <mergeCell ref="BJ48:BR48"/>
    <mergeCell ref="B61:F61"/>
    <mergeCell ref="G61:J61"/>
    <mergeCell ref="L61:P61"/>
    <mergeCell ref="Q61:T61"/>
    <mergeCell ref="V61:Z61"/>
    <mergeCell ref="AA61:AD61"/>
    <mergeCell ref="AF61:AJ61"/>
    <mergeCell ref="AK61:AN61"/>
    <mergeCell ref="AU60:AX60"/>
    <mergeCell ref="AZ60:BD60"/>
    <mergeCell ref="BE60:BH60"/>
    <mergeCell ref="B60:F60"/>
    <mergeCell ref="G60:J60"/>
    <mergeCell ref="L60:P60"/>
    <mergeCell ref="Q60:T60"/>
    <mergeCell ref="V60:Z60"/>
    <mergeCell ref="AA60:AD60"/>
    <mergeCell ref="AF60:AJ60"/>
    <mergeCell ref="AK60:AN60"/>
    <mergeCell ref="AP60:AT60"/>
    <mergeCell ref="BJ63:BL63"/>
    <mergeCell ref="BM63:BR63"/>
    <mergeCell ref="AF63:AH63"/>
    <mergeCell ref="AI63:AN63"/>
    <mergeCell ref="AP63:AR63"/>
    <mergeCell ref="AS63:AX63"/>
    <mergeCell ref="AZ63:BB63"/>
    <mergeCell ref="BC63:BH63"/>
    <mergeCell ref="AZ64:BH64"/>
    <mergeCell ref="BJ64:BR64"/>
    <mergeCell ref="BY91:CB91"/>
    <mergeCell ref="BJ79:BL79"/>
    <mergeCell ref="BM79:BR79"/>
    <mergeCell ref="BT79:BV79"/>
    <mergeCell ref="BW79:CB79"/>
    <mergeCell ref="AF79:AH79"/>
    <mergeCell ref="AI79:AN79"/>
    <mergeCell ref="AP79:AR79"/>
    <mergeCell ref="AS79:AX79"/>
    <mergeCell ref="AZ79:BB79"/>
    <mergeCell ref="BC79:BH79"/>
    <mergeCell ref="B93:F93"/>
    <mergeCell ref="G93:J93"/>
    <mergeCell ref="L93:P93"/>
    <mergeCell ref="Q93:T93"/>
    <mergeCell ref="V93:Z93"/>
    <mergeCell ref="AA93:AD93"/>
    <mergeCell ref="AF93:AJ93"/>
    <mergeCell ref="AF92:AJ92"/>
    <mergeCell ref="AP92:AT92"/>
    <mergeCell ref="BT93:BX93"/>
    <mergeCell ref="BY93:CB93"/>
    <mergeCell ref="AP18:AR18"/>
    <mergeCell ref="AI18:AN18"/>
    <mergeCell ref="AF18:AH18"/>
    <mergeCell ref="Y18:AD18"/>
    <mergeCell ref="AF19:AN19"/>
    <mergeCell ref="AP19:AX19"/>
    <mergeCell ref="AZ19:BH19"/>
    <mergeCell ref="BJ19:BR19"/>
    <mergeCell ref="AP93:AT93"/>
    <mergeCell ref="AZ93:BD93"/>
    <mergeCell ref="BJ93:BN93"/>
    <mergeCell ref="AU93:AV93"/>
    <mergeCell ref="AW93:AX93"/>
    <mergeCell ref="BE93:BF93"/>
    <mergeCell ref="BG93:BH93"/>
    <mergeCell ref="BJ92:BN92"/>
    <mergeCell ref="AZ92:BD92"/>
    <mergeCell ref="AU92:AV92"/>
    <mergeCell ref="AW92:AX92"/>
    <mergeCell ref="BE92:BF92"/>
    <mergeCell ref="BG92:BH92"/>
    <mergeCell ref="BT91:BX91"/>
    <mergeCell ref="BJ44:BN44"/>
    <mergeCell ref="BO44:BR44"/>
    <mergeCell ref="L18:N18"/>
    <mergeCell ref="E18:J18"/>
    <mergeCell ref="B18:D18"/>
    <mergeCell ref="B19:J19"/>
    <mergeCell ref="L19:T19"/>
    <mergeCell ref="V19:AD19"/>
    <mergeCell ref="V31:X31"/>
    <mergeCell ref="Y31:AD31"/>
    <mergeCell ref="AP29:AT29"/>
    <mergeCell ref="AU29:AX29"/>
    <mergeCell ref="AZ29:BD29"/>
    <mergeCell ref="BE29:BH29"/>
    <mergeCell ref="BJ29:BN29"/>
    <mergeCell ref="BO29:BR29"/>
    <mergeCell ref="B29:F29"/>
    <mergeCell ref="G29:J29"/>
    <mergeCell ref="L29:P29"/>
    <mergeCell ref="Q29:T29"/>
    <mergeCell ref="BJ31:BL31"/>
    <mergeCell ref="BM31:BR31"/>
    <mergeCell ref="B44:F44"/>
    <mergeCell ref="G44:J44"/>
    <mergeCell ref="AZ61:BD61"/>
    <mergeCell ref="AP47:AR47"/>
    <mergeCell ref="AS47:AX47"/>
    <mergeCell ref="AZ47:BB47"/>
    <mergeCell ref="BC47:BH47"/>
    <mergeCell ref="BE44:BH44"/>
    <mergeCell ref="BE61:BH61"/>
    <mergeCell ref="B63:D63"/>
    <mergeCell ref="E63:J63"/>
    <mergeCell ref="L63:N63"/>
    <mergeCell ref="O63:T63"/>
    <mergeCell ref="V63:X63"/>
    <mergeCell ref="Y63:AD63"/>
    <mergeCell ref="AP61:AT61"/>
    <mergeCell ref="L44:P44"/>
    <mergeCell ref="Q44:T44"/>
    <mergeCell ref="V44:Z44"/>
    <mergeCell ref="AA44:AD44"/>
    <mergeCell ref="AF44:AJ44"/>
    <mergeCell ref="AK44:AN44"/>
    <mergeCell ref="Q76:T76"/>
    <mergeCell ref="V76:Z76"/>
    <mergeCell ref="AA76:AD76"/>
    <mergeCell ref="BE77:BH77"/>
    <mergeCell ref="BJ77:BN77"/>
    <mergeCell ref="BO77:BR77"/>
    <mergeCell ref="B77:F77"/>
    <mergeCell ref="G77:J77"/>
    <mergeCell ref="L77:P77"/>
    <mergeCell ref="Q77:T77"/>
    <mergeCell ref="V77:Z77"/>
    <mergeCell ref="AA77:AD77"/>
    <mergeCell ref="AF77:AJ77"/>
    <mergeCell ref="AK77:AN77"/>
    <mergeCell ref="AP77:AT77"/>
    <mergeCell ref="AU77:AX77"/>
    <mergeCell ref="AZ77:BD77"/>
    <mergeCell ref="AZ76:BD76"/>
    <mergeCell ref="BE76:BH76"/>
    <mergeCell ref="AF76:AJ76"/>
    <mergeCell ref="AK76:AN76"/>
    <mergeCell ref="AP76:AT76"/>
    <mergeCell ref="BJ76:BN76"/>
    <mergeCell ref="BO76:BR76"/>
    <mergeCell ref="BO93:BP93"/>
    <mergeCell ref="BQ93:BR93"/>
    <mergeCell ref="AP80:AX80"/>
    <mergeCell ref="AZ80:BH80"/>
    <mergeCell ref="BJ80:BR80"/>
    <mergeCell ref="AF80:AN80"/>
    <mergeCell ref="AM92:AN92"/>
    <mergeCell ref="AK92:AL92"/>
    <mergeCell ref="AK93:AL93"/>
    <mergeCell ref="AM93:AN93"/>
    <mergeCell ref="BO92:BP92"/>
    <mergeCell ref="BQ92:BR92"/>
  </mergeCells>
  <pageMargins left="0.23622047244094491" right="0.23622047244094491" top="0.35433070866141736" bottom="0.35433070866141736" header="0.31496062992125984" footer="0.31496062992125984"/>
  <pageSetup paperSize="9" scale="85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CB101"/>
  <sheetViews>
    <sheetView showGridLines="0" view="pageBreakPreview" zoomScale="88" zoomScaleNormal="115" zoomScaleSheetLayoutView="88" workbookViewId="0">
      <selection activeCell="CE1" sqref="CE1"/>
    </sheetView>
  </sheetViews>
  <sheetFormatPr defaultColWidth="8.77734375" defaultRowHeight="13.8" x14ac:dyDescent="0.3"/>
  <cols>
    <col min="1" max="1" width="0.33203125" style="27" customWidth="1"/>
    <col min="2" max="5" width="1.6640625" style="27" customWidth="1"/>
    <col min="6" max="6" width="8.109375" style="27" customWidth="1"/>
    <col min="7" max="10" width="1.6640625" style="27" customWidth="1"/>
    <col min="11" max="11" width="0.33203125" style="27" customWidth="1"/>
    <col min="12" max="15" width="1.6640625" style="27" customWidth="1"/>
    <col min="16" max="16" width="8" style="27" customWidth="1"/>
    <col min="17" max="20" width="1.6640625" style="27" customWidth="1"/>
    <col min="21" max="21" width="0.33203125" style="27" customWidth="1"/>
    <col min="22" max="25" width="1.6640625" style="27" customWidth="1"/>
    <col min="26" max="26" width="8" style="27" customWidth="1"/>
    <col min="27" max="30" width="1.6640625" style="27" customWidth="1"/>
    <col min="31" max="31" width="0.33203125" style="27" customWidth="1"/>
    <col min="32" max="35" width="1.6640625" style="27" customWidth="1"/>
    <col min="36" max="36" width="7.109375" style="27" customWidth="1"/>
    <col min="37" max="40" width="1.6640625" style="27" customWidth="1"/>
    <col min="41" max="41" width="0.33203125" style="27" customWidth="1"/>
    <col min="42" max="45" width="1.6640625" style="27" customWidth="1"/>
    <col min="46" max="46" width="7.44140625" style="27" customWidth="1"/>
    <col min="47" max="50" width="1.6640625" style="27" customWidth="1"/>
    <col min="51" max="51" width="0.33203125" style="27" customWidth="1"/>
    <col min="52" max="55" width="1.6640625" style="27" customWidth="1"/>
    <col min="56" max="56" width="7.6640625" style="27" customWidth="1"/>
    <col min="57" max="60" width="1.6640625" style="27" customWidth="1"/>
    <col min="61" max="61" width="0.33203125" style="27" customWidth="1"/>
    <col min="62" max="65" width="1.6640625" style="27" customWidth="1"/>
    <col min="66" max="66" width="8.6640625" style="27" customWidth="1"/>
    <col min="67" max="70" width="1.6640625" style="27" customWidth="1"/>
    <col min="71" max="71" width="0.33203125" style="27" customWidth="1"/>
    <col min="72" max="80" width="1.6640625" style="27" customWidth="1"/>
    <col min="81" max="256" width="9.109375" style="27"/>
    <col min="257" max="257" width="0.33203125" style="27" customWidth="1"/>
    <col min="258" max="266" width="1.6640625" style="27" customWidth="1"/>
    <col min="267" max="267" width="0.33203125" style="27" customWidth="1"/>
    <col min="268" max="276" width="1.6640625" style="27" customWidth="1"/>
    <col min="277" max="277" width="0.33203125" style="27" customWidth="1"/>
    <col min="278" max="286" width="1.6640625" style="27" customWidth="1"/>
    <col min="287" max="287" width="0.33203125" style="27" customWidth="1"/>
    <col min="288" max="296" width="1.6640625" style="27" customWidth="1"/>
    <col min="297" max="297" width="0.33203125" style="27" customWidth="1"/>
    <col min="298" max="306" width="1.6640625" style="27" customWidth="1"/>
    <col min="307" max="307" width="0.33203125" style="27" customWidth="1"/>
    <col min="308" max="316" width="1.6640625" style="27" customWidth="1"/>
    <col min="317" max="317" width="0.33203125" style="27" customWidth="1"/>
    <col min="318" max="326" width="1.6640625" style="27" customWidth="1"/>
    <col min="327" max="327" width="0.33203125" style="27" customWidth="1"/>
    <col min="328" max="336" width="1.6640625" style="27" customWidth="1"/>
    <col min="337" max="512" width="9.109375" style="27"/>
    <col min="513" max="513" width="0.33203125" style="27" customWidth="1"/>
    <col min="514" max="522" width="1.6640625" style="27" customWidth="1"/>
    <col min="523" max="523" width="0.33203125" style="27" customWidth="1"/>
    <col min="524" max="532" width="1.6640625" style="27" customWidth="1"/>
    <col min="533" max="533" width="0.33203125" style="27" customWidth="1"/>
    <col min="534" max="542" width="1.6640625" style="27" customWidth="1"/>
    <col min="543" max="543" width="0.33203125" style="27" customWidth="1"/>
    <col min="544" max="552" width="1.6640625" style="27" customWidth="1"/>
    <col min="553" max="553" width="0.33203125" style="27" customWidth="1"/>
    <col min="554" max="562" width="1.6640625" style="27" customWidth="1"/>
    <col min="563" max="563" width="0.33203125" style="27" customWidth="1"/>
    <col min="564" max="572" width="1.6640625" style="27" customWidth="1"/>
    <col min="573" max="573" width="0.33203125" style="27" customWidth="1"/>
    <col min="574" max="582" width="1.6640625" style="27" customWidth="1"/>
    <col min="583" max="583" width="0.33203125" style="27" customWidth="1"/>
    <col min="584" max="592" width="1.6640625" style="27" customWidth="1"/>
    <col min="593" max="768" width="9.109375" style="27"/>
    <col min="769" max="769" width="0.33203125" style="27" customWidth="1"/>
    <col min="770" max="778" width="1.6640625" style="27" customWidth="1"/>
    <col min="779" max="779" width="0.33203125" style="27" customWidth="1"/>
    <col min="780" max="788" width="1.6640625" style="27" customWidth="1"/>
    <col min="789" max="789" width="0.33203125" style="27" customWidth="1"/>
    <col min="790" max="798" width="1.6640625" style="27" customWidth="1"/>
    <col min="799" max="799" width="0.33203125" style="27" customWidth="1"/>
    <col min="800" max="808" width="1.6640625" style="27" customWidth="1"/>
    <col min="809" max="809" width="0.33203125" style="27" customWidth="1"/>
    <col min="810" max="818" width="1.6640625" style="27" customWidth="1"/>
    <col min="819" max="819" width="0.33203125" style="27" customWidth="1"/>
    <col min="820" max="828" width="1.6640625" style="27" customWidth="1"/>
    <col min="829" max="829" width="0.33203125" style="27" customWidth="1"/>
    <col min="830" max="838" width="1.6640625" style="27" customWidth="1"/>
    <col min="839" max="839" width="0.33203125" style="27" customWidth="1"/>
    <col min="840" max="848" width="1.6640625" style="27" customWidth="1"/>
    <col min="849" max="1024" width="9.109375" style="27"/>
    <col min="1025" max="1025" width="0.33203125" style="27" customWidth="1"/>
    <col min="1026" max="1034" width="1.6640625" style="27" customWidth="1"/>
    <col min="1035" max="1035" width="0.33203125" style="27" customWidth="1"/>
    <col min="1036" max="1044" width="1.6640625" style="27" customWidth="1"/>
    <col min="1045" max="1045" width="0.33203125" style="27" customWidth="1"/>
    <col min="1046" max="1054" width="1.6640625" style="27" customWidth="1"/>
    <col min="1055" max="1055" width="0.33203125" style="27" customWidth="1"/>
    <col min="1056" max="1064" width="1.6640625" style="27" customWidth="1"/>
    <col min="1065" max="1065" width="0.33203125" style="27" customWidth="1"/>
    <col min="1066" max="1074" width="1.6640625" style="27" customWidth="1"/>
    <col min="1075" max="1075" width="0.33203125" style="27" customWidth="1"/>
    <col min="1076" max="1084" width="1.6640625" style="27" customWidth="1"/>
    <col min="1085" max="1085" width="0.33203125" style="27" customWidth="1"/>
    <col min="1086" max="1094" width="1.6640625" style="27" customWidth="1"/>
    <col min="1095" max="1095" width="0.33203125" style="27" customWidth="1"/>
    <col min="1096" max="1104" width="1.6640625" style="27" customWidth="1"/>
    <col min="1105" max="1280" width="9.109375" style="27"/>
    <col min="1281" max="1281" width="0.33203125" style="27" customWidth="1"/>
    <col min="1282" max="1290" width="1.6640625" style="27" customWidth="1"/>
    <col min="1291" max="1291" width="0.33203125" style="27" customWidth="1"/>
    <col min="1292" max="1300" width="1.6640625" style="27" customWidth="1"/>
    <col min="1301" max="1301" width="0.33203125" style="27" customWidth="1"/>
    <col min="1302" max="1310" width="1.6640625" style="27" customWidth="1"/>
    <col min="1311" max="1311" width="0.33203125" style="27" customWidth="1"/>
    <col min="1312" max="1320" width="1.6640625" style="27" customWidth="1"/>
    <col min="1321" max="1321" width="0.33203125" style="27" customWidth="1"/>
    <col min="1322" max="1330" width="1.6640625" style="27" customWidth="1"/>
    <col min="1331" max="1331" width="0.33203125" style="27" customWidth="1"/>
    <col min="1332" max="1340" width="1.6640625" style="27" customWidth="1"/>
    <col min="1341" max="1341" width="0.33203125" style="27" customWidth="1"/>
    <col min="1342" max="1350" width="1.6640625" style="27" customWidth="1"/>
    <col min="1351" max="1351" width="0.33203125" style="27" customWidth="1"/>
    <col min="1352" max="1360" width="1.6640625" style="27" customWidth="1"/>
    <col min="1361" max="1536" width="9.109375" style="27"/>
    <col min="1537" max="1537" width="0.33203125" style="27" customWidth="1"/>
    <col min="1538" max="1546" width="1.6640625" style="27" customWidth="1"/>
    <col min="1547" max="1547" width="0.33203125" style="27" customWidth="1"/>
    <col min="1548" max="1556" width="1.6640625" style="27" customWidth="1"/>
    <col min="1557" max="1557" width="0.33203125" style="27" customWidth="1"/>
    <col min="1558" max="1566" width="1.6640625" style="27" customWidth="1"/>
    <col min="1567" max="1567" width="0.33203125" style="27" customWidth="1"/>
    <col min="1568" max="1576" width="1.6640625" style="27" customWidth="1"/>
    <col min="1577" max="1577" width="0.33203125" style="27" customWidth="1"/>
    <col min="1578" max="1586" width="1.6640625" style="27" customWidth="1"/>
    <col min="1587" max="1587" width="0.33203125" style="27" customWidth="1"/>
    <col min="1588" max="1596" width="1.6640625" style="27" customWidth="1"/>
    <col min="1597" max="1597" width="0.33203125" style="27" customWidth="1"/>
    <col min="1598" max="1606" width="1.6640625" style="27" customWidth="1"/>
    <col min="1607" max="1607" width="0.33203125" style="27" customWidth="1"/>
    <col min="1608" max="1616" width="1.6640625" style="27" customWidth="1"/>
    <col min="1617" max="1792" width="9.109375" style="27"/>
    <col min="1793" max="1793" width="0.33203125" style="27" customWidth="1"/>
    <col min="1794" max="1802" width="1.6640625" style="27" customWidth="1"/>
    <col min="1803" max="1803" width="0.33203125" style="27" customWidth="1"/>
    <col min="1804" max="1812" width="1.6640625" style="27" customWidth="1"/>
    <col min="1813" max="1813" width="0.33203125" style="27" customWidth="1"/>
    <col min="1814" max="1822" width="1.6640625" style="27" customWidth="1"/>
    <col min="1823" max="1823" width="0.33203125" style="27" customWidth="1"/>
    <col min="1824" max="1832" width="1.6640625" style="27" customWidth="1"/>
    <col min="1833" max="1833" width="0.33203125" style="27" customWidth="1"/>
    <col min="1834" max="1842" width="1.6640625" style="27" customWidth="1"/>
    <col min="1843" max="1843" width="0.33203125" style="27" customWidth="1"/>
    <col min="1844" max="1852" width="1.6640625" style="27" customWidth="1"/>
    <col min="1853" max="1853" width="0.33203125" style="27" customWidth="1"/>
    <col min="1854" max="1862" width="1.6640625" style="27" customWidth="1"/>
    <col min="1863" max="1863" width="0.33203125" style="27" customWidth="1"/>
    <col min="1864" max="1872" width="1.6640625" style="27" customWidth="1"/>
    <col min="1873" max="2048" width="9.109375" style="27"/>
    <col min="2049" max="2049" width="0.33203125" style="27" customWidth="1"/>
    <col min="2050" max="2058" width="1.6640625" style="27" customWidth="1"/>
    <col min="2059" max="2059" width="0.33203125" style="27" customWidth="1"/>
    <col min="2060" max="2068" width="1.6640625" style="27" customWidth="1"/>
    <col min="2069" max="2069" width="0.33203125" style="27" customWidth="1"/>
    <col min="2070" max="2078" width="1.6640625" style="27" customWidth="1"/>
    <col min="2079" max="2079" width="0.33203125" style="27" customWidth="1"/>
    <col min="2080" max="2088" width="1.6640625" style="27" customWidth="1"/>
    <col min="2089" max="2089" width="0.33203125" style="27" customWidth="1"/>
    <col min="2090" max="2098" width="1.6640625" style="27" customWidth="1"/>
    <col min="2099" max="2099" width="0.33203125" style="27" customWidth="1"/>
    <col min="2100" max="2108" width="1.6640625" style="27" customWidth="1"/>
    <col min="2109" max="2109" width="0.33203125" style="27" customWidth="1"/>
    <col min="2110" max="2118" width="1.6640625" style="27" customWidth="1"/>
    <col min="2119" max="2119" width="0.33203125" style="27" customWidth="1"/>
    <col min="2120" max="2128" width="1.6640625" style="27" customWidth="1"/>
    <col min="2129" max="2304" width="9.109375" style="27"/>
    <col min="2305" max="2305" width="0.33203125" style="27" customWidth="1"/>
    <col min="2306" max="2314" width="1.6640625" style="27" customWidth="1"/>
    <col min="2315" max="2315" width="0.33203125" style="27" customWidth="1"/>
    <col min="2316" max="2324" width="1.6640625" style="27" customWidth="1"/>
    <col min="2325" max="2325" width="0.33203125" style="27" customWidth="1"/>
    <col min="2326" max="2334" width="1.6640625" style="27" customWidth="1"/>
    <col min="2335" max="2335" width="0.33203125" style="27" customWidth="1"/>
    <col min="2336" max="2344" width="1.6640625" style="27" customWidth="1"/>
    <col min="2345" max="2345" width="0.33203125" style="27" customWidth="1"/>
    <col min="2346" max="2354" width="1.6640625" style="27" customWidth="1"/>
    <col min="2355" max="2355" width="0.33203125" style="27" customWidth="1"/>
    <col min="2356" max="2364" width="1.6640625" style="27" customWidth="1"/>
    <col min="2365" max="2365" width="0.33203125" style="27" customWidth="1"/>
    <col min="2366" max="2374" width="1.6640625" style="27" customWidth="1"/>
    <col min="2375" max="2375" width="0.33203125" style="27" customWidth="1"/>
    <col min="2376" max="2384" width="1.6640625" style="27" customWidth="1"/>
    <col min="2385" max="2560" width="9.109375" style="27"/>
    <col min="2561" max="2561" width="0.33203125" style="27" customWidth="1"/>
    <col min="2562" max="2570" width="1.6640625" style="27" customWidth="1"/>
    <col min="2571" max="2571" width="0.33203125" style="27" customWidth="1"/>
    <col min="2572" max="2580" width="1.6640625" style="27" customWidth="1"/>
    <col min="2581" max="2581" width="0.33203125" style="27" customWidth="1"/>
    <col min="2582" max="2590" width="1.6640625" style="27" customWidth="1"/>
    <col min="2591" max="2591" width="0.33203125" style="27" customWidth="1"/>
    <col min="2592" max="2600" width="1.6640625" style="27" customWidth="1"/>
    <col min="2601" max="2601" width="0.33203125" style="27" customWidth="1"/>
    <col min="2602" max="2610" width="1.6640625" style="27" customWidth="1"/>
    <col min="2611" max="2611" width="0.33203125" style="27" customWidth="1"/>
    <col min="2612" max="2620" width="1.6640625" style="27" customWidth="1"/>
    <col min="2621" max="2621" width="0.33203125" style="27" customWidth="1"/>
    <col min="2622" max="2630" width="1.6640625" style="27" customWidth="1"/>
    <col min="2631" max="2631" width="0.33203125" style="27" customWidth="1"/>
    <col min="2632" max="2640" width="1.6640625" style="27" customWidth="1"/>
    <col min="2641" max="2816" width="9.109375" style="27"/>
    <col min="2817" max="2817" width="0.33203125" style="27" customWidth="1"/>
    <col min="2818" max="2826" width="1.6640625" style="27" customWidth="1"/>
    <col min="2827" max="2827" width="0.33203125" style="27" customWidth="1"/>
    <col min="2828" max="2836" width="1.6640625" style="27" customWidth="1"/>
    <col min="2837" max="2837" width="0.33203125" style="27" customWidth="1"/>
    <col min="2838" max="2846" width="1.6640625" style="27" customWidth="1"/>
    <col min="2847" max="2847" width="0.33203125" style="27" customWidth="1"/>
    <col min="2848" max="2856" width="1.6640625" style="27" customWidth="1"/>
    <col min="2857" max="2857" width="0.33203125" style="27" customWidth="1"/>
    <col min="2858" max="2866" width="1.6640625" style="27" customWidth="1"/>
    <col min="2867" max="2867" width="0.33203125" style="27" customWidth="1"/>
    <col min="2868" max="2876" width="1.6640625" style="27" customWidth="1"/>
    <col min="2877" max="2877" width="0.33203125" style="27" customWidth="1"/>
    <col min="2878" max="2886" width="1.6640625" style="27" customWidth="1"/>
    <col min="2887" max="2887" width="0.33203125" style="27" customWidth="1"/>
    <col min="2888" max="2896" width="1.6640625" style="27" customWidth="1"/>
    <col min="2897" max="3072" width="9.109375" style="27"/>
    <col min="3073" max="3073" width="0.33203125" style="27" customWidth="1"/>
    <col min="3074" max="3082" width="1.6640625" style="27" customWidth="1"/>
    <col min="3083" max="3083" width="0.33203125" style="27" customWidth="1"/>
    <col min="3084" max="3092" width="1.6640625" style="27" customWidth="1"/>
    <col min="3093" max="3093" width="0.33203125" style="27" customWidth="1"/>
    <col min="3094" max="3102" width="1.6640625" style="27" customWidth="1"/>
    <col min="3103" max="3103" width="0.33203125" style="27" customWidth="1"/>
    <col min="3104" max="3112" width="1.6640625" style="27" customWidth="1"/>
    <col min="3113" max="3113" width="0.33203125" style="27" customWidth="1"/>
    <col min="3114" max="3122" width="1.6640625" style="27" customWidth="1"/>
    <col min="3123" max="3123" width="0.33203125" style="27" customWidth="1"/>
    <col min="3124" max="3132" width="1.6640625" style="27" customWidth="1"/>
    <col min="3133" max="3133" width="0.33203125" style="27" customWidth="1"/>
    <col min="3134" max="3142" width="1.6640625" style="27" customWidth="1"/>
    <col min="3143" max="3143" width="0.33203125" style="27" customWidth="1"/>
    <col min="3144" max="3152" width="1.6640625" style="27" customWidth="1"/>
    <col min="3153" max="3328" width="9.109375" style="27"/>
    <col min="3329" max="3329" width="0.33203125" style="27" customWidth="1"/>
    <col min="3330" max="3338" width="1.6640625" style="27" customWidth="1"/>
    <col min="3339" max="3339" width="0.33203125" style="27" customWidth="1"/>
    <col min="3340" max="3348" width="1.6640625" style="27" customWidth="1"/>
    <col min="3349" max="3349" width="0.33203125" style="27" customWidth="1"/>
    <col min="3350" max="3358" width="1.6640625" style="27" customWidth="1"/>
    <col min="3359" max="3359" width="0.33203125" style="27" customWidth="1"/>
    <col min="3360" max="3368" width="1.6640625" style="27" customWidth="1"/>
    <col min="3369" max="3369" width="0.33203125" style="27" customWidth="1"/>
    <col min="3370" max="3378" width="1.6640625" style="27" customWidth="1"/>
    <col min="3379" max="3379" width="0.33203125" style="27" customWidth="1"/>
    <col min="3380" max="3388" width="1.6640625" style="27" customWidth="1"/>
    <col min="3389" max="3389" width="0.33203125" style="27" customWidth="1"/>
    <col min="3390" max="3398" width="1.6640625" style="27" customWidth="1"/>
    <col min="3399" max="3399" width="0.33203125" style="27" customWidth="1"/>
    <col min="3400" max="3408" width="1.6640625" style="27" customWidth="1"/>
    <col min="3409" max="3584" width="9.109375" style="27"/>
    <col min="3585" max="3585" width="0.33203125" style="27" customWidth="1"/>
    <col min="3586" max="3594" width="1.6640625" style="27" customWidth="1"/>
    <col min="3595" max="3595" width="0.33203125" style="27" customWidth="1"/>
    <col min="3596" max="3604" width="1.6640625" style="27" customWidth="1"/>
    <col min="3605" max="3605" width="0.33203125" style="27" customWidth="1"/>
    <col min="3606" max="3614" width="1.6640625" style="27" customWidth="1"/>
    <col min="3615" max="3615" width="0.33203125" style="27" customWidth="1"/>
    <col min="3616" max="3624" width="1.6640625" style="27" customWidth="1"/>
    <col min="3625" max="3625" width="0.33203125" style="27" customWidth="1"/>
    <col min="3626" max="3634" width="1.6640625" style="27" customWidth="1"/>
    <col min="3635" max="3635" width="0.33203125" style="27" customWidth="1"/>
    <col min="3636" max="3644" width="1.6640625" style="27" customWidth="1"/>
    <col min="3645" max="3645" width="0.33203125" style="27" customWidth="1"/>
    <col min="3646" max="3654" width="1.6640625" style="27" customWidth="1"/>
    <col min="3655" max="3655" width="0.33203125" style="27" customWidth="1"/>
    <col min="3656" max="3664" width="1.6640625" style="27" customWidth="1"/>
    <col min="3665" max="3840" width="9.109375" style="27"/>
    <col min="3841" max="3841" width="0.33203125" style="27" customWidth="1"/>
    <col min="3842" max="3850" width="1.6640625" style="27" customWidth="1"/>
    <col min="3851" max="3851" width="0.33203125" style="27" customWidth="1"/>
    <col min="3852" max="3860" width="1.6640625" style="27" customWidth="1"/>
    <col min="3861" max="3861" width="0.33203125" style="27" customWidth="1"/>
    <col min="3862" max="3870" width="1.6640625" style="27" customWidth="1"/>
    <col min="3871" max="3871" width="0.33203125" style="27" customWidth="1"/>
    <col min="3872" max="3880" width="1.6640625" style="27" customWidth="1"/>
    <col min="3881" max="3881" width="0.33203125" style="27" customWidth="1"/>
    <col min="3882" max="3890" width="1.6640625" style="27" customWidth="1"/>
    <col min="3891" max="3891" width="0.33203125" style="27" customWidth="1"/>
    <col min="3892" max="3900" width="1.6640625" style="27" customWidth="1"/>
    <col min="3901" max="3901" width="0.33203125" style="27" customWidth="1"/>
    <col min="3902" max="3910" width="1.6640625" style="27" customWidth="1"/>
    <col min="3911" max="3911" width="0.33203125" style="27" customWidth="1"/>
    <col min="3912" max="3920" width="1.6640625" style="27" customWidth="1"/>
    <col min="3921" max="4096" width="9.109375" style="27"/>
    <col min="4097" max="4097" width="0.33203125" style="27" customWidth="1"/>
    <col min="4098" max="4106" width="1.6640625" style="27" customWidth="1"/>
    <col min="4107" max="4107" width="0.33203125" style="27" customWidth="1"/>
    <col min="4108" max="4116" width="1.6640625" style="27" customWidth="1"/>
    <col min="4117" max="4117" width="0.33203125" style="27" customWidth="1"/>
    <col min="4118" max="4126" width="1.6640625" style="27" customWidth="1"/>
    <col min="4127" max="4127" width="0.33203125" style="27" customWidth="1"/>
    <col min="4128" max="4136" width="1.6640625" style="27" customWidth="1"/>
    <col min="4137" max="4137" width="0.33203125" style="27" customWidth="1"/>
    <col min="4138" max="4146" width="1.6640625" style="27" customWidth="1"/>
    <col min="4147" max="4147" width="0.33203125" style="27" customWidth="1"/>
    <col min="4148" max="4156" width="1.6640625" style="27" customWidth="1"/>
    <col min="4157" max="4157" width="0.33203125" style="27" customWidth="1"/>
    <col min="4158" max="4166" width="1.6640625" style="27" customWidth="1"/>
    <col min="4167" max="4167" width="0.33203125" style="27" customWidth="1"/>
    <col min="4168" max="4176" width="1.6640625" style="27" customWidth="1"/>
    <col min="4177" max="4352" width="9.109375" style="27"/>
    <col min="4353" max="4353" width="0.33203125" style="27" customWidth="1"/>
    <col min="4354" max="4362" width="1.6640625" style="27" customWidth="1"/>
    <col min="4363" max="4363" width="0.33203125" style="27" customWidth="1"/>
    <col min="4364" max="4372" width="1.6640625" style="27" customWidth="1"/>
    <col min="4373" max="4373" width="0.33203125" style="27" customWidth="1"/>
    <col min="4374" max="4382" width="1.6640625" style="27" customWidth="1"/>
    <col min="4383" max="4383" width="0.33203125" style="27" customWidth="1"/>
    <col min="4384" max="4392" width="1.6640625" style="27" customWidth="1"/>
    <col min="4393" max="4393" width="0.33203125" style="27" customWidth="1"/>
    <col min="4394" max="4402" width="1.6640625" style="27" customWidth="1"/>
    <col min="4403" max="4403" width="0.33203125" style="27" customWidth="1"/>
    <col min="4404" max="4412" width="1.6640625" style="27" customWidth="1"/>
    <col min="4413" max="4413" width="0.33203125" style="27" customWidth="1"/>
    <col min="4414" max="4422" width="1.6640625" style="27" customWidth="1"/>
    <col min="4423" max="4423" width="0.33203125" style="27" customWidth="1"/>
    <col min="4424" max="4432" width="1.6640625" style="27" customWidth="1"/>
    <col min="4433" max="4608" width="9.109375" style="27"/>
    <col min="4609" max="4609" width="0.33203125" style="27" customWidth="1"/>
    <col min="4610" max="4618" width="1.6640625" style="27" customWidth="1"/>
    <col min="4619" max="4619" width="0.33203125" style="27" customWidth="1"/>
    <col min="4620" max="4628" width="1.6640625" style="27" customWidth="1"/>
    <col min="4629" max="4629" width="0.33203125" style="27" customWidth="1"/>
    <col min="4630" max="4638" width="1.6640625" style="27" customWidth="1"/>
    <col min="4639" max="4639" width="0.33203125" style="27" customWidth="1"/>
    <col min="4640" max="4648" width="1.6640625" style="27" customWidth="1"/>
    <col min="4649" max="4649" width="0.33203125" style="27" customWidth="1"/>
    <col min="4650" max="4658" width="1.6640625" style="27" customWidth="1"/>
    <col min="4659" max="4659" width="0.33203125" style="27" customWidth="1"/>
    <col min="4660" max="4668" width="1.6640625" style="27" customWidth="1"/>
    <col min="4669" max="4669" width="0.33203125" style="27" customWidth="1"/>
    <col min="4670" max="4678" width="1.6640625" style="27" customWidth="1"/>
    <col min="4679" max="4679" width="0.33203125" style="27" customWidth="1"/>
    <col min="4680" max="4688" width="1.6640625" style="27" customWidth="1"/>
    <col min="4689" max="4864" width="9.109375" style="27"/>
    <col min="4865" max="4865" width="0.33203125" style="27" customWidth="1"/>
    <col min="4866" max="4874" width="1.6640625" style="27" customWidth="1"/>
    <col min="4875" max="4875" width="0.33203125" style="27" customWidth="1"/>
    <col min="4876" max="4884" width="1.6640625" style="27" customWidth="1"/>
    <col min="4885" max="4885" width="0.33203125" style="27" customWidth="1"/>
    <col min="4886" max="4894" width="1.6640625" style="27" customWidth="1"/>
    <col min="4895" max="4895" width="0.33203125" style="27" customWidth="1"/>
    <col min="4896" max="4904" width="1.6640625" style="27" customWidth="1"/>
    <col min="4905" max="4905" width="0.33203125" style="27" customWidth="1"/>
    <col min="4906" max="4914" width="1.6640625" style="27" customWidth="1"/>
    <col min="4915" max="4915" width="0.33203125" style="27" customWidth="1"/>
    <col min="4916" max="4924" width="1.6640625" style="27" customWidth="1"/>
    <col min="4925" max="4925" width="0.33203125" style="27" customWidth="1"/>
    <col min="4926" max="4934" width="1.6640625" style="27" customWidth="1"/>
    <col min="4935" max="4935" width="0.33203125" style="27" customWidth="1"/>
    <col min="4936" max="4944" width="1.6640625" style="27" customWidth="1"/>
    <col min="4945" max="5120" width="9.109375" style="27"/>
    <col min="5121" max="5121" width="0.33203125" style="27" customWidth="1"/>
    <col min="5122" max="5130" width="1.6640625" style="27" customWidth="1"/>
    <col min="5131" max="5131" width="0.33203125" style="27" customWidth="1"/>
    <col min="5132" max="5140" width="1.6640625" style="27" customWidth="1"/>
    <col min="5141" max="5141" width="0.33203125" style="27" customWidth="1"/>
    <col min="5142" max="5150" width="1.6640625" style="27" customWidth="1"/>
    <col min="5151" max="5151" width="0.33203125" style="27" customWidth="1"/>
    <col min="5152" max="5160" width="1.6640625" style="27" customWidth="1"/>
    <col min="5161" max="5161" width="0.33203125" style="27" customWidth="1"/>
    <col min="5162" max="5170" width="1.6640625" style="27" customWidth="1"/>
    <col min="5171" max="5171" width="0.33203125" style="27" customWidth="1"/>
    <col min="5172" max="5180" width="1.6640625" style="27" customWidth="1"/>
    <col min="5181" max="5181" width="0.33203125" style="27" customWidth="1"/>
    <col min="5182" max="5190" width="1.6640625" style="27" customWidth="1"/>
    <col min="5191" max="5191" width="0.33203125" style="27" customWidth="1"/>
    <col min="5192" max="5200" width="1.6640625" style="27" customWidth="1"/>
    <col min="5201" max="5376" width="9.109375" style="27"/>
    <col min="5377" max="5377" width="0.33203125" style="27" customWidth="1"/>
    <col min="5378" max="5386" width="1.6640625" style="27" customWidth="1"/>
    <col min="5387" max="5387" width="0.33203125" style="27" customWidth="1"/>
    <col min="5388" max="5396" width="1.6640625" style="27" customWidth="1"/>
    <col min="5397" max="5397" width="0.33203125" style="27" customWidth="1"/>
    <col min="5398" max="5406" width="1.6640625" style="27" customWidth="1"/>
    <col min="5407" max="5407" width="0.33203125" style="27" customWidth="1"/>
    <col min="5408" max="5416" width="1.6640625" style="27" customWidth="1"/>
    <col min="5417" max="5417" width="0.33203125" style="27" customWidth="1"/>
    <col min="5418" max="5426" width="1.6640625" style="27" customWidth="1"/>
    <col min="5427" max="5427" width="0.33203125" style="27" customWidth="1"/>
    <col min="5428" max="5436" width="1.6640625" style="27" customWidth="1"/>
    <col min="5437" max="5437" width="0.33203125" style="27" customWidth="1"/>
    <col min="5438" max="5446" width="1.6640625" style="27" customWidth="1"/>
    <col min="5447" max="5447" width="0.33203125" style="27" customWidth="1"/>
    <col min="5448" max="5456" width="1.6640625" style="27" customWidth="1"/>
    <col min="5457" max="5632" width="9.109375" style="27"/>
    <col min="5633" max="5633" width="0.33203125" style="27" customWidth="1"/>
    <col min="5634" max="5642" width="1.6640625" style="27" customWidth="1"/>
    <col min="5643" max="5643" width="0.33203125" style="27" customWidth="1"/>
    <col min="5644" max="5652" width="1.6640625" style="27" customWidth="1"/>
    <col min="5653" max="5653" width="0.33203125" style="27" customWidth="1"/>
    <col min="5654" max="5662" width="1.6640625" style="27" customWidth="1"/>
    <col min="5663" max="5663" width="0.33203125" style="27" customWidth="1"/>
    <col min="5664" max="5672" width="1.6640625" style="27" customWidth="1"/>
    <col min="5673" max="5673" width="0.33203125" style="27" customWidth="1"/>
    <col min="5674" max="5682" width="1.6640625" style="27" customWidth="1"/>
    <col min="5683" max="5683" width="0.33203125" style="27" customWidth="1"/>
    <col min="5684" max="5692" width="1.6640625" style="27" customWidth="1"/>
    <col min="5693" max="5693" width="0.33203125" style="27" customWidth="1"/>
    <col min="5694" max="5702" width="1.6640625" style="27" customWidth="1"/>
    <col min="5703" max="5703" width="0.33203125" style="27" customWidth="1"/>
    <col min="5704" max="5712" width="1.6640625" style="27" customWidth="1"/>
    <col min="5713" max="5888" width="9.109375" style="27"/>
    <col min="5889" max="5889" width="0.33203125" style="27" customWidth="1"/>
    <col min="5890" max="5898" width="1.6640625" style="27" customWidth="1"/>
    <col min="5899" max="5899" width="0.33203125" style="27" customWidth="1"/>
    <col min="5900" max="5908" width="1.6640625" style="27" customWidth="1"/>
    <col min="5909" max="5909" width="0.33203125" style="27" customWidth="1"/>
    <col min="5910" max="5918" width="1.6640625" style="27" customWidth="1"/>
    <col min="5919" max="5919" width="0.33203125" style="27" customWidth="1"/>
    <col min="5920" max="5928" width="1.6640625" style="27" customWidth="1"/>
    <col min="5929" max="5929" width="0.33203125" style="27" customWidth="1"/>
    <col min="5930" max="5938" width="1.6640625" style="27" customWidth="1"/>
    <col min="5939" max="5939" width="0.33203125" style="27" customWidth="1"/>
    <col min="5940" max="5948" width="1.6640625" style="27" customWidth="1"/>
    <col min="5949" max="5949" width="0.33203125" style="27" customWidth="1"/>
    <col min="5950" max="5958" width="1.6640625" style="27" customWidth="1"/>
    <col min="5959" max="5959" width="0.33203125" style="27" customWidth="1"/>
    <col min="5960" max="5968" width="1.6640625" style="27" customWidth="1"/>
    <col min="5969" max="6144" width="9.109375" style="27"/>
    <col min="6145" max="6145" width="0.33203125" style="27" customWidth="1"/>
    <col min="6146" max="6154" width="1.6640625" style="27" customWidth="1"/>
    <col min="6155" max="6155" width="0.33203125" style="27" customWidth="1"/>
    <col min="6156" max="6164" width="1.6640625" style="27" customWidth="1"/>
    <col min="6165" max="6165" width="0.33203125" style="27" customWidth="1"/>
    <col min="6166" max="6174" width="1.6640625" style="27" customWidth="1"/>
    <col min="6175" max="6175" width="0.33203125" style="27" customWidth="1"/>
    <col min="6176" max="6184" width="1.6640625" style="27" customWidth="1"/>
    <col min="6185" max="6185" width="0.33203125" style="27" customWidth="1"/>
    <col min="6186" max="6194" width="1.6640625" style="27" customWidth="1"/>
    <col min="6195" max="6195" width="0.33203125" style="27" customWidth="1"/>
    <col min="6196" max="6204" width="1.6640625" style="27" customWidth="1"/>
    <col min="6205" max="6205" width="0.33203125" style="27" customWidth="1"/>
    <col min="6206" max="6214" width="1.6640625" style="27" customWidth="1"/>
    <col min="6215" max="6215" width="0.33203125" style="27" customWidth="1"/>
    <col min="6216" max="6224" width="1.6640625" style="27" customWidth="1"/>
    <col min="6225" max="6400" width="9.109375" style="27"/>
    <col min="6401" max="6401" width="0.33203125" style="27" customWidth="1"/>
    <col min="6402" max="6410" width="1.6640625" style="27" customWidth="1"/>
    <col min="6411" max="6411" width="0.33203125" style="27" customWidth="1"/>
    <col min="6412" max="6420" width="1.6640625" style="27" customWidth="1"/>
    <col min="6421" max="6421" width="0.33203125" style="27" customWidth="1"/>
    <col min="6422" max="6430" width="1.6640625" style="27" customWidth="1"/>
    <col min="6431" max="6431" width="0.33203125" style="27" customWidth="1"/>
    <col min="6432" max="6440" width="1.6640625" style="27" customWidth="1"/>
    <col min="6441" max="6441" width="0.33203125" style="27" customWidth="1"/>
    <col min="6442" max="6450" width="1.6640625" style="27" customWidth="1"/>
    <col min="6451" max="6451" width="0.33203125" style="27" customWidth="1"/>
    <col min="6452" max="6460" width="1.6640625" style="27" customWidth="1"/>
    <col min="6461" max="6461" width="0.33203125" style="27" customWidth="1"/>
    <col min="6462" max="6470" width="1.6640625" style="27" customWidth="1"/>
    <col min="6471" max="6471" width="0.33203125" style="27" customWidth="1"/>
    <col min="6472" max="6480" width="1.6640625" style="27" customWidth="1"/>
    <col min="6481" max="6656" width="9.109375" style="27"/>
    <col min="6657" max="6657" width="0.33203125" style="27" customWidth="1"/>
    <col min="6658" max="6666" width="1.6640625" style="27" customWidth="1"/>
    <col min="6667" max="6667" width="0.33203125" style="27" customWidth="1"/>
    <col min="6668" max="6676" width="1.6640625" style="27" customWidth="1"/>
    <col min="6677" max="6677" width="0.33203125" style="27" customWidth="1"/>
    <col min="6678" max="6686" width="1.6640625" style="27" customWidth="1"/>
    <col min="6687" max="6687" width="0.33203125" style="27" customWidth="1"/>
    <col min="6688" max="6696" width="1.6640625" style="27" customWidth="1"/>
    <col min="6697" max="6697" width="0.33203125" style="27" customWidth="1"/>
    <col min="6698" max="6706" width="1.6640625" style="27" customWidth="1"/>
    <col min="6707" max="6707" width="0.33203125" style="27" customWidth="1"/>
    <col min="6708" max="6716" width="1.6640625" style="27" customWidth="1"/>
    <col min="6717" max="6717" width="0.33203125" style="27" customWidth="1"/>
    <col min="6718" max="6726" width="1.6640625" style="27" customWidth="1"/>
    <col min="6727" max="6727" width="0.33203125" style="27" customWidth="1"/>
    <col min="6728" max="6736" width="1.6640625" style="27" customWidth="1"/>
    <col min="6737" max="6912" width="9.109375" style="27"/>
    <col min="6913" max="6913" width="0.33203125" style="27" customWidth="1"/>
    <col min="6914" max="6922" width="1.6640625" style="27" customWidth="1"/>
    <col min="6923" max="6923" width="0.33203125" style="27" customWidth="1"/>
    <col min="6924" max="6932" width="1.6640625" style="27" customWidth="1"/>
    <col min="6933" max="6933" width="0.33203125" style="27" customWidth="1"/>
    <col min="6934" max="6942" width="1.6640625" style="27" customWidth="1"/>
    <col min="6943" max="6943" width="0.33203125" style="27" customWidth="1"/>
    <col min="6944" max="6952" width="1.6640625" style="27" customWidth="1"/>
    <col min="6953" max="6953" width="0.33203125" style="27" customWidth="1"/>
    <col min="6954" max="6962" width="1.6640625" style="27" customWidth="1"/>
    <col min="6963" max="6963" width="0.33203125" style="27" customWidth="1"/>
    <col min="6964" max="6972" width="1.6640625" style="27" customWidth="1"/>
    <col min="6973" max="6973" width="0.33203125" style="27" customWidth="1"/>
    <col min="6974" max="6982" width="1.6640625" style="27" customWidth="1"/>
    <col min="6983" max="6983" width="0.33203125" style="27" customWidth="1"/>
    <col min="6984" max="6992" width="1.6640625" style="27" customWidth="1"/>
    <col min="6993" max="7168" width="9.109375" style="27"/>
    <col min="7169" max="7169" width="0.33203125" style="27" customWidth="1"/>
    <col min="7170" max="7178" width="1.6640625" style="27" customWidth="1"/>
    <col min="7179" max="7179" width="0.33203125" style="27" customWidth="1"/>
    <col min="7180" max="7188" width="1.6640625" style="27" customWidth="1"/>
    <col min="7189" max="7189" width="0.33203125" style="27" customWidth="1"/>
    <col min="7190" max="7198" width="1.6640625" style="27" customWidth="1"/>
    <col min="7199" max="7199" width="0.33203125" style="27" customWidth="1"/>
    <col min="7200" max="7208" width="1.6640625" style="27" customWidth="1"/>
    <col min="7209" max="7209" width="0.33203125" style="27" customWidth="1"/>
    <col min="7210" max="7218" width="1.6640625" style="27" customWidth="1"/>
    <col min="7219" max="7219" width="0.33203125" style="27" customWidth="1"/>
    <col min="7220" max="7228" width="1.6640625" style="27" customWidth="1"/>
    <col min="7229" max="7229" width="0.33203125" style="27" customWidth="1"/>
    <col min="7230" max="7238" width="1.6640625" style="27" customWidth="1"/>
    <col min="7239" max="7239" width="0.33203125" style="27" customWidth="1"/>
    <col min="7240" max="7248" width="1.6640625" style="27" customWidth="1"/>
    <col min="7249" max="7424" width="9.109375" style="27"/>
    <col min="7425" max="7425" width="0.33203125" style="27" customWidth="1"/>
    <col min="7426" max="7434" width="1.6640625" style="27" customWidth="1"/>
    <col min="7435" max="7435" width="0.33203125" style="27" customWidth="1"/>
    <col min="7436" max="7444" width="1.6640625" style="27" customWidth="1"/>
    <col min="7445" max="7445" width="0.33203125" style="27" customWidth="1"/>
    <col min="7446" max="7454" width="1.6640625" style="27" customWidth="1"/>
    <col min="7455" max="7455" width="0.33203125" style="27" customWidth="1"/>
    <col min="7456" max="7464" width="1.6640625" style="27" customWidth="1"/>
    <col min="7465" max="7465" width="0.33203125" style="27" customWidth="1"/>
    <col min="7466" max="7474" width="1.6640625" style="27" customWidth="1"/>
    <col min="7475" max="7475" width="0.33203125" style="27" customWidth="1"/>
    <col min="7476" max="7484" width="1.6640625" style="27" customWidth="1"/>
    <col min="7485" max="7485" width="0.33203125" style="27" customWidth="1"/>
    <col min="7486" max="7494" width="1.6640625" style="27" customWidth="1"/>
    <col min="7495" max="7495" width="0.33203125" style="27" customWidth="1"/>
    <col min="7496" max="7504" width="1.6640625" style="27" customWidth="1"/>
    <col min="7505" max="7680" width="9.109375" style="27"/>
    <col min="7681" max="7681" width="0.33203125" style="27" customWidth="1"/>
    <col min="7682" max="7690" width="1.6640625" style="27" customWidth="1"/>
    <col min="7691" max="7691" width="0.33203125" style="27" customWidth="1"/>
    <col min="7692" max="7700" width="1.6640625" style="27" customWidth="1"/>
    <col min="7701" max="7701" width="0.33203125" style="27" customWidth="1"/>
    <col min="7702" max="7710" width="1.6640625" style="27" customWidth="1"/>
    <col min="7711" max="7711" width="0.33203125" style="27" customWidth="1"/>
    <col min="7712" max="7720" width="1.6640625" style="27" customWidth="1"/>
    <col min="7721" max="7721" width="0.33203125" style="27" customWidth="1"/>
    <col min="7722" max="7730" width="1.6640625" style="27" customWidth="1"/>
    <col min="7731" max="7731" width="0.33203125" style="27" customWidth="1"/>
    <col min="7732" max="7740" width="1.6640625" style="27" customWidth="1"/>
    <col min="7741" max="7741" width="0.33203125" style="27" customWidth="1"/>
    <col min="7742" max="7750" width="1.6640625" style="27" customWidth="1"/>
    <col min="7751" max="7751" width="0.33203125" style="27" customWidth="1"/>
    <col min="7752" max="7760" width="1.6640625" style="27" customWidth="1"/>
    <col min="7761" max="7936" width="9.109375" style="27"/>
    <col min="7937" max="7937" width="0.33203125" style="27" customWidth="1"/>
    <col min="7938" max="7946" width="1.6640625" style="27" customWidth="1"/>
    <col min="7947" max="7947" width="0.33203125" style="27" customWidth="1"/>
    <col min="7948" max="7956" width="1.6640625" style="27" customWidth="1"/>
    <col min="7957" max="7957" width="0.33203125" style="27" customWidth="1"/>
    <col min="7958" max="7966" width="1.6640625" style="27" customWidth="1"/>
    <col min="7967" max="7967" width="0.33203125" style="27" customWidth="1"/>
    <col min="7968" max="7976" width="1.6640625" style="27" customWidth="1"/>
    <col min="7977" max="7977" width="0.33203125" style="27" customWidth="1"/>
    <col min="7978" max="7986" width="1.6640625" style="27" customWidth="1"/>
    <col min="7987" max="7987" width="0.33203125" style="27" customWidth="1"/>
    <col min="7988" max="7996" width="1.6640625" style="27" customWidth="1"/>
    <col min="7997" max="7997" width="0.33203125" style="27" customWidth="1"/>
    <col min="7998" max="8006" width="1.6640625" style="27" customWidth="1"/>
    <col min="8007" max="8007" width="0.33203125" style="27" customWidth="1"/>
    <col min="8008" max="8016" width="1.6640625" style="27" customWidth="1"/>
    <col min="8017" max="8192" width="9.109375" style="27"/>
    <col min="8193" max="8193" width="0.33203125" style="27" customWidth="1"/>
    <col min="8194" max="8202" width="1.6640625" style="27" customWidth="1"/>
    <col min="8203" max="8203" width="0.33203125" style="27" customWidth="1"/>
    <col min="8204" max="8212" width="1.6640625" style="27" customWidth="1"/>
    <col min="8213" max="8213" width="0.33203125" style="27" customWidth="1"/>
    <col min="8214" max="8222" width="1.6640625" style="27" customWidth="1"/>
    <col min="8223" max="8223" width="0.33203125" style="27" customWidth="1"/>
    <col min="8224" max="8232" width="1.6640625" style="27" customWidth="1"/>
    <col min="8233" max="8233" width="0.33203125" style="27" customWidth="1"/>
    <col min="8234" max="8242" width="1.6640625" style="27" customWidth="1"/>
    <col min="8243" max="8243" width="0.33203125" style="27" customWidth="1"/>
    <col min="8244" max="8252" width="1.6640625" style="27" customWidth="1"/>
    <col min="8253" max="8253" width="0.33203125" style="27" customWidth="1"/>
    <col min="8254" max="8262" width="1.6640625" style="27" customWidth="1"/>
    <col min="8263" max="8263" width="0.33203125" style="27" customWidth="1"/>
    <col min="8264" max="8272" width="1.6640625" style="27" customWidth="1"/>
    <col min="8273" max="8448" width="9.109375" style="27"/>
    <col min="8449" max="8449" width="0.33203125" style="27" customWidth="1"/>
    <col min="8450" max="8458" width="1.6640625" style="27" customWidth="1"/>
    <col min="8459" max="8459" width="0.33203125" style="27" customWidth="1"/>
    <col min="8460" max="8468" width="1.6640625" style="27" customWidth="1"/>
    <col min="8469" max="8469" width="0.33203125" style="27" customWidth="1"/>
    <col min="8470" max="8478" width="1.6640625" style="27" customWidth="1"/>
    <col min="8479" max="8479" width="0.33203125" style="27" customWidth="1"/>
    <col min="8480" max="8488" width="1.6640625" style="27" customWidth="1"/>
    <col min="8489" max="8489" width="0.33203125" style="27" customWidth="1"/>
    <col min="8490" max="8498" width="1.6640625" style="27" customWidth="1"/>
    <col min="8499" max="8499" width="0.33203125" style="27" customWidth="1"/>
    <col min="8500" max="8508" width="1.6640625" style="27" customWidth="1"/>
    <col min="8509" max="8509" width="0.33203125" style="27" customWidth="1"/>
    <col min="8510" max="8518" width="1.6640625" style="27" customWidth="1"/>
    <col min="8519" max="8519" width="0.33203125" style="27" customWidth="1"/>
    <col min="8520" max="8528" width="1.6640625" style="27" customWidth="1"/>
    <col min="8529" max="8704" width="9.109375" style="27"/>
    <col min="8705" max="8705" width="0.33203125" style="27" customWidth="1"/>
    <col min="8706" max="8714" width="1.6640625" style="27" customWidth="1"/>
    <col min="8715" max="8715" width="0.33203125" style="27" customWidth="1"/>
    <col min="8716" max="8724" width="1.6640625" style="27" customWidth="1"/>
    <col min="8725" max="8725" width="0.33203125" style="27" customWidth="1"/>
    <col min="8726" max="8734" width="1.6640625" style="27" customWidth="1"/>
    <col min="8735" max="8735" width="0.33203125" style="27" customWidth="1"/>
    <col min="8736" max="8744" width="1.6640625" style="27" customWidth="1"/>
    <col min="8745" max="8745" width="0.33203125" style="27" customWidth="1"/>
    <col min="8746" max="8754" width="1.6640625" style="27" customWidth="1"/>
    <col min="8755" max="8755" width="0.33203125" style="27" customWidth="1"/>
    <col min="8756" max="8764" width="1.6640625" style="27" customWidth="1"/>
    <col min="8765" max="8765" width="0.33203125" style="27" customWidth="1"/>
    <col min="8766" max="8774" width="1.6640625" style="27" customWidth="1"/>
    <col min="8775" max="8775" width="0.33203125" style="27" customWidth="1"/>
    <col min="8776" max="8784" width="1.6640625" style="27" customWidth="1"/>
    <col min="8785" max="8960" width="9.109375" style="27"/>
    <col min="8961" max="8961" width="0.33203125" style="27" customWidth="1"/>
    <col min="8962" max="8970" width="1.6640625" style="27" customWidth="1"/>
    <col min="8971" max="8971" width="0.33203125" style="27" customWidth="1"/>
    <col min="8972" max="8980" width="1.6640625" style="27" customWidth="1"/>
    <col min="8981" max="8981" width="0.33203125" style="27" customWidth="1"/>
    <col min="8982" max="8990" width="1.6640625" style="27" customWidth="1"/>
    <col min="8991" max="8991" width="0.33203125" style="27" customWidth="1"/>
    <col min="8992" max="9000" width="1.6640625" style="27" customWidth="1"/>
    <col min="9001" max="9001" width="0.33203125" style="27" customWidth="1"/>
    <col min="9002" max="9010" width="1.6640625" style="27" customWidth="1"/>
    <col min="9011" max="9011" width="0.33203125" style="27" customWidth="1"/>
    <col min="9012" max="9020" width="1.6640625" style="27" customWidth="1"/>
    <col min="9021" max="9021" width="0.33203125" style="27" customWidth="1"/>
    <col min="9022" max="9030" width="1.6640625" style="27" customWidth="1"/>
    <col min="9031" max="9031" width="0.33203125" style="27" customWidth="1"/>
    <col min="9032" max="9040" width="1.6640625" style="27" customWidth="1"/>
    <col min="9041" max="9216" width="9.109375" style="27"/>
    <col min="9217" max="9217" width="0.33203125" style="27" customWidth="1"/>
    <col min="9218" max="9226" width="1.6640625" style="27" customWidth="1"/>
    <col min="9227" max="9227" width="0.33203125" style="27" customWidth="1"/>
    <col min="9228" max="9236" width="1.6640625" style="27" customWidth="1"/>
    <col min="9237" max="9237" width="0.33203125" style="27" customWidth="1"/>
    <col min="9238" max="9246" width="1.6640625" style="27" customWidth="1"/>
    <col min="9247" max="9247" width="0.33203125" style="27" customWidth="1"/>
    <col min="9248" max="9256" width="1.6640625" style="27" customWidth="1"/>
    <col min="9257" max="9257" width="0.33203125" style="27" customWidth="1"/>
    <col min="9258" max="9266" width="1.6640625" style="27" customWidth="1"/>
    <col min="9267" max="9267" width="0.33203125" style="27" customWidth="1"/>
    <col min="9268" max="9276" width="1.6640625" style="27" customWidth="1"/>
    <col min="9277" max="9277" width="0.33203125" style="27" customWidth="1"/>
    <col min="9278" max="9286" width="1.6640625" style="27" customWidth="1"/>
    <col min="9287" max="9287" width="0.33203125" style="27" customWidth="1"/>
    <col min="9288" max="9296" width="1.6640625" style="27" customWidth="1"/>
    <col min="9297" max="9472" width="9.109375" style="27"/>
    <col min="9473" max="9473" width="0.33203125" style="27" customWidth="1"/>
    <col min="9474" max="9482" width="1.6640625" style="27" customWidth="1"/>
    <col min="9483" max="9483" width="0.33203125" style="27" customWidth="1"/>
    <col min="9484" max="9492" width="1.6640625" style="27" customWidth="1"/>
    <col min="9493" max="9493" width="0.33203125" style="27" customWidth="1"/>
    <col min="9494" max="9502" width="1.6640625" style="27" customWidth="1"/>
    <col min="9503" max="9503" width="0.33203125" style="27" customWidth="1"/>
    <col min="9504" max="9512" width="1.6640625" style="27" customWidth="1"/>
    <col min="9513" max="9513" width="0.33203125" style="27" customWidth="1"/>
    <col min="9514" max="9522" width="1.6640625" style="27" customWidth="1"/>
    <col min="9523" max="9523" width="0.33203125" style="27" customWidth="1"/>
    <col min="9524" max="9532" width="1.6640625" style="27" customWidth="1"/>
    <col min="9533" max="9533" width="0.33203125" style="27" customWidth="1"/>
    <col min="9534" max="9542" width="1.6640625" style="27" customWidth="1"/>
    <col min="9543" max="9543" width="0.33203125" style="27" customWidth="1"/>
    <col min="9544" max="9552" width="1.6640625" style="27" customWidth="1"/>
    <col min="9553" max="9728" width="9.109375" style="27"/>
    <col min="9729" max="9729" width="0.33203125" style="27" customWidth="1"/>
    <col min="9730" max="9738" width="1.6640625" style="27" customWidth="1"/>
    <col min="9739" max="9739" width="0.33203125" style="27" customWidth="1"/>
    <col min="9740" max="9748" width="1.6640625" style="27" customWidth="1"/>
    <col min="9749" max="9749" width="0.33203125" style="27" customWidth="1"/>
    <col min="9750" max="9758" width="1.6640625" style="27" customWidth="1"/>
    <col min="9759" max="9759" width="0.33203125" style="27" customWidth="1"/>
    <col min="9760" max="9768" width="1.6640625" style="27" customWidth="1"/>
    <col min="9769" max="9769" width="0.33203125" style="27" customWidth="1"/>
    <col min="9770" max="9778" width="1.6640625" style="27" customWidth="1"/>
    <col min="9779" max="9779" width="0.33203125" style="27" customWidth="1"/>
    <col min="9780" max="9788" width="1.6640625" style="27" customWidth="1"/>
    <col min="9789" max="9789" width="0.33203125" style="27" customWidth="1"/>
    <col min="9790" max="9798" width="1.6640625" style="27" customWidth="1"/>
    <col min="9799" max="9799" width="0.33203125" style="27" customWidth="1"/>
    <col min="9800" max="9808" width="1.6640625" style="27" customWidth="1"/>
    <col min="9809" max="9984" width="9.109375" style="27"/>
    <col min="9985" max="9985" width="0.33203125" style="27" customWidth="1"/>
    <col min="9986" max="9994" width="1.6640625" style="27" customWidth="1"/>
    <col min="9995" max="9995" width="0.33203125" style="27" customWidth="1"/>
    <col min="9996" max="10004" width="1.6640625" style="27" customWidth="1"/>
    <col min="10005" max="10005" width="0.33203125" style="27" customWidth="1"/>
    <col min="10006" max="10014" width="1.6640625" style="27" customWidth="1"/>
    <col min="10015" max="10015" width="0.33203125" style="27" customWidth="1"/>
    <col min="10016" max="10024" width="1.6640625" style="27" customWidth="1"/>
    <col min="10025" max="10025" width="0.33203125" style="27" customWidth="1"/>
    <col min="10026" max="10034" width="1.6640625" style="27" customWidth="1"/>
    <col min="10035" max="10035" width="0.33203125" style="27" customWidth="1"/>
    <col min="10036" max="10044" width="1.6640625" style="27" customWidth="1"/>
    <col min="10045" max="10045" width="0.33203125" style="27" customWidth="1"/>
    <col min="10046" max="10054" width="1.6640625" style="27" customWidth="1"/>
    <col min="10055" max="10055" width="0.33203125" style="27" customWidth="1"/>
    <col min="10056" max="10064" width="1.6640625" style="27" customWidth="1"/>
    <col min="10065" max="10240" width="9.109375" style="27"/>
    <col min="10241" max="10241" width="0.33203125" style="27" customWidth="1"/>
    <col min="10242" max="10250" width="1.6640625" style="27" customWidth="1"/>
    <col min="10251" max="10251" width="0.33203125" style="27" customWidth="1"/>
    <col min="10252" max="10260" width="1.6640625" style="27" customWidth="1"/>
    <col min="10261" max="10261" width="0.33203125" style="27" customWidth="1"/>
    <col min="10262" max="10270" width="1.6640625" style="27" customWidth="1"/>
    <col min="10271" max="10271" width="0.33203125" style="27" customWidth="1"/>
    <col min="10272" max="10280" width="1.6640625" style="27" customWidth="1"/>
    <col min="10281" max="10281" width="0.33203125" style="27" customWidth="1"/>
    <col min="10282" max="10290" width="1.6640625" style="27" customWidth="1"/>
    <col min="10291" max="10291" width="0.33203125" style="27" customWidth="1"/>
    <col min="10292" max="10300" width="1.6640625" style="27" customWidth="1"/>
    <col min="10301" max="10301" width="0.33203125" style="27" customWidth="1"/>
    <col min="10302" max="10310" width="1.6640625" style="27" customWidth="1"/>
    <col min="10311" max="10311" width="0.33203125" style="27" customWidth="1"/>
    <col min="10312" max="10320" width="1.6640625" style="27" customWidth="1"/>
    <col min="10321" max="10496" width="9.109375" style="27"/>
    <col min="10497" max="10497" width="0.33203125" style="27" customWidth="1"/>
    <col min="10498" max="10506" width="1.6640625" style="27" customWidth="1"/>
    <col min="10507" max="10507" width="0.33203125" style="27" customWidth="1"/>
    <col min="10508" max="10516" width="1.6640625" style="27" customWidth="1"/>
    <col min="10517" max="10517" width="0.33203125" style="27" customWidth="1"/>
    <col min="10518" max="10526" width="1.6640625" style="27" customWidth="1"/>
    <col min="10527" max="10527" width="0.33203125" style="27" customWidth="1"/>
    <col min="10528" max="10536" width="1.6640625" style="27" customWidth="1"/>
    <col min="10537" max="10537" width="0.33203125" style="27" customWidth="1"/>
    <col min="10538" max="10546" width="1.6640625" style="27" customWidth="1"/>
    <col min="10547" max="10547" width="0.33203125" style="27" customWidth="1"/>
    <col min="10548" max="10556" width="1.6640625" style="27" customWidth="1"/>
    <col min="10557" max="10557" width="0.33203125" style="27" customWidth="1"/>
    <col min="10558" max="10566" width="1.6640625" style="27" customWidth="1"/>
    <col min="10567" max="10567" width="0.33203125" style="27" customWidth="1"/>
    <col min="10568" max="10576" width="1.6640625" style="27" customWidth="1"/>
    <col min="10577" max="10752" width="9.109375" style="27"/>
    <col min="10753" max="10753" width="0.33203125" style="27" customWidth="1"/>
    <col min="10754" max="10762" width="1.6640625" style="27" customWidth="1"/>
    <col min="10763" max="10763" width="0.33203125" style="27" customWidth="1"/>
    <col min="10764" max="10772" width="1.6640625" style="27" customWidth="1"/>
    <col min="10773" max="10773" width="0.33203125" style="27" customWidth="1"/>
    <col min="10774" max="10782" width="1.6640625" style="27" customWidth="1"/>
    <col min="10783" max="10783" width="0.33203125" style="27" customWidth="1"/>
    <col min="10784" max="10792" width="1.6640625" style="27" customWidth="1"/>
    <col min="10793" max="10793" width="0.33203125" style="27" customWidth="1"/>
    <col min="10794" max="10802" width="1.6640625" style="27" customWidth="1"/>
    <col min="10803" max="10803" width="0.33203125" style="27" customWidth="1"/>
    <col min="10804" max="10812" width="1.6640625" style="27" customWidth="1"/>
    <col min="10813" max="10813" width="0.33203125" style="27" customWidth="1"/>
    <col min="10814" max="10822" width="1.6640625" style="27" customWidth="1"/>
    <col min="10823" max="10823" width="0.33203125" style="27" customWidth="1"/>
    <col min="10824" max="10832" width="1.6640625" style="27" customWidth="1"/>
    <col min="10833" max="11008" width="9.109375" style="27"/>
    <col min="11009" max="11009" width="0.33203125" style="27" customWidth="1"/>
    <col min="11010" max="11018" width="1.6640625" style="27" customWidth="1"/>
    <col min="11019" max="11019" width="0.33203125" style="27" customWidth="1"/>
    <col min="11020" max="11028" width="1.6640625" style="27" customWidth="1"/>
    <col min="11029" max="11029" width="0.33203125" style="27" customWidth="1"/>
    <col min="11030" max="11038" width="1.6640625" style="27" customWidth="1"/>
    <col min="11039" max="11039" width="0.33203125" style="27" customWidth="1"/>
    <col min="11040" max="11048" width="1.6640625" style="27" customWidth="1"/>
    <col min="11049" max="11049" width="0.33203125" style="27" customWidth="1"/>
    <col min="11050" max="11058" width="1.6640625" style="27" customWidth="1"/>
    <col min="11059" max="11059" width="0.33203125" style="27" customWidth="1"/>
    <col min="11060" max="11068" width="1.6640625" style="27" customWidth="1"/>
    <col min="11069" max="11069" width="0.33203125" style="27" customWidth="1"/>
    <col min="11070" max="11078" width="1.6640625" style="27" customWidth="1"/>
    <col min="11079" max="11079" width="0.33203125" style="27" customWidth="1"/>
    <col min="11080" max="11088" width="1.6640625" style="27" customWidth="1"/>
    <col min="11089" max="11264" width="9.109375" style="27"/>
    <col min="11265" max="11265" width="0.33203125" style="27" customWidth="1"/>
    <col min="11266" max="11274" width="1.6640625" style="27" customWidth="1"/>
    <col min="11275" max="11275" width="0.33203125" style="27" customWidth="1"/>
    <col min="11276" max="11284" width="1.6640625" style="27" customWidth="1"/>
    <col min="11285" max="11285" width="0.33203125" style="27" customWidth="1"/>
    <col min="11286" max="11294" width="1.6640625" style="27" customWidth="1"/>
    <col min="11295" max="11295" width="0.33203125" style="27" customWidth="1"/>
    <col min="11296" max="11304" width="1.6640625" style="27" customWidth="1"/>
    <col min="11305" max="11305" width="0.33203125" style="27" customWidth="1"/>
    <col min="11306" max="11314" width="1.6640625" style="27" customWidth="1"/>
    <col min="11315" max="11315" width="0.33203125" style="27" customWidth="1"/>
    <col min="11316" max="11324" width="1.6640625" style="27" customWidth="1"/>
    <col min="11325" max="11325" width="0.33203125" style="27" customWidth="1"/>
    <col min="11326" max="11334" width="1.6640625" style="27" customWidth="1"/>
    <col min="11335" max="11335" width="0.33203125" style="27" customWidth="1"/>
    <col min="11336" max="11344" width="1.6640625" style="27" customWidth="1"/>
    <col min="11345" max="11520" width="9.109375" style="27"/>
    <col min="11521" max="11521" width="0.33203125" style="27" customWidth="1"/>
    <col min="11522" max="11530" width="1.6640625" style="27" customWidth="1"/>
    <col min="11531" max="11531" width="0.33203125" style="27" customWidth="1"/>
    <col min="11532" max="11540" width="1.6640625" style="27" customWidth="1"/>
    <col min="11541" max="11541" width="0.33203125" style="27" customWidth="1"/>
    <col min="11542" max="11550" width="1.6640625" style="27" customWidth="1"/>
    <col min="11551" max="11551" width="0.33203125" style="27" customWidth="1"/>
    <col min="11552" max="11560" width="1.6640625" style="27" customWidth="1"/>
    <col min="11561" max="11561" width="0.33203125" style="27" customWidth="1"/>
    <col min="11562" max="11570" width="1.6640625" style="27" customWidth="1"/>
    <col min="11571" max="11571" width="0.33203125" style="27" customWidth="1"/>
    <col min="11572" max="11580" width="1.6640625" style="27" customWidth="1"/>
    <col min="11581" max="11581" width="0.33203125" style="27" customWidth="1"/>
    <col min="11582" max="11590" width="1.6640625" style="27" customWidth="1"/>
    <col min="11591" max="11591" width="0.33203125" style="27" customWidth="1"/>
    <col min="11592" max="11600" width="1.6640625" style="27" customWidth="1"/>
    <col min="11601" max="11776" width="9.109375" style="27"/>
    <col min="11777" max="11777" width="0.33203125" style="27" customWidth="1"/>
    <col min="11778" max="11786" width="1.6640625" style="27" customWidth="1"/>
    <col min="11787" max="11787" width="0.33203125" style="27" customWidth="1"/>
    <col min="11788" max="11796" width="1.6640625" style="27" customWidth="1"/>
    <col min="11797" max="11797" width="0.33203125" style="27" customWidth="1"/>
    <col min="11798" max="11806" width="1.6640625" style="27" customWidth="1"/>
    <col min="11807" max="11807" width="0.33203125" style="27" customWidth="1"/>
    <col min="11808" max="11816" width="1.6640625" style="27" customWidth="1"/>
    <col min="11817" max="11817" width="0.33203125" style="27" customWidth="1"/>
    <col min="11818" max="11826" width="1.6640625" style="27" customWidth="1"/>
    <col min="11827" max="11827" width="0.33203125" style="27" customWidth="1"/>
    <col min="11828" max="11836" width="1.6640625" style="27" customWidth="1"/>
    <col min="11837" max="11837" width="0.33203125" style="27" customWidth="1"/>
    <col min="11838" max="11846" width="1.6640625" style="27" customWidth="1"/>
    <col min="11847" max="11847" width="0.33203125" style="27" customWidth="1"/>
    <col min="11848" max="11856" width="1.6640625" style="27" customWidth="1"/>
    <col min="11857" max="12032" width="9.109375" style="27"/>
    <col min="12033" max="12033" width="0.33203125" style="27" customWidth="1"/>
    <col min="12034" max="12042" width="1.6640625" style="27" customWidth="1"/>
    <col min="12043" max="12043" width="0.33203125" style="27" customWidth="1"/>
    <col min="12044" max="12052" width="1.6640625" style="27" customWidth="1"/>
    <col min="12053" max="12053" width="0.33203125" style="27" customWidth="1"/>
    <col min="12054" max="12062" width="1.6640625" style="27" customWidth="1"/>
    <col min="12063" max="12063" width="0.33203125" style="27" customWidth="1"/>
    <col min="12064" max="12072" width="1.6640625" style="27" customWidth="1"/>
    <col min="12073" max="12073" width="0.33203125" style="27" customWidth="1"/>
    <col min="12074" max="12082" width="1.6640625" style="27" customWidth="1"/>
    <col min="12083" max="12083" width="0.33203125" style="27" customWidth="1"/>
    <col min="12084" max="12092" width="1.6640625" style="27" customWidth="1"/>
    <col min="12093" max="12093" width="0.33203125" style="27" customWidth="1"/>
    <col min="12094" max="12102" width="1.6640625" style="27" customWidth="1"/>
    <col min="12103" max="12103" width="0.33203125" style="27" customWidth="1"/>
    <col min="12104" max="12112" width="1.6640625" style="27" customWidth="1"/>
    <col min="12113" max="12288" width="9.109375" style="27"/>
    <col min="12289" max="12289" width="0.33203125" style="27" customWidth="1"/>
    <col min="12290" max="12298" width="1.6640625" style="27" customWidth="1"/>
    <col min="12299" max="12299" width="0.33203125" style="27" customWidth="1"/>
    <col min="12300" max="12308" width="1.6640625" style="27" customWidth="1"/>
    <col min="12309" max="12309" width="0.33203125" style="27" customWidth="1"/>
    <col min="12310" max="12318" width="1.6640625" style="27" customWidth="1"/>
    <col min="12319" max="12319" width="0.33203125" style="27" customWidth="1"/>
    <col min="12320" max="12328" width="1.6640625" style="27" customWidth="1"/>
    <col min="12329" max="12329" width="0.33203125" style="27" customWidth="1"/>
    <col min="12330" max="12338" width="1.6640625" style="27" customWidth="1"/>
    <col min="12339" max="12339" width="0.33203125" style="27" customWidth="1"/>
    <col min="12340" max="12348" width="1.6640625" style="27" customWidth="1"/>
    <col min="12349" max="12349" width="0.33203125" style="27" customWidth="1"/>
    <col min="12350" max="12358" width="1.6640625" style="27" customWidth="1"/>
    <col min="12359" max="12359" width="0.33203125" style="27" customWidth="1"/>
    <col min="12360" max="12368" width="1.6640625" style="27" customWidth="1"/>
    <col min="12369" max="12544" width="9.109375" style="27"/>
    <col min="12545" max="12545" width="0.33203125" style="27" customWidth="1"/>
    <col min="12546" max="12554" width="1.6640625" style="27" customWidth="1"/>
    <col min="12555" max="12555" width="0.33203125" style="27" customWidth="1"/>
    <col min="12556" max="12564" width="1.6640625" style="27" customWidth="1"/>
    <col min="12565" max="12565" width="0.33203125" style="27" customWidth="1"/>
    <col min="12566" max="12574" width="1.6640625" style="27" customWidth="1"/>
    <col min="12575" max="12575" width="0.33203125" style="27" customWidth="1"/>
    <col min="12576" max="12584" width="1.6640625" style="27" customWidth="1"/>
    <col min="12585" max="12585" width="0.33203125" style="27" customWidth="1"/>
    <col min="12586" max="12594" width="1.6640625" style="27" customWidth="1"/>
    <col min="12595" max="12595" width="0.33203125" style="27" customWidth="1"/>
    <col min="12596" max="12604" width="1.6640625" style="27" customWidth="1"/>
    <col min="12605" max="12605" width="0.33203125" style="27" customWidth="1"/>
    <col min="12606" max="12614" width="1.6640625" style="27" customWidth="1"/>
    <col min="12615" max="12615" width="0.33203125" style="27" customWidth="1"/>
    <col min="12616" max="12624" width="1.6640625" style="27" customWidth="1"/>
    <col min="12625" max="12800" width="9.109375" style="27"/>
    <col min="12801" max="12801" width="0.33203125" style="27" customWidth="1"/>
    <col min="12802" max="12810" width="1.6640625" style="27" customWidth="1"/>
    <col min="12811" max="12811" width="0.33203125" style="27" customWidth="1"/>
    <col min="12812" max="12820" width="1.6640625" style="27" customWidth="1"/>
    <col min="12821" max="12821" width="0.33203125" style="27" customWidth="1"/>
    <col min="12822" max="12830" width="1.6640625" style="27" customWidth="1"/>
    <col min="12831" max="12831" width="0.33203125" style="27" customWidth="1"/>
    <col min="12832" max="12840" width="1.6640625" style="27" customWidth="1"/>
    <col min="12841" max="12841" width="0.33203125" style="27" customWidth="1"/>
    <col min="12842" max="12850" width="1.6640625" style="27" customWidth="1"/>
    <col min="12851" max="12851" width="0.33203125" style="27" customWidth="1"/>
    <col min="12852" max="12860" width="1.6640625" style="27" customWidth="1"/>
    <col min="12861" max="12861" width="0.33203125" style="27" customWidth="1"/>
    <col min="12862" max="12870" width="1.6640625" style="27" customWidth="1"/>
    <col min="12871" max="12871" width="0.33203125" style="27" customWidth="1"/>
    <col min="12872" max="12880" width="1.6640625" style="27" customWidth="1"/>
    <col min="12881" max="13056" width="9.109375" style="27"/>
    <col min="13057" max="13057" width="0.33203125" style="27" customWidth="1"/>
    <col min="13058" max="13066" width="1.6640625" style="27" customWidth="1"/>
    <col min="13067" max="13067" width="0.33203125" style="27" customWidth="1"/>
    <col min="13068" max="13076" width="1.6640625" style="27" customWidth="1"/>
    <col min="13077" max="13077" width="0.33203125" style="27" customWidth="1"/>
    <col min="13078" max="13086" width="1.6640625" style="27" customWidth="1"/>
    <col min="13087" max="13087" width="0.33203125" style="27" customWidth="1"/>
    <col min="13088" max="13096" width="1.6640625" style="27" customWidth="1"/>
    <col min="13097" max="13097" width="0.33203125" style="27" customWidth="1"/>
    <col min="13098" max="13106" width="1.6640625" style="27" customWidth="1"/>
    <col min="13107" max="13107" width="0.33203125" style="27" customWidth="1"/>
    <col min="13108" max="13116" width="1.6640625" style="27" customWidth="1"/>
    <col min="13117" max="13117" width="0.33203125" style="27" customWidth="1"/>
    <col min="13118" max="13126" width="1.6640625" style="27" customWidth="1"/>
    <col min="13127" max="13127" width="0.33203125" style="27" customWidth="1"/>
    <col min="13128" max="13136" width="1.6640625" style="27" customWidth="1"/>
    <col min="13137" max="13312" width="9.109375" style="27"/>
    <col min="13313" max="13313" width="0.33203125" style="27" customWidth="1"/>
    <col min="13314" max="13322" width="1.6640625" style="27" customWidth="1"/>
    <col min="13323" max="13323" width="0.33203125" style="27" customWidth="1"/>
    <col min="13324" max="13332" width="1.6640625" style="27" customWidth="1"/>
    <col min="13333" max="13333" width="0.33203125" style="27" customWidth="1"/>
    <col min="13334" max="13342" width="1.6640625" style="27" customWidth="1"/>
    <col min="13343" max="13343" width="0.33203125" style="27" customWidth="1"/>
    <col min="13344" max="13352" width="1.6640625" style="27" customWidth="1"/>
    <col min="13353" max="13353" width="0.33203125" style="27" customWidth="1"/>
    <col min="13354" max="13362" width="1.6640625" style="27" customWidth="1"/>
    <col min="13363" max="13363" width="0.33203125" style="27" customWidth="1"/>
    <col min="13364" max="13372" width="1.6640625" style="27" customWidth="1"/>
    <col min="13373" max="13373" width="0.33203125" style="27" customWidth="1"/>
    <col min="13374" max="13382" width="1.6640625" style="27" customWidth="1"/>
    <col min="13383" max="13383" width="0.33203125" style="27" customWidth="1"/>
    <col min="13384" max="13392" width="1.6640625" style="27" customWidth="1"/>
    <col min="13393" max="13568" width="9.109375" style="27"/>
    <col min="13569" max="13569" width="0.33203125" style="27" customWidth="1"/>
    <col min="13570" max="13578" width="1.6640625" style="27" customWidth="1"/>
    <col min="13579" max="13579" width="0.33203125" style="27" customWidth="1"/>
    <col min="13580" max="13588" width="1.6640625" style="27" customWidth="1"/>
    <col min="13589" max="13589" width="0.33203125" style="27" customWidth="1"/>
    <col min="13590" max="13598" width="1.6640625" style="27" customWidth="1"/>
    <col min="13599" max="13599" width="0.33203125" style="27" customWidth="1"/>
    <col min="13600" max="13608" width="1.6640625" style="27" customWidth="1"/>
    <col min="13609" max="13609" width="0.33203125" style="27" customWidth="1"/>
    <col min="13610" max="13618" width="1.6640625" style="27" customWidth="1"/>
    <col min="13619" max="13619" width="0.33203125" style="27" customWidth="1"/>
    <col min="13620" max="13628" width="1.6640625" style="27" customWidth="1"/>
    <col min="13629" max="13629" width="0.33203125" style="27" customWidth="1"/>
    <col min="13630" max="13638" width="1.6640625" style="27" customWidth="1"/>
    <col min="13639" max="13639" width="0.33203125" style="27" customWidth="1"/>
    <col min="13640" max="13648" width="1.6640625" style="27" customWidth="1"/>
    <col min="13649" max="13824" width="9.109375" style="27"/>
    <col min="13825" max="13825" width="0.33203125" style="27" customWidth="1"/>
    <col min="13826" max="13834" width="1.6640625" style="27" customWidth="1"/>
    <col min="13835" max="13835" width="0.33203125" style="27" customWidth="1"/>
    <col min="13836" max="13844" width="1.6640625" style="27" customWidth="1"/>
    <col min="13845" max="13845" width="0.33203125" style="27" customWidth="1"/>
    <col min="13846" max="13854" width="1.6640625" style="27" customWidth="1"/>
    <col min="13855" max="13855" width="0.33203125" style="27" customWidth="1"/>
    <col min="13856" max="13864" width="1.6640625" style="27" customWidth="1"/>
    <col min="13865" max="13865" width="0.33203125" style="27" customWidth="1"/>
    <col min="13866" max="13874" width="1.6640625" style="27" customWidth="1"/>
    <col min="13875" max="13875" width="0.33203125" style="27" customWidth="1"/>
    <col min="13876" max="13884" width="1.6640625" style="27" customWidth="1"/>
    <col min="13885" max="13885" width="0.33203125" style="27" customWidth="1"/>
    <col min="13886" max="13894" width="1.6640625" style="27" customWidth="1"/>
    <col min="13895" max="13895" width="0.33203125" style="27" customWidth="1"/>
    <col min="13896" max="13904" width="1.6640625" style="27" customWidth="1"/>
    <col min="13905" max="14080" width="9.109375" style="27"/>
    <col min="14081" max="14081" width="0.33203125" style="27" customWidth="1"/>
    <col min="14082" max="14090" width="1.6640625" style="27" customWidth="1"/>
    <col min="14091" max="14091" width="0.33203125" style="27" customWidth="1"/>
    <col min="14092" max="14100" width="1.6640625" style="27" customWidth="1"/>
    <col min="14101" max="14101" width="0.33203125" style="27" customWidth="1"/>
    <col min="14102" max="14110" width="1.6640625" style="27" customWidth="1"/>
    <col min="14111" max="14111" width="0.33203125" style="27" customWidth="1"/>
    <col min="14112" max="14120" width="1.6640625" style="27" customWidth="1"/>
    <col min="14121" max="14121" width="0.33203125" style="27" customWidth="1"/>
    <col min="14122" max="14130" width="1.6640625" style="27" customWidth="1"/>
    <col min="14131" max="14131" width="0.33203125" style="27" customWidth="1"/>
    <col min="14132" max="14140" width="1.6640625" style="27" customWidth="1"/>
    <col min="14141" max="14141" width="0.33203125" style="27" customWidth="1"/>
    <col min="14142" max="14150" width="1.6640625" style="27" customWidth="1"/>
    <col min="14151" max="14151" width="0.33203125" style="27" customWidth="1"/>
    <col min="14152" max="14160" width="1.6640625" style="27" customWidth="1"/>
    <col min="14161" max="14336" width="9.109375" style="27"/>
    <col min="14337" max="14337" width="0.33203125" style="27" customWidth="1"/>
    <col min="14338" max="14346" width="1.6640625" style="27" customWidth="1"/>
    <col min="14347" max="14347" width="0.33203125" style="27" customWidth="1"/>
    <col min="14348" max="14356" width="1.6640625" style="27" customWidth="1"/>
    <col min="14357" max="14357" width="0.33203125" style="27" customWidth="1"/>
    <col min="14358" max="14366" width="1.6640625" style="27" customWidth="1"/>
    <col min="14367" max="14367" width="0.33203125" style="27" customWidth="1"/>
    <col min="14368" max="14376" width="1.6640625" style="27" customWidth="1"/>
    <col min="14377" max="14377" width="0.33203125" style="27" customWidth="1"/>
    <col min="14378" max="14386" width="1.6640625" style="27" customWidth="1"/>
    <col min="14387" max="14387" width="0.33203125" style="27" customWidth="1"/>
    <col min="14388" max="14396" width="1.6640625" style="27" customWidth="1"/>
    <col min="14397" max="14397" width="0.33203125" style="27" customWidth="1"/>
    <col min="14398" max="14406" width="1.6640625" style="27" customWidth="1"/>
    <col min="14407" max="14407" width="0.33203125" style="27" customWidth="1"/>
    <col min="14408" max="14416" width="1.6640625" style="27" customWidth="1"/>
    <col min="14417" max="14592" width="9.109375" style="27"/>
    <col min="14593" max="14593" width="0.33203125" style="27" customWidth="1"/>
    <col min="14594" max="14602" width="1.6640625" style="27" customWidth="1"/>
    <col min="14603" max="14603" width="0.33203125" style="27" customWidth="1"/>
    <col min="14604" max="14612" width="1.6640625" style="27" customWidth="1"/>
    <col min="14613" max="14613" width="0.33203125" style="27" customWidth="1"/>
    <col min="14614" max="14622" width="1.6640625" style="27" customWidth="1"/>
    <col min="14623" max="14623" width="0.33203125" style="27" customWidth="1"/>
    <col min="14624" max="14632" width="1.6640625" style="27" customWidth="1"/>
    <col min="14633" max="14633" width="0.33203125" style="27" customWidth="1"/>
    <col min="14634" max="14642" width="1.6640625" style="27" customWidth="1"/>
    <col min="14643" max="14643" width="0.33203125" style="27" customWidth="1"/>
    <col min="14644" max="14652" width="1.6640625" style="27" customWidth="1"/>
    <col min="14653" max="14653" width="0.33203125" style="27" customWidth="1"/>
    <col min="14654" max="14662" width="1.6640625" style="27" customWidth="1"/>
    <col min="14663" max="14663" width="0.33203125" style="27" customWidth="1"/>
    <col min="14664" max="14672" width="1.6640625" style="27" customWidth="1"/>
    <col min="14673" max="14848" width="9.109375" style="27"/>
    <col min="14849" max="14849" width="0.33203125" style="27" customWidth="1"/>
    <col min="14850" max="14858" width="1.6640625" style="27" customWidth="1"/>
    <col min="14859" max="14859" width="0.33203125" style="27" customWidth="1"/>
    <col min="14860" max="14868" width="1.6640625" style="27" customWidth="1"/>
    <col min="14869" max="14869" width="0.33203125" style="27" customWidth="1"/>
    <col min="14870" max="14878" width="1.6640625" style="27" customWidth="1"/>
    <col min="14879" max="14879" width="0.33203125" style="27" customWidth="1"/>
    <col min="14880" max="14888" width="1.6640625" style="27" customWidth="1"/>
    <col min="14889" max="14889" width="0.33203125" style="27" customWidth="1"/>
    <col min="14890" max="14898" width="1.6640625" style="27" customWidth="1"/>
    <col min="14899" max="14899" width="0.33203125" style="27" customWidth="1"/>
    <col min="14900" max="14908" width="1.6640625" style="27" customWidth="1"/>
    <col min="14909" max="14909" width="0.33203125" style="27" customWidth="1"/>
    <col min="14910" max="14918" width="1.6640625" style="27" customWidth="1"/>
    <col min="14919" max="14919" width="0.33203125" style="27" customWidth="1"/>
    <col min="14920" max="14928" width="1.6640625" style="27" customWidth="1"/>
    <col min="14929" max="15104" width="9.109375" style="27"/>
    <col min="15105" max="15105" width="0.33203125" style="27" customWidth="1"/>
    <col min="15106" max="15114" width="1.6640625" style="27" customWidth="1"/>
    <col min="15115" max="15115" width="0.33203125" style="27" customWidth="1"/>
    <col min="15116" max="15124" width="1.6640625" style="27" customWidth="1"/>
    <col min="15125" max="15125" width="0.33203125" style="27" customWidth="1"/>
    <col min="15126" max="15134" width="1.6640625" style="27" customWidth="1"/>
    <col min="15135" max="15135" width="0.33203125" style="27" customWidth="1"/>
    <col min="15136" max="15144" width="1.6640625" style="27" customWidth="1"/>
    <col min="15145" max="15145" width="0.33203125" style="27" customWidth="1"/>
    <col min="15146" max="15154" width="1.6640625" style="27" customWidth="1"/>
    <col min="15155" max="15155" width="0.33203125" style="27" customWidth="1"/>
    <col min="15156" max="15164" width="1.6640625" style="27" customWidth="1"/>
    <col min="15165" max="15165" width="0.33203125" style="27" customWidth="1"/>
    <col min="15166" max="15174" width="1.6640625" style="27" customWidth="1"/>
    <col min="15175" max="15175" width="0.33203125" style="27" customWidth="1"/>
    <col min="15176" max="15184" width="1.6640625" style="27" customWidth="1"/>
    <col min="15185" max="15360" width="9.109375" style="27"/>
    <col min="15361" max="15361" width="0.33203125" style="27" customWidth="1"/>
    <col min="15362" max="15370" width="1.6640625" style="27" customWidth="1"/>
    <col min="15371" max="15371" width="0.33203125" style="27" customWidth="1"/>
    <col min="15372" max="15380" width="1.6640625" style="27" customWidth="1"/>
    <col min="15381" max="15381" width="0.33203125" style="27" customWidth="1"/>
    <col min="15382" max="15390" width="1.6640625" style="27" customWidth="1"/>
    <col min="15391" max="15391" width="0.33203125" style="27" customWidth="1"/>
    <col min="15392" max="15400" width="1.6640625" style="27" customWidth="1"/>
    <col min="15401" max="15401" width="0.33203125" style="27" customWidth="1"/>
    <col min="15402" max="15410" width="1.6640625" style="27" customWidth="1"/>
    <col min="15411" max="15411" width="0.33203125" style="27" customWidth="1"/>
    <col min="15412" max="15420" width="1.6640625" style="27" customWidth="1"/>
    <col min="15421" max="15421" width="0.33203125" style="27" customWidth="1"/>
    <col min="15422" max="15430" width="1.6640625" style="27" customWidth="1"/>
    <col min="15431" max="15431" width="0.33203125" style="27" customWidth="1"/>
    <col min="15432" max="15440" width="1.6640625" style="27" customWidth="1"/>
    <col min="15441" max="15616" width="9.109375" style="27"/>
    <col min="15617" max="15617" width="0.33203125" style="27" customWidth="1"/>
    <col min="15618" max="15626" width="1.6640625" style="27" customWidth="1"/>
    <col min="15627" max="15627" width="0.33203125" style="27" customWidth="1"/>
    <col min="15628" max="15636" width="1.6640625" style="27" customWidth="1"/>
    <col min="15637" max="15637" width="0.33203125" style="27" customWidth="1"/>
    <col min="15638" max="15646" width="1.6640625" style="27" customWidth="1"/>
    <col min="15647" max="15647" width="0.33203125" style="27" customWidth="1"/>
    <col min="15648" max="15656" width="1.6640625" style="27" customWidth="1"/>
    <col min="15657" max="15657" width="0.33203125" style="27" customWidth="1"/>
    <col min="15658" max="15666" width="1.6640625" style="27" customWidth="1"/>
    <col min="15667" max="15667" width="0.33203125" style="27" customWidth="1"/>
    <col min="15668" max="15676" width="1.6640625" style="27" customWidth="1"/>
    <col min="15677" max="15677" width="0.33203125" style="27" customWidth="1"/>
    <col min="15678" max="15686" width="1.6640625" style="27" customWidth="1"/>
    <col min="15687" max="15687" width="0.33203125" style="27" customWidth="1"/>
    <col min="15688" max="15696" width="1.6640625" style="27" customWidth="1"/>
    <col min="15697" max="15872" width="9.109375" style="27"/>
    <col min="15873" max="15873" width="0.33203125" style="27" customWidth="1"/>
    <col min="15874" max="15882" width="1.6640625" style="27" customWidth="1"/>
    <col min="15883" max="15883" width="0.33203125" style="27" customWidth="1"/>
    <col min="15884" max="15892" width="1.6640625" style="27" customWidth="1"/>
    <col min="15893" max="15893" width="0.33203125" style="27" customWidth="1"/>
    <col min="15894" max="15902" width="1.6640625" style="27" customWidth="1"/>
    <col min="15903" max="15903" width="0.33203125" style="27" customWidth="1"/>
    <col min="15904" max="15912" width="1.6640625" style="27" customWidth="1"/>
    <col min="15913" max="15913" width="0.33203125" style="27" customWidth="1"/>
    <col min="15914" max="15922" width="1.6640625" style="27" customWidth="1"/>
    <col min="15923" max="15923" width="0.33203125" style="27" customWidth="1"/>
    <col min="15924" max="15932" width="1.6640625" style="27" customWidth="1"/>
    <col min="15933" max="15933" width="0.33203125" style="27" customWidth="1"/>
    <col min="15934" max="15942" width="1.6640625" style="27" customWidth="1"/>
    <col min="15943" max="15943" width="0.33203125" style="27" customWidth="1"/>
    <col min="15944" max="15952" width="1.6640625" style="27" customWidth="1"/>
    <col min="15953" max="16128" width="9.109375" style="27"/>
    <col min="16129" max="16129" width="0.33203125" style="27" customWidth="1"/>
    <col min="16130" max="16138" width="1.6640625" style="27" customWidth="1"/>
    <col min="16139" max="16139" width="0.33203125" style="27" customWidth="1"/>
    <col min="16140" max="16148" width="1.6640625" style="27" customWidth="1"/>
    <col min="16149" max="16149" width="0.33203125" style="27" customWidth="1"/>
    <col min="16150" max="16158" width="1.6640625" style="27" customWidth="1"/>
    <col min="16159" max="16159" width="0.33203125" style="27" customWidth="1"/>
    <col min="16160" max="16168" width="1.6640625" style="27" customWidth="1"/>
    <col min="16169" max="16169" width="0.33203125" style="27" customWidth="1"/>
    <col min="16170" max="16178" width="1.6640625" style="27" customWidth="1"/>
    <col min="16179" max="16179" width="0.33203125" style="27" customWidth="1"/>
    <col min="16180" max="16188" width="1.6640625" style="27" customWidth="1"/>
    <col min="16189" max="16189" width="0.33203125" style="27" customWidth="1"/>
    <col min="16190" max="16198" width="1.6640625" style="27" customWidth="1"/>
    <col min="16199" max="16199" width="0.33203125" style="27" customWidth="1"/>
    <col min="16200" max="16208" width="1.6640625" style="27" customWidth="1"/>
    <col min="16209" max="16384" width="9.109375" style="27"/>
  </cols>
  <sheetData>
    <row r="1" spans="1:71" ht="120" customHeight="1" x14ac:dyDescent="0.3">
      <c r="A1" s="25"/>
      <c r="B1" s="504" t="s">
        <v>838</v>
      </c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O1" s="505"/>
      <c r="BP1" s="505"/>
      <c r="BQ1" s="505"/>
      <c r="BR1" s="506"/>
      <c r="BS1" s="26"/>
    </row>
    <row r="2" spans="1:71" ht="3" customHeight="1" x14ac:dyDescent="0.3">
      <c r="A2" s="25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26"/>
    </row>
    <row r="3" spans="1:71" ht="18" customHeight="1" x14ac:dyDescent="0.3">
      <c r="B3" s="509">
        <v>1.4</v>
      </c>
      <c r="C3" s="510"/>
      <c r="D3" s="510"/>
      <c r="E3" s="510"/>
      <c r="F3" s="510"/>
      <c r="G3" s="510"/>
      <c r="H3" s="510"/>
      <c r="I3" s="510"/>
      <c r="J3" s="510"/>
      <c r="K3" s="65"/>
      <c r="L3" s="507" t="s">
        <v>325</v>
      </c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Z3" s="507"/>
      <c r="AA3" s="507"/>
      <c r="AB3" s="507"/>
      <c r="AC3" s="507"/>
      <c r="AD3" s="507"/>
      <c r="AE3" s="507"/>
      <c r="AF3" s="507"/>
      <c r="AG3" s="507"/>
      <c r="AH3" s="507"/>
      <c r="AI3" s="507"/>
      <c r="AJ3" s="507"/>
      <c r="AK3" s="507"/>
      <c r="AL3" s="507"/>
      <c r="AM3" s="507"/>
      <c r="AN3" s="507"/>
      <c r="AO3" s="507"/>
      <c r="AP3" s="507"/>
      <c r="AQ3" s="507"/>
      <c r="AR3" s="507"/>
      <c r="AS3" s="507"/>
      <c r="AT3" s="507"/>
      <c r="AU3" s="507"/>
      <c r="AV3" s="507"/>
      <c r="AW3" s="507"/>
      <c r="AX3" s="507"/>
      <c r="AY3" s="507"/>
      <c r="AZ3" s="507"/>
      <c r="BA3" s="507"/>
      <c r="BB3" s="507"/>
      <c r="BC3" s="507"/>
      <c r="BD3" s="507"/>
      <c r="BE3" s="507"/>
      <c r="BF3" s="507"/>
      <c r="BG3" s="507"/>
      <c r="BH3" s="507"/>
      <c r="BI3" s="507"/>
      <c r="BJ3" s="507"/>
      <c r="BK3" s="507"/>
      <c r="BL3" s="507"/>
      <c r="BM3" s="507"/>
      <c r="BN3" s="507"/>
      <c r="BO3" s="507"/>
      <c r="BP3" s="507"/>
      <c r="BQ3" s="507"/>
      <c r="BR3" s="508"/>
      <c r="BS3" s="26"/>
    </row>
    <row r="4" spans="1:71" ht="1.5" customHeight="1" x14ac:dyDescent="0.3">
      <c r="B4" s="28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AP4" s="29"/>
      <c r="AQ4" s="29"/>
      <c r="AR4" s="29"/>
      <c r="AS4" s="29"/>
      <c r="AT4" s="29"/>
      <c r="AU4" s="29"/>
      <c r="AV4" s="29"/>
      <c r="AW4" s="29"/>
      <c r="AX4" s="29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30"/>
      <c r="BS4" s="26"/>
    </row>
    <row r="5" spans="1:71" ht="9" customHeight="1" x14ac:dyDescent="0.3">
      <c r="B5" s="501" t="s">
        <v>483</v>
      </c>
      <c r="C5" s="502"/>
      <c r="D5" s="503"/>
      <c r="E5" s="498" t="s">
        <v>490</v>
      </c>
      <c r="F5" s="499"/>
      <c r="G5" s="499"/>
      <c r="H5" s="499"/>
      <c r="I5" s="499"/>
      <c r="J5" s="500"/>
      <c r="K5" s="31"/>
      <c r="L5" s="501" t="s">
        <v>484</v>
      </c>
      <c r="M5" s="502"/>
      <c r="N5" s="503"/>
      <c r="O5" s="498" t="s">
        <v>490</v>
      </c>
      <c r="P5" s="499"/>
      <c r="Q5" s="499"/>
      <c r="R5" s="499"/>
      <c r="S5" s="499"/>
      <c r="T5" s="500"/>
      <c r="U5" s="31"/>
      <c r="V5" s="501" t="s">
        <v>485</v>
      </c>
      <c r="W5" s="502"/>
      <c r="X5" s="503"/>
      <c r="Y5" s="498" t="s">
        <v>490</v>
      </c>
      <c r="Z5" s="499"/>
      <c r="AA5" s="499"/>
      <c r="AB5" s="499"/>
      <c r="AC5" s="499"/>
      <c r="AD5" s="500"/>
      <c r="AE5" s="32"/>
      <c r="AF5" s="501" t="s">
        <v>486</v>
      </c>
      <c r="AG5" s="502"/>
      <c r="AH5" s="503"/>
      <c r="AI5" s="498" t="s">
        <v>490</v>
      </c>
      <c r="AJ5" s="499"/>
      <c r="AK5" s="499"/>
      <c r="AL5" s="499"/>
      <c r="AM5" s="499"/>
      <c r="AN5" s="500"/>
      <c r="AO5" s="33"/>
      <c r="AP5" s="501" t="s">
        <v>487</v>
      </c>
      <c r="AQ5" s="502"/>
      <c r="AR5" s="503"/>
      <c r="AS5" s="498" t="s">
        <v>490</v>
      </c>
      <c r="AT5" s="499"/>
      <c r="AU5" s="499"/>
      <c r="AV5" s="499"/>
      <c r="AW5" s="499"/>
      <c r="AX5" s="500"/>
      <c r="AY5" s="31"/>
      <c r="AZ5" s="501" t="s">
        <v>488</v>
      </c>
      <c r="BA5" s="502"/>
      <c r="BB5" s="503"/>
      <c r="BC5" s="498" t="s">
        <v>490</v>
      </c>
      <c r="BD5" s="499"/>
      <c r="BE5" s="499"/>
      <c r="BF5" s="499"/>
      <c r="BG5" s="499"/>
      <c r="BH5" s="500"/>
      <c r="BI5" s="31"/>
      <c r="BJ5" s="501" t="s">
        <v>489</v>
      </c>
      <c r="BK5" s="502"/>
      <c r="BL5" s="503"/>
      <c r="BM5" s="498" t="s">
        <v>490</v>
      </c>
      <c r="BN5" s="499"/>
      <c r="BO5" s="499"/>
      <c r="BP5" s="499"/>
      <c r="BQ5" s="499"/>
      <c r="BR5" s="500"/>
    </row>
    <row r="6" spans="1:71" s="34" customFormat="1" ht="9" customHeight="1" x14ac:dyDescent="0.3">
      <c r="B6" s="493" t="s">
        <v>604</v>
      </c>
      <c r="C6" s="494"/>
      <c r="D6" s="494"/>
      <c r="E6" s="494"/>
      <c r="F6" s="494"/>
      <c r="G6" s="494"/>
      <c r="H6" s="494"/>
      <c r="I6" s="494"/>
      <c r="J6" s="495"/>
      <c r="K6" s="36"/>
      <c r="L6" s="493" t="s">
        <v>405</v>
      </c>
      <c r="M6" s="494"/>
      <c r="N6" s="494"/>
      <c r="O6" s="494"/>
      <c r="P6" s="494"/>
      <c r="Q6" s="494"/>
      <c r="R6" s="494"/>
      <c r="S6" s="494"/>
      <c r="T6" s="495"/>
      <c r="U6" s="37"/>
      <c r="V6" s="493" t="s">
        <v>405</v>
      </c>
      <c r="W6" s="494"/>
      <c r="X6" s="494"/>
      <c r="Y6" s="494"/>
      <c r="Z6" s="494"/>
      <c r="AA6" s="494"/>
      <c r="AB6" s="494"/>
      <c r="AC6" s="494"/>
      <c r="AD6" s="495"/>
      <c r="AE6" s="36"/>
      <c r="AF6" s="493" t="s">
        <v>405</v>
      </c>
      <c r="AG6" s="494"/>
      <c r="AH6" s="494"/>
      <c r="AI6" s="494"/>
      <c r="AJ6" s="494"/>
      <c r="AK6" s="494"/>
      <c r="AL6" s="494"/>
      <c r="AM6" s="494"/>
      <c r="AN6" s="495"/>
      <c r="AO6" s="37"/>
      <c r="AP6" s="493" t="s">
        <v>405</v>
      </c>
      <c r="AQ6" s="494"/>
      <c r="AR6" s="494"/>
      <c r="AS6" s="494"/>
      <c r="AT6" s="494"/>
      <c r="AU6" s="494"/>
      <c r="AV6" s="494"/>
      <c r="AW6" s="494"/>
      <c r="AX6" s="495"/>
      <c r="AY6" s="37"/>
      <c r="AZ6" s="493" t="s">
        <v>566</v>
      </c>
      <c r="BA6" s="494"/>
      <c r="BB6" s="494"/>
      <c r="BC6" s="494"/>
      <c r="BD6" s="494"/>
      <c r="BE6" s="494"/>
      <c r="BF6" s="494"/>
      <c r="BG6" s="494"/>
      <c r="BH6" s="495"/>
      <c r="BI6" s="37"/>
      <c r="BJ6" s="493" t="s">
        <v>505</v>
      </c>
      <c r="BK6" s="494"/>
      <c r="BL6" s="494"/>
      <c r="BM6" s="494"/>
      <c r="BN6" s="494"/>
      <c r="BO6" s="494"/>
      <c r="BP6" s="494"/>
      <c r="BQ6" s="494"/>
      <c r="BR6" s="495"/>
    </row>
    <row r="7" spans="1:71" ht="9" customHeight="1" x14ac:dyDescent="0.3">
      <c r="A7" s="25"/>
      <c r="B7" s="493" t="s">
        <v>348</v>
      </c>
      <c r="C7" s="494"/>
      <c r="D7" s="494"/>
      <c r="E7" s="494"/>
      <c r="F7" s="494"/>
      <c r="G7" s="494"/>
      <c r="H7" s="494"/>
      <c r="I7" s="494"/>
      <c r="J7" s="495"/>
      <c r="K7" s="38"/>
      <c r="L7" s="493" t="s">
        <v>348</v>
      </c>
      <c r="M7" s="494"/>
      <c r="N7" s="494"/>
      <c r="O7" s="494"/>
      <c r="P7" s="494"/>
      <c r="Q7" s="494"/>
      <c r="R7" s="494"/>
      <c r="S7" s="494"/>
      <c r="T7" s="495"/>
      <c r="U7" s="33"/>
      <c r="V7" s="493" t="s">
        <v>348</v>
      </c>
      <c r="W7" s="494"/>
      <c r="X7" s="494"/>
      <c r="Y7" s="494"/>
      <c r="Z7" s="494"/>
      <c r="AA7" s="494"/>
      <c r="AB7" s="494"/>
      <c r="AC7" s="494"/>
      <c r="AD7" s="495"/>
      <c r="AE7" s="38"/>
      <c r="AF7" s="493" t="s">
        <v>348</v>
      </c>
      <c r="AG7" s="494"/>
      <c r="AH7" s="494"/>
      <c r="AI7" s="494"/>
      <c r="AJ7" s="494"/>
      <c r="AK7" s="494"/>
      <c r="AL7" s="494"/>
      <c r="AM7" s="494"/>
      <c r="AN7" s="495"/>
      <c r="AO7" s="33"/>
      <c r="AP7" s="493" t="s">
        <v>348</v>
      </c>
      <c r="AQ7" s="494"/>
      <c r="AR7" s="494"/>
      <c r="AS7" s="494"/>
      <c r="AT7" s="494"/>
      <c r="AU7" s="494"/>
      <c r="AV7" s="494"/>
      <c r="AW7" s="494"/>
      <c r="AX7" s="495"/>
      <c r="AY7" s="33"/>
      <c r="AZ7" s="493" t="s">
        <v>348</v>
      </c>
      <c r="BA7" s="494"/>
      <c r="BB7" s="494"/>
      <c r="BC7" s="494"/>
      <c r="BD7" s="494"/>
      <c r="BE7" s="494"/>
      <c r="BF7" s="494"/>
      <c r="BG7" s="494"/>
      <c r="BH7" s="495"/>
      <c r="BI7" s="33"/>
      <c r="BJ7" s="493" t="s">
        <v>348</v>
      </c>
      <c r="BK7" s="494"/>
      <c r="BL7" s="494"/>
      <c r="BM7" s="494"/>
      <c r="BN7" s="494"/>
      <c r="BO7" s="494"/>
      <c r="BP7" s="494"/>
      <c r="BQ7" s="494"/>
      <c r="BR7" s="495"/>
    </row>
    <row r="8" spans="1:71" ht="9" customHeight="1" x14ac:dyDescent="0.3">
      <c r="A8" s="25"/>
      <c r="B8" s="31"/>
      <c r="C8" s="31"/>
      <c r="D8" s="31"/>
      <c r="E8" s="31"/>
      <c r="F8" s="31"/>
      <c r="G8" s="31"/>
      <c r="H8" s="31"/>
      <c r="I8" s="31"/>
      <c r="J8" s="33"/>
      <c r="K8" s="38"/>
      <c r="L8" s="31"/>
      <c r="M8" s="31"/>
      <c r="N8" s="31"/>
      <c r="O8" s="31"/>
      <c r="P8" s="31"/>
      <c r="Q8" s="31"/>
      <c r="R8" s="31"/>
      <c r="S8" s="31"/>
      <c r="T8" s="33"/>
      <c r="U8" s="33"/>
      <c r="V8" s="31"/>
      <c r="W8" s="31"/>
      <c r="X8" s="31"/>
      <c r="Y8" s="31"/>
      <c r="Z8" s="31"/>
      <c r="AA8" s="31"/>
      <c r="AB8" s="31"/>
      <c r="AC8" s="31"/>
      <c r="AD8" s="33"/>
      <c r="AE8" s="38"/>
      <c r="AF8" s="31"/>
      <c r="AG8" s="31"/>
      <c r="AH8" s="31"/>
      <c r="AI8" s="31"/>
      <c r="AJ8" s="31"/>
      <c r="AK8" s="31"/>
      <c r="AL8" s="31"/>
      <c r="AM8" s="31"/>
      <c r="AN8" s="33"/>
      <c r="AO8" s="33"/>
      <c r="AP8" s="31"/>
      <c r="AQ8" s="31"/>
      <c r="AR8" s="31"/>
      <c r="AS8" s="31"/>
      <c r="AT8" s="31"/>
      <c r="AU8" s="31"/>
      <c r="AV8" s="31"/>
      <c r="AW8" s="31"/>
      <c r="AX8" s="33"/>
      <c r="AY8" s="33"/>
      <c r="AZ8" s="31"/>
      <c r="BA8" s="31"/>
      <c r="BB8" s="31"/>
      <c r="BC8" s="31"/>
      <c r="BD8" s="31"/>
      <c r="BE8" s="31"/>
      <c r="BF8" s="31"/>
      <c r="BG8" s="31"/>
      <c r="BH8" s="33"/>
      <c r="BI8" s="33"/>
      <c r="BJ8" s="31"/>
      <c r="BK8" s="31"/>
      <c r="BL8" s="31"/>
      <c r="BM8" s="31"/>
      <c r="BN8" s="31"/>
      <c r="BO8" s="31"/>
      <c r="BP8" s="31"/>
      <c r="BQ8" s="31"/>
      <c r="BR8" s="33"/>
    </row>
    <row r="9" spans="1:71" ht="9" customHeight="1" x14ac:dyDescent="0.3">
      <c r="A9" s="25"/>
      <c r="B9" s="31"/>
      <c r="C9" s="31"/>
      <c r="D9" s="31"/>
      <c r="E9" s="31"/>
      <c r="F9" s="31"/>
      <c r="G9" s="31"/>
      <c r="H9" s="31"/>
      <c r="I9" s="31"/>
      <c r="J9" s="33"/>
      <c r="K9" s="38"/>
      <c r="L9" s="31"/>
      <c r="M9" s="31"/>
      <c r="N9" s="31"/>
      <c r="O9" s="31"/>
      <c r="P9" s="31"/>
      <c r="Q9" s="31"/>
      <c r="R9" s="31"/>
      <c r="S9" s="31"/>
      <c r="T9" s="33"/>
      <c r="U9" s="33"/>
      <c r="V9" s="31"/>
      <c r="W9" s="31"/>
      <c r="X9" s="31"/>
      <c r="Y9" s="31"/>
      <c r="Z9" s="31"/>
      <c r="AA9" s="31"/>
      <c r="AB9" s="31"/>
      <c r="AC9" s="31"/>
      <c r="AD9" s="33"/>
      <c r="AE9" s="38"/>
      <c r="AF9" s="31"/>
      <c r="AG9" s="31"/>
      <c r="AH9" s="31"/>
      <c r="AI9" s="31"/>
      <c r="AJ9" s="31"/>
      <c r="AK9" s="31"/>
      <c r="AL9" s="31"/>
      <c r="AM9" s="31"/>
      <c r="AN9" s="33"/>
      <c r="AO9" s="33"/>
      <c r="AP9" s="31"/>
      <c r="AQ9" s="31"/>
      <c r="AR9" s="31"/>
      <c r="AS9" s="31"/>
      <c r="AT9" s="31"/>
      <c r="AU9" s="31"/>
      <c r="AV9" s="31"/>
      <c r="AW9" s="31"/>
      <c r="AX9" s="33"/>
      <c r="AY9" s="33"/>
      <c r="AZ9" s="31"/>
      <c r="BA9" s="31"/>
      <c r="BB9" s="31"/>
      <c r="BC9" s="31"/>
      <c r="BD9" s="31"/>
      <c r="BE9" s="31"/>
      <c r="BF9" s="31"/>
      <c r="BG9" s="31"/>
      <c r="BH9" s="33"/>
      <c r="BI9" s="33"/>
      <c r="BJ9" s="31"/>
      <c r="BK9" s="31"/>
      <c r="BL9" s="31"/>
      <c r="BM9" s="31"/>
      <c r="BN9" s="31"/>
      <c r="BO9" s="31"/>
      <c r="BP9" s="31"/>
      <c r="BQ9" s="31"/>
      <c r="BR9" s="33"/>
    </row>
    <row r="10" spans="1:71" ht="9" customHeight="1" x14ac:dyDescent="0.3">
      <c r="A10" s="25"/>
      <c r="B10" s="31"/>
      <c r="C10" s="31"/>
      <c r="D10" s="31"/>
      <c r="E10" s="31"/>
      <c r="F10" s="31"/>
      <c r="G10" s="31"/>
      <c r="H10" s="31"/>
      <c r="I10" s="31"/>
      <c r="J10" s="33"/>
      <c r="K10" s="38"/>
      <c r="L10" s="31"/>
      <c r="M10" s="31"/>
      <c r="N10" s="31"/>
      <c r="O10" s="31"/>
      <c r="P10" s="31"/>
      <c r="Q10" s="31"/>
      <c r="R10" s="31"/>
      <c r="S10" s="31"/>
      <c r="T10" s="33"/>
      <c r="U10" s="33"/>
      <c r="V10" s="31"/>
      <c r="W10" s="31"/>
      <c r="X10" s="31"/>
      <c r="Y10" s="31"/>
      <c r="Z10" s="31"/>
      <c r="AA10" s="31"/>
      <c r="AB10" s="31"/>
      <c r="AC10" s="31"/>
      <c r="AD10" s="33"/>
      <c r="AE10" s="38"/>
      <c r="AF10" s="31"/>
      <c r="AG10" s="31"/>
      <c r="AH10" s="31"/>
      <c r="AI10" s="31"/>
      <c r="AJ10" s="31"/>
      <c r="AK10" s="31"/>
      <c r="AL10" s="31"/>
      <c r="AM10" s="31"/>
      <c r="AN10" s="33"/>
      <c r="AO10" s="33"/>
      <c r="AP10" s="31"/>
      <c r="AQ10" s="31"/>
      <c r="AR10" s="31"/>
      <c r="AS10" s="31"/>
      <c r="AT10" s="31"/>
      <c r="AU10" s="31"/>
      <c r="AV10" s="31"/>
      <c r="AW10" s="31"/>
      <c r="AX10" s="33"/>
      <c r="AY10" s="38"/>
      <c r="AZ10" s="31"/>
      <c r="BA10" s="31"/>
      <c r="BB10" s="31"/>
      <c r="BC10" s="31"/>
      <c r="BD10" s="31"/>
      <c r="BE10" s="31"/>
      <c r="BF10" s="31"/>
      <c r="BG10" s="31"/>
      <c r="BH10" s="33"/>
      <c r="BI10" s="38"/>
      <c r="BJ10" s="31"/>
      <c r="BK10" s="31"/>
      <c r="BL10" s="31"/>
      <c r="BM10" s="31"/>
      <c r="BN10" s="31"/>
      <c r="BO10" s="31"/>
      <c r="BP10" s="31"/>
      <c r="BQ10" s="31"/>
      <c r="BR10" s="33"/>
    </row>
    <row r="11" spans="1:71" ht="9.75" customHeight="1" x14ac:dyDescent="0.3">
      <c r="A11" s="25"/>
      <c r="B11" s="31"/>
      <c r="C11" s="31"/>
      <c r="D11" s="31"/>
      <c r="E11" s="31"/>
      <c r="F11" s="31"/>
      <c r="G11" s="31"/>
      <c r="H11" s="31"/>
      <c r="I11" s="31"/>
      <c r="J11" s="33"/>
      <c r="K11" s="38"/>
      <c r="L11" s="31"/>
      <c r="M11" s="31"/>
      <c r="N11" s="31"/>
      <c r="O11" s="31"/>
      <c r="P11" s="31"/>
      <c r="Q11" s="31"/>
      <c r="R11" s="31"/>
      <c r="S11" s="31"/>
      <c r="T11" s="33"/>
      <c r="U11" s="33"/>
      <c r="V11" s="31"/>
      <c r="W11" s="31"/>
      <c r="X11" s="31"/>
      <c r="Y11" s="31"/>
      <c r="Z11" s="31"/>
      <c r="AA11" s="31"/>
      <c r="AB11" s="31"/>
      <c r="AC11" s="31"/>
      <c r="AD11" s="33"/>
      <c r="AE11" s="38"/>
      <c r="AF11" s="31"/>
      <c r="AG11" s="31"/>
      <c r="AH11" s="31"/>
      <c r="AI11" s="31"/>
      <c r="AJ11" s="31"/>
      <c r="AK11" s="31"/>
      <c r="AL11" s="31"/>
      <c r="AM11" s="31"/>
      <c r="AN11" s="33"/>
      <c r="AO11" s="33"/>
      <c r="AP11" s="31"/>
      <c r="AQ11" s="31"/>
      <c r="AR11" s="31"/>
      <c r="AS11" s="31"/>
      <c r="AT11" s="31"/>
      <c r="AU11" s="31"/>
      <c r="AV11" s="31"/>
      <c r="AW11" s="31"/>
      <c r="AX11" s="33"/>
      <c r="AY11" s="38"/>
      <c r="AZ11" s="31"/>
      <c r="BA11" s="31"/>
      <c r="BB11" s="31"/>
      <c r="BC11" s="31"/>
      <c r="BD11" s="31"/>
      <c r="BE11" s="31"/>
      <c r="BF11" s="31"/>
      <c r="BG11" s="31"/>
      <c r="BH11" s="33"/>
      <c r="BI11" s="38"/>
      <c r="BJ11" s="31"/>
      <c r="BK11" s="31"/>
      <c r="BL11" s="31"/>
      <c r="BM11" s="31"/>
      <c r="BN11" s="31"/>
      <c r="BO11" s="31"/>
      <c r="BP11" s="31"/>
      <c r="BQ11" s="31"/>
      <c r="BR11" s="33"/>
    </row>
    <row r="12" spans="1:71" ht="9.75" customHeight="1" x14ac:dyDescent="0.3">
      <c r="A12" s="25"/>
      <c r="B12" s="31"/>
      <c r="C12" s="31"/>
      <c r="D12" s="31"/>
      <c r="E12" s="31"/>
      <c r="F12" s="31"/>
      <c r="G12" s="31"/>
      <c r="H12" s="31"/>
      <c r="I12" s="31"/>
      <c r="J12" s="33"/>
      <c r="K12" s="38"/>
      <c r="L12" s="31"/>
      <c r="M12" s="31"/>
      <c r="N12" s="31"/>
      <c r="O12" s="31"/>
      <c r="P12" s="31"/>
      <c r="Q12" s="31"/>
      <c r="R12" s="31"/>
      <c r="S12" s="31"/>
      <c r="T12" s="33"/>
      <c r="U12" s="33"/>
      <c r="V12" s="31"/>
      <c r="W12" s="31"/>
      <c r="X12" s="31"/>
      <c r="Y12" s="31"/>
      <c r="Z12" s="31"/>
      <c r="AA12" s="31"/>
      <c r="AB12" s="31"/>
      <c r="AC12" s="31"/>
      <c r="AD12" s="33"/>
      <c r="AE12" s="38"/>
      <c r="AF12" s="31"/>
      <c r="AG12" s="31"/>
      <c r="AH12" s="31"/>
      <c r="AI12" s="31"/>
      <c r="AJ12" s="31"/>
      <c r="AK12" s="31"/>
      <c r="AL12" s="31"/>
      <c r="AM12" s="31"/>
      <c r="AN12" s="33"/>
      <c r="AO12" s="33"/>
      <c r="AP12" s="31"/>
      <c r="AQ12" s="31"/>
      <c r="AR12" s="31"/>
      <c r="AS12" s="31"/>
      <c r="AT12" s="31"/>
      <c r="AU12" s="31"/>
      <c r="AV12" s="31"/>
      <c r="AW12" s="31"/>
      <c r="AX12" s="33"/>
      <c r="AY12" s="38"/>
      <c r="AZ12" s="31"/>
      <c r="BA12" s="31"/>
      <c r="BB12" s="31"/>
      <c r="BC12" s="31"/>
      <c r="BD12" s="31"/>
      <c r="BE12" s="31"/>
      <c r="BF12" s="31"/>
      <c r="BG12" s="31"/>
      <c r="BH12" s="33"/>
      <c r="BI12" s="38"/>
      <c r="BJ12" s="31"/>
      <c r="BK12" s="31"/>
      <c r="BL12" s="31"/>
      <c r="BM12" s="31"/>
      <c r="BN12" s="31"/>
      <c r="BO12" s="31"/>
      <c r="BP12" s="31"/>
      <c r="BQ12" s="31"/>
      <c r="BR12" s="33"/>
    </row>
    <row r="13" spans="1:71" ht="9.75" customHeight="1" x14ac:dyDescent="0.3">
      <c r="A13" s="25"/>
      <c r="B13" s="31"/>
      <c r="C13" s="31"/>
      <c r="D13" s="31"/>
      <c r="E13" s="31"/>
      <c r="F13" s="31"/>
      <c r="G13" s="31"/>
      <c r="H13" s="31"/>
      <c r="I13" s="31"/>
      <c r="J13" s="33"/>
      <c r="K13" s="38"/>
      <c r="L13" s="31"/>
      <c r="M13" s="31"/>
      <c r="N13" s="31"/>
      <c r="O13" s="31"/>
      <c r="P13" s="31"/>
      <c r="Q13" s="31"/>
      <c r="R13" s="31"/>
      <c r="S13" s="31"/>
      <c r="T13" s="33"/>
      <c r="U13" s="33"/>
      <c r="V13" s="31"/>
      <c r="W13" s="31"/>
      <c r="X13" s="31"/>
      <c r="Y13" s="31"/>
      <c r="Z13" s="31"/>
      <c r="AA13" s="31"/>
      <c r="AB13" s="31"/>
      <c r="AC13" s="31"/>
      <c r="AD13" s="33"/>
      <c r="AE13" s="38"/>
      <c r="AF13" s="31"/>
      <c r="AG13" s="31"/>
      <c r="AH13" s="31"/>
      <c r="AI13" s="31"/>
      <c r="AJ13" s="31"/>
      <c r="AK13" s="31"/>
      <c r="AL13" s="31"/>
      <c r="AM13" s="31"/>
      <c r="AN13" s="33"/>
      <c r="AO13" s="33"/>
      <c r="AP13" s="31"/>
      <c r="AQ13" s="31"/>
      <c r="AR13" s="31"/>
      <c r="AS13" s="31"/>
      <c r="AT13" s="31"/>
      <c r="AU13" s="31"/>
      <c r="AV13" s="31"/>
      <c r="AW13" s="31"/>
      <c r="AX13" s="33"/>
      <c r="AY13" s="38"/>
      <c r="AZ13" s="31"/>
      <c r="BA13" s="31"/>
      <c r="BB13" s="31"/>
      <c r="BC13" s="31"/>
      <c r="BD13" s="31"/>
      <c r="BE13" s="31"/>
      <c r="BF13" s="31"/>
      <c r="BG13" s="31"/>
      <c r="BH13" s="33"/>
      <c r="BI13" s="38"/>
      <c r="BJ13" s="31"/>
      <c r="BK13" s="31"/>
      <c r="BL13" s="31"/>
      <c r="BM13" s="31"/>
      <c r="BN13" s="31"/>
      <c r="BO13" s="31"/>
      <c r="BP13" s="31"/>
      <c r="BQ13" s="31"/>
      <c r="BR13" s="33"/>
    </row>
    <row r="14" spans="1:71" ht="9.75" customHeight="1" x14ac:dyDescent="0.3">
      <c r="A14" s="25"/>
      <c r="B14" s="31"/>
      <c r="C14" s="31"/>
      <c r="D14" s="31"/>
      <c r="E14" s="31"/>
      <c r="F14" s="31"/>
      <c r="G14" s="31"/>
      <c r="H14" s="31"/>
      <c r="I14" s="31"/>
      <c r="J14" s="33"/>
      <c r="K14" s="38"/>
      <c r="L14" s="31"/>
      <c r="M14" s="31"/>
      <c r="N14" s="31"/>
      <c r="O14" s="31"/>
      <c r="P14" s="31"/>
      <c r="Q14" s="31"/>
      <c r="R14" s="31"/>
      <c r="S14" s="31"/>
      <c r="T14" s="33"/>
      <c r="U14" s="33"/>
      <c r="V14" s="31"/>
      <c r="W14" s="31"/>
      <c r="X14" s="31"/>
      <c r="Y14" s="31"/>
      <c r="Z14" s="31"/>
      <c r="AA14" s="31"/>
      <c r="AB14" s="31"/>
      <c r="AC14" s="31"/>
      <c r="AD14" s="33"/>
      <c r="AE14" s="38"/>
      <c r="AF14" s="31"/>
      <c r="AG14" s="31"/>
      <c r="AH14" s="31"/>
      <c r="AI14" s="31"/>
      <c r="AJ14" s="31"/>
      <c r="AK14" s="31"/>
      <c r="AL14" s="31"/>
      <c r="AM14" s="31"/>
      <c r="AN14" s="33"/>
      <c r="AO14" s="33"/>
      <c r="AP14" s="31"/>
      <c r="AQ14" s="31"/>
      <c r="AR14" s="31"/>
      <c r="AS14" s="31"/>
      <c r="AT14" s="31"/>
      <c r="AU14" s="31"/>
      <c r="AV14" s="31"/>
      <c r="AW14" s="31"/>
      <c r="AX14" s="33"/>
      <c r="AY14" s="38"/>
      <c r="AZ14" s="31"/>
      <c r="BA14" s="31"/>
      <c r="BB14" s="31"/>
      <c r="BC14" s="31"/>
      <c r="BD14" s="31"/>
      <c r="BE14" s="31"/>
      <c r="BF14" s="31"/>
      <c r="BG14" s="31"/>
      <c r="BH14" s="33"/>
      <c r="BI14" s="38"/>
      <c r="BJ14" s="31"/>
      <c r="BK14" s="31"/>
      <c r="BL14" s="31"/>
      <c r="BM14" s="31"/>
      <c r="BN14" s="31"/>
      <c r="BO14" s="31"/>
      <c r="BP14" s="31"/>
      <c r="BQ14" s="31"/>
      <c r="BR14" s="33"/>
    </row>
    <row r="15" spans="1:71" ht="9" customHeight="1" x14ac:dyDescent="0.3">
      <c r="A15" s="25"/>
      <c r="B15" s="47"/>
      <c r="C15" s="47"/>
      <c r="D15" s="47"/>
      <c r="E15" s="47"/>
      <c r="F15" s="47"/>
      <c r="G15" s="47"/>
      <c r="H15" s="47"/>
      <c r="I15" s="47"/>
      <c r="J15" s="48"/>
      <c r="K15" s="38"/>
      <c r="L15" s="47"/>
      <c r="M15" s="47"/>
      <c r="N15" s="47"/>
      <c r="O15" s="47"/>
      <c r="P15" s="47"/>
      <c r="Q15" s="47"/>
      <c r="R15" s="47"/>
      <c r="S15" s="47"/>
      <c r="T15" s="48"/>
      <c r="U15" s="33"/>
      <c r="V15" s="47"/>
      <c r="W15" s="47"/>
      <c r="X15" s="47"/>
      <c r="Y15" s="47"/>
      <c r="Z15" s="47"/>
      <c r="AA15" s="47"/>
      <c r="AB15" s="47"/>
      <c r="AC15" s="47"/>
      <c r="AD15" s="48"/>
      <c r="AE15" s="53"/>
      <c r="AF15" s="47"/>
      <c r="AG15" s="47"/>
      <c r="AH15" s="47"/>
      <c r="AI15" s="47"/>
      <c r="AJ15" s="47"/>
      <c r="AK15" s="47"/>
      <c r="AL15" s="47"/>
      <c r="AM15" s="47"/>
      <c r="AN15" s="48"/>
      <c r="AO15" s="48"/>
      <c r="AP15" s="47"/>
      <c r="AQ15" s="47"/>
      <c r="AR15" s="47"/>
      <c r="AS15" s="47"/>
      <c r="AT15" s="47"/>
      <c r="AU15" s="47"/>
      <c r="AV15" s="47"/>
      <c r="AW15" s="47"/>
      <c r="AX15" s="48"/>
      <c r="AY15" s="38"/>
      <c r="AZ15" s="47"/>
      <c r="BA15" s="47"/>
      <c r="BB15" s="47"/>
      <c r="BC15" s="47"/>
      <c r="BD15" s="47"/>
      <c r="BE15" s="47"/>
      <c r="BF15" s="47"/>
      <c r="BG15" s="47"/>
      <c r="BH15" s="48"/>
      <c r="BI15" s="38"/>
      <c r="BJ15" s="47"/>
      <c r="BK15" s="47"/>
      <c r="BL15" s="47"/>
      <c r="BM15" s="47"/>
      <c r="BN15" s="47"/>
      <c r="BO15" s="47"/>
      <c r="BP15" s="47"/>
      <c r="BQ15" s="47"/>
      <c r="BR15" s="48"/>
    </row>
    <row r="16" spans="1:71" ht="9" customHeight="1" x14ac:dyDescent="0.3">
      <c r="B16" s="32"/>
      <c r="C16" s="31"/>
      <c r="D16" s="31"/>
      <c r="E16" s="31"/>
      <c r="F16" s="31"/>
      <c r="G16" s="31"/>
      <c r="H16" s="31"/>
      <c r="I16" s="31"/>
      <c r="J16" s="33"/>
      <c r="K16" s="38"/>
      <c r="L16" s="31"/>
      <c r="M16" s="31"/>
      <c r="N16" s="31"/>
      <c r="O16" s="31"/>
      <c r="P16" s="31"/>
      <c r="Q16" s="31"/>
      <c r="R16" s="31"/>
      <c r="S16" s="31"/>
      <c r="T16" s="33"/>
      <c r="U16" s="33"/>
      <c r="V16" s="31"/>
      <c r="W16" s="31"/>
      <c r="X16" s="31"/>
      <c r="Y16" s="31"/>
      <c r="Z16" s="31"/>
      <c r="AA16" s="31"/>
      <c r="AB16" s="31"/>
      <c r="AC16" s="31"/>
      <c r="AD16" s="33"/>
      <c r="AE16" s="38"/>
      <c r="AF16" s="31"/>
      <c r="AG16" s="31"/>
      <c r="AH16" s="31"/>
      <c r="AI16" s="31"/>
      <c r="AJ16" s="31"/>
      <c r="AK16" s="31"/>
      <c r="AL16" s="31"/>
      <c r="AM16" s="31"/>
      <c r="AN16" s="33"/>
      <c r="AO16" s="33"/>
      <c r="AP16" s="31"/>
      <c r="AQ16" s="31"/>
      <c r="AR16" s="31"/>
      <c r="AS16" s="31"/>
      <c r="AT16" s="31"/>
      <c r="AU16" s="31"/>
      <c r="AV16" s="31"/>
      <c r="AW16" s="31"/>
      <c r="AX16" s="33"/>
      <c r="AY16" s="38"/>
      <c r="AZ16" s="31"/>
      <c r="BA16" s="31"/>
      <c r="BB16" s="31"/>
      <c r="BC16" s="31"/>
      <c r="BD16" s="31"/>
      <c r="BE16" s="31"/>
      <c r="BF16" s="31"/>
      <c r="BG16" s="31"/>
      <c r="BH16" s="33"/>
      <c r="BI16" s="38"/>
      <c r="BJ16" s="31"/>
      <c r="BK16" s="31"/>
      <c r="BL16" s="31"/>
      <c r="BM16" s="31"/>
      <c r="BN16" s="31"/>
      <c r="BO16" s="31"/>
      <c r="BP16" s="31"/>
      <c r="BQ16" s="31"/>
      <c r="BR16" s="33"/>
    </row>
    <row r="17" spans="1:70" s="66" customFormat="1" ht="9" customHeight="1" x14ac:dyDescent="0.3">
      <c r="B17" s="496" t="s">
        <v>491</v>
      </c>
      <c r="C17" s="496"/>
      <c r="D17" s="496"/>
      <c r="E17" s="496"/>
      <c r="F17" s="496"/>
      <c r="G17" s="497">
        <f>CEILING(4117*B3,1)</f>
        <v>5764</v>
      </c>
      <c r="H17" s="497"/>
      <c r="I17" s="497"/>
      <c r="J17" s="497"/>
      <c r="K17" s="67"/>
      <c r="L17" s="496" t="s">
        <v>491</v>
      </c>
      <c r="M17" s="496"/>
      <c r="N17" s="496"/>
      <c r="O17" s="496"/>
      <c r="P17" s="496"/>
      <c r="Q17" s="497">
        <f>CEILING(4216*B3,1)</f>
        <v>5903</v>
      </c>
      <c r="R17" s="497"/>
      <c r="S17" s="497"/>
      <c r="T17" s="497"/>
      <c r="U17" s="67"/>
      <c r="V17" s="496" t="s">
        <v>491</v>
      </c>
      <c r="W17" s="496"/>
      <c r="X17" s="496"/>
      <c r="Y17" s="496"/>
      <c r="Z17" s="496"/>
      <c r="AA17" s="497">
        <f>CEILING(4216*B3,1)</f>
        <v>5903</v>
      </c>
      <c r="AB17" s="497"/>
      <c r="AC17" s="497"/>
      <c r="AD17" s="497"/>
      <c r="AE17" s="67"/>
      <c r="AF17" s="496" t="s">
        <v>491</v>
      </c>
      <c r="AG17" s="496"/>
      <c r="AH17" s="496"/>
      <c r="AI17" s="496"/>
      <c r="AJ17" s="496"/>
      <c r="AK17" s="497">
        <f>CEILING(4216*B3,1)</f>
        <v>5903</v>
      </c>
      <c r="AL17" s="497"/>
      <c r="AM17" s="497"/>
      <c r="AN17" s="497"/>
      <c r="AO17" s="67"/>
      <c r="AP17" s="496" t="s">
        <v>491</v>
      </c>
      <c r="AQ17" s="496"/>
      <c r="AR17" s="496"/>
      <c r="AS17" s="496"/>
      <c r="AT17" s="496"/>
      <c r="AU17" s="497">
        <f>CEILING(4216*B3,1)</f>
        <v>5903</v>
      </c>
      <c r="AV17" s="497"/>
      <c r="AW17" s="497"/>
      <c r="AX17" s="497"/>
      <c r="AY17" s="67"/>
      <c r="AZ17" s="496" t="s">
        <v>492</v>
      </c>
      <c r="BA17" s="496"/>
      <c r="BB17" s="496"/>
      <c r="BC17" s="496"/>
      <c r="BD17" s="496"/>
      <c r="BE17" s="497">
        <f>CEILING(4216*B3,1)</f>
        <v>5903</v>
      </c>
      <c r="BF17" s="497"/>
      <c r="BG17" s="497"/>
      <c r="BH17" s="497"/>
      <c r="BI17" s="67"/>
      <c r="BJ17" s="496" t="s">
        <v>493</v>
      </c>
      <c r="BK17" s="496"/>
      <c r="BL17" s="496"/>
      <c r="BM17" s="496"/>
      <c r="BN17" s="496"/>
      <c r="BO17" s="497">
        <f>CEILING(4991*B3,1)</f>
        <v>6988</v>
      </c>
      <c r="BP17" s="497"/>
      <c r="BQ17" s="497"/>
      <c r="BR17" s="497"/>
    </row>
    <row r="18" spans="1:70" ht="1.5" customHeight="1" x14ac:dyDescent="0.3"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9"/>
      <c r="Z18" s="39"/>
      <c r="AA18" s="39"/>
      <c r="AB18" s="39"/>
      <c r="AC18" s="39"/>
      <c r="AD18" s="39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9"/>
      <c r="AR18" s="39"/>
      <c r="AS18" s="39"/>
      <c r="AT18" s="39"/>
      <c r="AU18" s="39"/>
      <c r="AV18" s="39"/>
      <c r="AW18" s="39"/>
      <c r="AX18" s="39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</row>
    <row r="19" spans="1:70" ht="9" customHeight="1" x14ac:dyDescent="0.3">
      <c r="B19" s="501" t="s">
        <v>494</v>
      </c>
      <c r="C19" s="502"/>
      <c r="D19" s="503"/>
      <c r="E19" s="498" t="s">
        <v>490</v>
      </c>
      <c r="F19" s="499"/>
      <c r="G19" s="499"/>
      <c r="H19" s="499"/>
      <c r="I19" s="499"/>
      <c r="J19" s="500"/>
      <c r="K19" s="31"/>
      <c r="L19" s="501" t="s">
        <v>496</v>
      </c>
      <c r="M19" s="502"/>
      <c r="N19" s="503"/>
      <c r="O19" s="498" t="s">
        <v>490</v>
      </c>
      <c r="P19" s="499"/>
      <c r="Q19" s="499"/>
      <c r="R19" s="499"/>
      <c r="S19" s="499"/>
      <c r="T19" s="500"/>
      <c r="U19" s="31"/>
      <c r="V19" s="501" t="s">
        <v>497</v>
      </c>
      <c r="W19" s="502"/>
      <c r="X19" s="503"/>
      <c r="Y19" s="498" t="s">
        <v>495</v>
      </c>
      <c r="Z19" s="499"/>
      <c r="AA19" s="499"/>
      <c r="AB19" s="499"/>
      <c r="AC19" s="499"/>
      <c r="AD19" s="500"/>
      <c r="AE19" s="31"/>
      <c r="AF19" s="501" t="s">
        <v>498</v>
      </c>
      <c r="AG19" s="502"/>
      <c r="AH19" s="503"/>
      <c r="AI19" s="498" t="s">
        <v>495</v>
      </c>
      <c r="AJ19" s="499"/>
      <c r="AK19" s="499"/>
      <c r="AL19" s="499"/>
      <c r="AM19" s="499"/>
      <c r="AN19" s="500"/>
      <c r="AO19" s="31"/>
      <c r="AP19" s="501" t="s">
        <v>499</v>
      </c>
      <c r="AQ19" s="502"/>
      <c r="AR19" s="503"/>
      <c r="AS19" s="498" t="s">
        <v>495</v>
      </c>
      <c r="AT19" s="499"/>
      <c r="AU19" s="499"/>
      <c r="AV19" s="499"/>
      <c r="AW19" s="499"/>
      <c r="AX19" s="500"/>
      <c r="AY19" s="31"/>
      <c r="AZ19" s="501" t="s">
        <v>500</v>
      </c>
      <c r="BA19" s="502"/>
      <c r="BB19" s="503"/>
      <c r="BC19" s="498" t="s">
        <v>495</v>
      </c>
      <c r="BD19" s="499"/>
      <c r="BE19" s="499"/>
      <c r="BF19" s="499"/>
      <c r="BG19" s="499"/>
      <c r="BH19" s="500"/>
      <c r="BI19" s="31"/>
      <c r="BJ19" s="501" t="s">
        <v>501</v>
      </c>
      <c r="BK19" s="502"/>
      <c r="BL19" s="503"/>
      <c r="BM19" s="498" t="s">
        <v>495</v>
      </c>
      <c r="BN19" s="499"/>
      <c r="BO19" s="499"/>
      <c r="BP19" s="499"/>
      <c r="BQ19" s="499"/>
      <c r="BR19" s="500"/>
    </row>
    <row r="20" spans="1:70" s="34" customFormat="1" ht="9" customHeight="1" x14ac:dyDescent="0.3">
      <c r="B20" s="493" t="s">
        <v>605</v>
      </c>
      <c r="C20" s="494"/>
      <c r="D20" s="494"/>
      <c r="E20" s="494"/>
      <c r="F20" s="494"/>
      <c r="G20" s="494"/>
      <c r="H20" s="494"/>
      <c r="I20" s="494"/>
      <c r="J20" s="495"/>
      <c r="K20" s="36"/>
      <c r="L20" s="493" t="s">
        <v>348</v>
      </c>
      <c r="M20" s="494"/>
      <c r="N20" s="494"/>
      <c r="O20" s="494"/>
      <c r="P20" s="494"/>
      <c r="Q20" s="494"/>
      <c r="R20" s="494"/>
      <c r="S20" s="494"/>
      <c r="T20" s="495"/>
      <c r="U20" s="40"/>
      <c r="V20" s="35"/>
      <c r="W20" s="36"/>
      <c r="X20" s="36"/>
      <c r="Y20" s="36"/>
      <c r="Z20" s="36"/>
      <c r="AA20" s="36"/>
      <c r="AB20" s="36"/>
      <c r="AC20" s="36"/>
      <c r="AD20" s="37"/>
      <c r="AE20" s="36"/>
      <c r="AF20" s="493" t="s">
        <v>505</v>
      </c>
      <c r="AG20" s="494"/>
      <c r="AH20" s="494"/>
      <c r="AI20" s="494"/>
      <c r="AJ20" s="494"/>
      <c r="AK20" s="494"/>
      <c r="AL20" s="494"/>
      <c r="AM20" s="494"/>
      <c r="AN20" s="495"/>
      <c r="AO20" s="40"/>
      <c r="AP20" s="493" t="s">
        <v>506</v>
      </c>
      <c r="AQ20" s="494"/>
      <c r="AR20" s="494"/>
      <c r="AS20" s="494"/>
      <c r="AT20" s="494"/>
      <c r="AU20" s="494"/>
      <c r="AV20" s="494"/>
      <c r="AW20" s="494"/>
      <c r="AX20" s="495"/>
      <c r="AY20" s="36"/>
      <c r="AZ20" s="35"/>
      <c r="BA20" s="36"/>
      <c r="BB20" s="36"/>
      <c r="BC20" s="36"/>
      <c r="BD20" s="36"/>
      <c r="BE20" s="36"/>
      <c r="BF20" s="36"/>
      <c r="BG20" s="36"/>
      <c r="BH20" s="37"/>
      <c r="BI20" s="40"/>
      <c r="BJ20" s="493" t="s">
        <v>505</v>
      </c>
      <c r="BK20" s="494"/>
      <c r="BL20" s="494"/>
      <c r="BM20" s="494"/>
      <c r="BN20" s="494"/>
      <c r="BO20" s="494"/>
      <c r="BP20" s="494"/>
      <c r="BQ20" s="494"/>
      <c r="BR20" s="495"/>
    </row>
    <row r="21" spans="1:70" ht="9" customHeight="1" x14ac:dyDescent="0.3">
      <c r="A21" s="25"/>
      <c r="B21" s="493" t="s">
        <v>348</v>
      </c>
      <c r="C21" s="494"/>
      <c r="D21" s="494"/>
      <c r="E21" s="494"/>
      <c r="F21" s="494"/>
      <c r="G21" s="494"/>
      <c r="H21" s="494"/>
      <c r="I21" s="494"/>
      <c r="J21" s="495"/>
      <c r="K21" s="38"/>
      <c r="L21" s="31"/>
      <c r="M21" s="31"/>
      <c r="N21" s="31"/>
      <c r="O21" s="31"/>
      <c r="P21" s="31"/>
      <c r="Q21" s="31"/>
      <c r="R21" s="31"/>
      <c r="S21" s="31"/>
      <c r="T21" s="33"/>
      <c r="U21" s="38"/>
      <c r="V21" s="31"/>
      <c r="W21" s="31"/>
      <c r="X21" s="31"/>
      <c r="Y21" s="31"/>
      <c r="Z21" s="31"/>
      <c r="AA21" s="31"/>
      <c r="AB21" s="31"/>
      <c r="AC21" s="31"/>
      <c r="AD21" s="33"/>
      <c r="AE21" s="38"/>
      <c r="AF21" s="31"/>
      <c r="AG21" s="31"/>
      <c r="AH21" s="31"/>
      <c r="AI21" s="31"/>
      <c r="AJ21" s="31"/>
      <c r="AK21" s="31"/>
      <c r="AL21" s="31"/>
      <c r="AM21" s="31"/>
      <c r="AN21" s="33"/>
      <c r="AO21" s="38"/>
      <c r="AP21" s="31"/>
      <c r="AQ21" s="31"/>
      <c r="AR21" s="31"/>
      <c r="AS21" s="31"/>
      <c r="AT21" s="31"/>
      <c r="AU21" s="31"/>
      <c r="AV21" s="31"/>
      <c r="AW21" s="31"/>
      <c r="AX21" s="33"/>
      <c r="AY21" s="38"/>
      <c r="AZ21" s="31"/>
      <c r="BA21" s="31"/>
      <c r="BB21" s="31"/>
      <c r="BC21" s="31"/>
      <c r="BD21" s="31"/>
      <c r="BE21" s="31"/>
      <c r="BF21" s="31"/>
      <c r="BG21" s="31"/>
      <c r="BH21" s="33"/>
      <c r="BI21" s="38"/>
      <c r="BJ21" s="31"/>
      <c r="BK21" s="31"/>
      <c r="BL21" s="31"/>
      <c r="BM21" s="31"/>
      <c r="BN21" s="31"/>
      <c r="BO21" s="31"/>
      <c r="BP21" s="31"/>
      <c r="BQ21" s="31"/>
      <c r="BR21" s="33"/>
    </row>
    <row r="22" spans="1:70" ht="9" customHeight="1" x14ac:dyDescent="0.3">
      <c r="A22" s="25"/>
      <c r="B22" s="31"/>
      <c r="C22" s="31"/>
      <c r="D22" s="31"/>
      <c r="E22" s="31"/>
      <c r="F22" s="31"/>
      <c r="G22" s="31"/>
      <c r="H22" s="31"/>
      <c r="I22" s="31"/>
      <c r="J22" s="33"/>
      <c r="K22" s="38"/>
      <c r="L22" s="31"/>
      <c r="M22" s="31"/>
      <c r="N22" s="31"/>
      <c r="O22" s="31"/>
      <c r="P22" s="31"/>
      <c r="Q22" s="31"/>
      <c r="R22" s="31"/>
      <c r="S22" s="31"/>
      <c r="T22" s="33"/>
      <c r="U22" s="38"/>
      <c r="V22" s="31"/>
      <c r="W22" s="31"/>
      <c r="X22" s="31"/>
      <c r="Y22" s="31"/>
      <c r="Z22" s="31"/>
      <c r="AA22" s="31"/>
      <c r="AB22" s="31"/>
      <c r="AC22" s="31"/>
      <c r="AD22" s="33"/>
      <c r="AE22" s="38"/>
      <c r="AF22" s="31"/>
      <c r="AG22" s="31"/>
      <c r="AH22" s="31"/>
      <c r="AI22" s="31"/>
      <c r="AJ22" s="31"/>
      <c r="AK22" s="31"/>
      <c r="AL22" s="31"/>
      <c r="AM22" s="31"/>
      <c r="AN22" s="33"/>
      <c r="AO22" s="38"/>
      <c r="AP22" s="31"/>
      <c r="AQ22" s="31"/>
      <c r="AR22" s="31"/>
      <c r="AS22" s="31"/>
      <c r="AT22" s="31"/>
      <c r="AU22" s="31"/>
      <c r="AV22" s="31"/>
      <c r="AW22" s="31"/>
      <c r="AX22" s="33"/>
      <c r="AY22" s="38"/>
      <c r="AZ22" s="31"/>
      <c r="BA22" s="31"/>
      <c r="BB22" s="31"/>
      <c r="BC22" s="31"/>
      <c r="BD22" s="31"/>
      <c r="BE22" s="31"/>
      <c r="BF22" s="31"/>
      <c r="BG22" s="31"/>
      <c r="BH22" s="33"/>
      <c r="BI22" s="38"/>
      <c r="BJ22" s="31"/>
      <c r="BK22" s="31"/>
      <c r="BL22" s="31"/>
      <c r="BM22" s="31"/>
      <c r="BN22" s="31"/>
      <c r="BO22" s="31"/>
      <c r="BP22" s="31"/>
      <c r="BQ22" s="31"/>
      <c r="BR22" s="33"/>
    </row>
    <row r="23" spans="1:70" ht="9.75" customHeight="1" x14ac:dyDescent="0.3">
      <c r="A23" s="25"/>
      <c r="B23" s="31"/>
      <c r="C23" s="31"/>
      <c r="D23" s="31"/>
      <c r="E23" s="31"/>
      <c r="F23" s="31"/>
      <c r="G23" s="31"/>
      <c r="H23" s="31"/>
      <c r="I23" s="31"/>
      <c r="J23" s="33"/>
      <c r="K23" s="38"/>
      <c r="L23" s="31"/>
      <c r="M23" s="31"/>
      <c r="N23" s="31"/>
      <c r="O23" s="31"/>
      <c r="P23" s="31"/>
      <c r="Q23" s="31"/>
      <c r="R23" s="31"/>
      <c r="S23" s="31"/>
      <c r="T23" s="33"/>
      <c r="U23" s="38"/>
      <c r="V23" s="31"/>
      <c r="W23" s="31"/>
      <c r="X23" s="31"/>
      <c r="Y23" s="31"/>
      <c r="Z23" s="31"/>
      <c r="AA23" s="31"/>
      <c r="AB23" s="31"/>
      <c r="AC23" s="31"/>
      <c r="AD23" s="33"/>
      <c r="AE23" s="38"/>
      <c r="AF23" s="31"/>
      <c r="AG23" s="31"/>
      <c r="AH23" s="31"/>
      <c r="AI23" s="31"/>
      <c r="AJ23" s="31"/>
      <c r="AK23" s="31"/>
      <c r="AL23" s="31"/>
      <c r="AM23" s="31"/>
      <c r="AN23" s="33"/>
      <c r="AO23" s="38"/>
      <c r="AP23" s="31"/>
      <c r="AQ23" s="31"/>
      <c r="AR23" s="31"/>
      <c r="AS23" s="31"/>
      <c r="AT23" s="31"/>
      <c r="AU23" s="31"/>
      <c r="AV23" s="31"/>
      <c r="AW23" s="31"/>
      <c r="AX23" s="33"/>
      <c r="AY23" s="38"/>
      <c r="AZ23" s="31"/>
      <c r="BA23" s="31"/>
      <c r="BB23" s="31"/>
      <c r="BC23" s="31"/>
      <c r="BD23" s="31"/>
      <c r="BE23" s="31"/>
      <c r="BF23" s="31"/>
      <c r="BG23" s="31"/>
      <c r="BH23" s="33"/>
      <c r="BI23" s="38"/>
      <c r="BJ23" s="31"/>
      <c r="BK23" s="31"/>
      <c r="BL23" s="31"/>
      <c r="BM23" s="31"/>
      <c r="BN23" s="31"/>
      <c r="BO23" s="31"/>
      <c r="BP23" s="31"/>
      <c r="BQ23" s="31"/>
      <c r="BR23" s="33"/>
    </row>
    <row r="24" spans="1:70" s="41" customFormat="1" ht="9" customHeight="1" x14ac:dyDescent="0.3">
      <c r="A24" s="54"/>
      <c r="B24" s="31"/>
      <c r="C24" s="31"/>
      <c r="D24" s="31"/>
      <c r="E24" s="31"/>
      <c r="F24" s="31"/>
      <c r="G24" s="31"/>
      <c r="H24" s="31"/>
      <c r="I24" s="31"/>
      <c r="J24" s="33"/>
      <c r="K24" s="45"/>
      <c r="L24" s="31"/>
      <c r="M24" s="31"/>
      <c r="N24" s="31"/>
      <c r="O24" s="31"/>
      <c r="P24" s="31"/>
      <c r="Q24" s="31"/>
      <c r="R24" s="31"/>
      <c r="S24" s="31"/>
      <c r="T24" s="33"/>
      <c r="U24" s="45"/>
      <c r="V24" s="31"/>
      <c r="W24" s="31"/>
      <c r="X24" s="31"/>
      <c r="Y24" s="31"/>
      <c r="Z24" s="31"/>
      <c r="AA24" s="31"/>
      <c r="AB24" s="31"/>
      <c r="AC24" s="31"/>
      <c r="AD24" s="33"/>
      <c r="AE24" s="45"/>
      <c r="AF24" s="31"/>
      <c r="AG24" s="31"/>
      <c r="AH24" s="31"/>
      <c r="AI24" s="31"/>
      <c r="AJ24" s="31"/>
      <c r="AK24" s="31"/>
      <c r="AL24" s="31"/>
      <c r="AM24" s="31"/>
      <c r="AN24" s="33"/>
      <c r="AO24" s="45"/>
      <c r="AP24" s="31"/>
      <c r="AQ24" s="31"/>
      <c r="AR24" s="31"/>
      <c r="AS24" s="31"/>
      <c r="AT24" s="31"/>
      <c r="AU24" s="31"/>
      <c r="AV24" s="31"/>
      <c r="AW24" s="31"/>
      <c r="AX24" s="33"/>
      <c r="AY24" s="45"/>
      <c r="AZ24" s="31"/>
      <c r="BA24" s="31"/>
      <c r="BB24" s="31"/>
      <c r="BC24" s="31"/>
      <c r="BD24" s="31"/>
      <c r="BE24" s="31"/>
      <c r="BF24" s="31"/>
      <c r="BG24" s="31"/>
      <c r="BH24" s="33"/>
      <c r="BI24" s="38"/>
      <c r="BJ24" s="31"/>
      <c r="BK24" s="31"/>
      <c r="BL24" s="31"/>
      <c r="BM24" s="31"/>
      <c r="BN24" s="31"/>
      <c r="BO24" s="31"/>
      <c r="BP24" s="31"/>
      <c r="BQ24" s="31"/>
      <c r="BR24" s="33"/>
    </row>
    <row r="25" spans="1:70" s="41" customFormat="1" ht="9" customHeight="1" x14ac:dyDescent="0.3">
      <c r="A25" s="54"/>
      <c r="B25" s="31"/>
      <c r="C25" s="31"/>
      <c r="D25" s="31"/>
      <c r="E25" s="31"/>
      <c r="F25" s="31"/>
      <c r="G25" s="31"/>
      <c r="H25" s="31"/>
      <c r="I25" s="31"/>
      <c r="J25" s="33"/>
      <c r="K25" s="45"/>
      <c r="L25" s="31"/>
      <c r="M25" s="31"/>
      <c r="N25" s="31"/>
      <c r="O25" s="31"/>
      <c r="P25" s="31"/>
      <c r="Q25" s="31"/>
      <c r="R25" s="31"/>
      <c r="S25" s="31"/>
      <c r="T25" s="33"/>
      <c r="U25" s="45"/>
      <c r="V25" s="31"/>
      <c r="W25" s="31"/>
      <c r="X25" s="31"/>
      <c r="Y25" s="31"/>
      <c r="Z25" s="31"/>
      <c r="AA25" s="31"/>
      <c r="AB25" s="31"/>
      <c r="AC25" s="31"/>
      <c r="AD25" s="33"/>
      <c r="AE25" s="45"/>
      <c r="AF25" s="31"/>
      <c r="AG25" s="31"/>
      <c r="AH25" s="31"/>
      <c r="AI25" s="31"/>
      <c r="AJ25" s="31"/>
      <c r="AK25" s="31"/>
      <c r="AL25" s="31"/>
      <c r="AM25" s="31"/>
      <c r="AN25" s="33"/>
      <c r="AO25" s="45"/>
      <c r="AP25" s="31"/>
      <c r="AQ25" s="31"/>
      <c r="AR25" s="31"/>
      <c r="AS25" s="31"/>
      <c r="AT25" s="31"/>
      <c r="AU25" s="31"/>
      <c r="AV25" s="31"/>
      <c r="AW25" s="31"/>
      <c r="AX25" s="33"/>
      <c r="AY25" s="45"/>
      <c r="AZ25" s="31"/>
      <c r="BA25" s="31"/>
      <c r="BB25" s="31"/>
      <c r="BC25" s="31"/>
      <c r="BD25" s="31"/>
      <c r="BE25" s="31"/>
      <c r="BF25" s="31"/>
      <c r="BG25" s="31"/>
      <c r="BH25" s="33"/>
      <c r="BI25" s="38"/>
      <c r="BJ25" s="31"/>
      <c r="BK25" s="31"/>
      <c r="BL25" s="31"/>
      <c r="BM25" s="31"/>
      <c r="BN25" s="31"/>
      <c r="BO25" s="31"/>
      <c r="BP25" s="31"/>
      <c r="BQ25" s="31"/>
      <c r="BR25" s="33"/>
    </row>
    <row r="26" spans="1:70" s="41" customFormat="1" ht="9" customHeight="1" x14ac:dyDescent="0.3">
      <c r="A26" s="54"/>
      <c r="B26" s="31"/>
      <c r="C26" s="31"/>
      <c r="D26" s="31"/>
      <c r="E26" s="31"/>
      <c r="F26" s="31"/>
      <c r="G26" s="31"/>
      <c r="H26" s="31"/>
      <c r="I26" s="31"/>
      <c r="J26" s="33"/>
      <c r="K26" s="45"/>
      <c r="L26" s="31"/>
      <c r="M26" s="31"/>
      <c r="N26" s="31"/>
      <c r="O26" s="31"/>
      <c r="P26" s="31"/>
      <c r="Q26" s="31"/>
      <c r="R26" s="31"/>
      <c r="S26" s="31"/>
      <c r="T26" s="33"/>
      <c r="U26" s="45"/>
      <c r="V26" s="31"/>
      <c r="W26" s="31"/>
      <c r="X26" s="31"/>
      <c r="Y26" s="31"/>
      <c r="Z26" s="31"/>
      <c r="AA26" s="31"/>
      <c r="AB26" s="31"/>
      <c r="AC26" s="31"/>
      <c r="AD26" s="33"/>
      <c r="AE26" s="45"/>
      <c r="AF26" s="31"/>
      <c r="AG26" s="31"/>
      <c r="AH26" s="31"/>
      <c r="AI26" s="31"/>
      <c r="AJ26" s="31"/>
      <c r="AK26" s="31"/>
      <c r="AL26" s="31"/>
      <c r="AM26" s="31"/>
      <c r="AN26" s="33"/>
      <c r="AO26" s="45"/>
      <c r="AP26" s="31"/>
      <c r="AQ26" s="31"/>
      <c r="AR26" s="31"/>
      <c r="AS26" s="31"/>
      <c r="AT26" s="31"/>
      <c r="AU26" s="31"/>
      <c r="AV26" s="31"/>
      <c r="AW26" s="31"/>
      <c r="AX26" s="33"/>
      <c r="AY26" s="45"/>
      <c r="AZ26" s="31"/>
      <c r="BA26" s="31"/>
      <c r="BB26" s="31"/>
      <c r="BC26" s="31"/>
      <c r="BD26" s="31"/>
      <c r="BE26" s="31"/>
      <c r="BF26" s="31"/>
      <c r="BG26" s="31"/>
      <c r="BH26" s="33"/>
      <c r="BI26" s="38"/>
      <c r="BJ26" s="31"/>
      <c r="BK26" s="31"/>
      <c r="BL26" s="31"/>
      <c r="BM26" s="31"/>
      <c r="BN26" s="31"/>
      <c r="BO26" s="31"/>
      <c r="BP26" s="31"/>
      <c r="BQ26" s="31"/>
      <c r="BR26" s="33"/>
    </row>
    <row r="27" spans="1:70" s="41" customFormat="1" ht="9" customHeight="1" x14ac:dyDescent="0.3">
      <c r="A27" s="54"/>
      <c r="B27" s="31"/>
      <c r="C27" s="31"/>
      <c r="D27" s="31"/>
      <c r="E27" s="31"/>
      <c r="F27" s="31"/>
      <c r="G27" s="31"/>
      <c r="H27" s="31"/>
      <c r="I27" s="31"/>
      <c r="J27" s="33"/>
      <c r="K27" s="45"/>
      <c r="L27" s="31"/>
      <c r="M27" s="31"/>
      <c r="N27" s="31"/>
      <c r="O27" s="31"/>
      <c r="P27" s="31"/>
      <c r="Q27" s="31"/>
      <c r="R27" s="31"/>
      <c r="S27" s="31"/>
      <c r="T27" s="33"/>
      <c r="U27" s="45"/>
      <c r="V27" s="31"/>
      <c r="W27" s="31"/>
      <c r="X27" s="31"/>
      <c r="Y27" s="31"/>
      <c r="Z27" s="31"/>
      <c r="AA27" s="31"/>
      <c r="AB27" s="31"/>
      <c r="AC27" s="31"/>
      <c r="AD27" s="33"/>
      <c r="AE27" s="45"/>
      <c r="AF27" s="31"/>
      <c r="AG27" s="31"/>
      <c r="AH27" s="31"/>
      <c r="AI27" s="31"/>
      <c r="AJ27" s="31"/>
      <c r="AK27" s="31"/>
      <c r="AL27" s="31"/>
      <c r="AM27" s="31"/>
      <c r="AN27" s="33"/>
      <c r="AO27" s="45"/>
      <c r="AP27" s="31"/>
      <c r="AQ27" s="31"/>
      <c r="AR27" s="31"/>
      <c r="AS27" s="31"/>
      <c r="AT27" s="31"/>
      <c r="AU27" s="31"/>
      <c r="AV27" s="31"/>
      <c r="AW27" s="31"/>
      <c r="AX27" s="33"/>
      <c r="AY27" s="45"/>
      <c r="AZ27" s="31"/>
      <c r="BA27" s="31"/>
      <c r="BB27" s="31"/>
      <c r="BC27" s="31"/>
      <c r="BD27" s="31"/>
      <c r="BE27" s="31"/>
      <c r="BF27" s="31"/>
      <c r="BG27" s="31"/>
      <c r="BH27" s="33"/>
      <c r="BI27" s="38"/>
      <c r="BJ27" s="31"/>
      <c r="BK27" s="31"/>
      <c r="BL27" s="31"/>
      <c r="BM27" s="31"/>
      <c r="BN27" s="31"/>
      <c r="BO27" s="31"/>
      <c r="BP27" s="31"/>
      <c r="BQ27" s="31"/>
      <c r="BR27" s="33"/>
    </row>
    <row r="28" spans="1:70" s="41" customFormat="1" ht="9" customHeight="1" x14ac:dyDescent="0.3">
      <c r="A28" s="54"/>
      <c r="B28" s="31"/>
      <c r="C28" s="31"/>
      <c r="D28" s="31"/>
      <c r="E28" s="31"/>
      <c r="F28" s="31"/>
      <c r="G28" s="31"/>
      <c r="H28" s="31"/>
      <c r="I28" s="31"/>
      <c r="J28" s="33"/>
      <c r="K28" s="45"/>
      <c r="L28" s="31"/>
      <c r="M28" s="31"/>
      <c r="N28" s="31"/>
      <c r="O28" s="31"/>
      <c r="P28" s="31"/>
      <c r="Q28" s="31"/>
      <c r="R28" s="31"/>
      <c r="S28" s="31"/>
      <c r="T28" s="33"/>
      <c r="U28" s="45"/>
      <c r="V28" s="31"/>
      <c r="W28" s="31"/>
      <c r="X28" s="31"/>
      <c r="Y28" s="31"/>
      <c r="Z28" s="31"/>
      <c r="AA28" s="31"/>
      <c r="AB28" s="31"/>
      <c r="AC28" s="31"/>
      <c r="AD28" s="33"/>
      <c r="AE28" s="45"/>
      <c r="AF28" s="31"/>
      <c r="AG28" s="31"/>
      <c r="AH28" s="31"/>
      <c r="AI28" s="31"/>
      <c r="AJ28" s="31"/>
      <c r="AK28" s="31"/>
      <c r="AL28" s="31"/>
      <c r="AM28" s="31"/>
      <c r="AN28" s="33"/>
      <c r="AO28" s="45"/>
      <c r="AP28" s="31"/>
      <c r="AQ28" s="31"/>
      <c r="AR28" s="31"/>
      <c r="AS28" s="31"/>
      <c r="AT28" s="31"/>
      <c r="AU28" s="31"/>
      <c r="AV28" s="31"/>
      <c r="AW28" s="31"/>
      <c r="AX28" s="33"/>
      <c r="AY28" s="45"/>
      <c r="AZ28" s="31"/>
      <c r="BA28" s="31"/>
      <c r="BB28" s="31"/>
      <c r="BC28" s="31"/>
      <c r="BD28" s="31"/>
      <c r="BE28" s="31"/>
      <c r="BF28" s="31"/>
      <c r="BG28" s="31"/>
      <c r="BH28" s="33"/>
      <c r="BI28" s="38"/>
      <c r="BJ28" s="31"/>
      <c r="BK28" s="31"/>
      <c r="BL28" s="31"/>
      <c r="BM28" s="31"/>
      <c r="BN28" s="31"/>
      <c r="BO28" s="31"/>
      <c r="BP28" s="31"/>
      <c r="BQ28" s="31"/>
      <c r="BR28" s="33"/>
    </row>
    <row r="29" spans="1:70" s="41" customFormat="1" ht="9" customHeight="1" x14ac:dyDescent="0.3">
      <c r="A29" s="54"/>
      <c r="B29" s="47"/>
      <c r="C29" s="47"/>
      <c r="D29" s="47"/>
      <c r="E29" s="47"/>
      <c r="F29" s="47"/>
      <c r="G29" s="47"/>
      <c r="H29" s="47"/>
      <c r="I29" s="47"/>
      <c r="J29" s="48"/>
      <c r="K29" s="45"/>
      <c r="L29" s="47"/>
      <c r="M29" s="47"/>
      <c r="N29" s="47"/>
      <c r="O29" s="47"/>
      <c r="P29" s="47"/>
      <c r="Q29" s="47"/>
      <c r="R29" s="47"/>
      <c r="S29" s="47"/>
      <c r="T29" s="48"/>
      <c r="U29" s="45"/>
      <c r="V29" s="47"/>
      <c r="W29" s="47"/>
      <c r="X29" s="47"/>
      <c r="Y29" s="47"/>
      <c r="Z29" s="47"/>
      <c r="AA29" s="47"/>
      <c r="AB29" s="47"/>
      <c r="AC29" s="47"/>
      <c r="AD29" s="48"/>
      <c r="AE29" s="45"/>
      <c r="AF29" s="47"/>
      <c r="AG29" s="47"/>
      <c r="AH29" s="47"/>
      <c r="AI29" s="47"/>
      <c r="AJ29" s="47"/>
      <c r="AK29" s="47"/>
      <c r="AL29" s="47"/>
      <c r="AM29" s="47"/>
      <c r="AN29" s="48"/>
      <c r="AO29" s="45"/>
      <c r="AP29" s="47"/>
      <c r="AQ29" s="47"/>
      <c r="AR29" s="47"/>
      <c r="AS29" s="47"/>
      <c r="AT29" s="47"/>
      <c r="AU29" s="47"/>
      <c r="AV29" s="47"/>
      <c r="AW29" s="47"/>
      <c r="AX29" s="48"/>
      <c r="AY29" s="45"/>
      <c r="AZ29" s="47"/>
      <c r="BA29" s="47"/>
      <c r="BB29" s="47"/>
      <c r="BC29" s="47"/>
      <c r="BD29" s="47"/>
      <c r="BE29" s="47"/>
      <c r="BF29" s="47"/>
      <c r="BG29" s="47"/>
      <c r="BH29" s="48"/>
      <c r="BI29" s="38"/>
      <c r="BJ29" s="47"/>
      <c r="BK29" s="47"/>
      <c r="BL29" s="47"/>
      <c r="BM29" s="47"/>
      <c r="BN29" s="47"/>
      <c r="BO29" s="47"/>
      <c r="BP29" s="47"/>
      <c r="BQ29" s="47"/>
      <c r="BR29" s="48"/>
    </row>
    <row r="30" spans="1:70" s="41" customFormat="1" ht="9" customHeight="1" x14ac:dyDescent="0.3">
      <c r="B30" s="32"/>
      <c r="C30" s="31"/>
      <c r="D30" s="31"/>
      <c r="E30" s="31"/>
      <c r="F30" s="31"/>
      <c r="G30" s="31"/>
      <c r="H30" s="31"/>
      <c r="I30" s="31"/>
      <c r="J30" s="33"/>
      <c r="K30" s="45"/>
      <c r="L30" s="31"/>
      <c r="M30" s="31"/>
      <c r="N30" s="31"/>
      <c r="O30" s="31"/>
      <c r="P30" s="31"/>
      <c r="Q30" s="31"/>
      <c r="R30" s="31"/>
      <c r="S30" s="31"/>
      <c r="T30" s="33"/>
      <c r="U30" s="42"/>
      <c r="V30" s="32"/>
      <c r="W30" s="31"/>
      <c r="X30" s="31"/>
      <c r="Y30" s="31"/>
      <c r="Z30" s="31"/>
      <c r="AA30" s="31"/>
      <c r="AB30" s="31"/>
      <c r="AC30" s="31"/>
      <c r="AD30" s="33"/>
      <c r="AE30" s="45"/>
      <c r="AF30" s="31"/>
      <c r="AG30" s="31"/>
      <c r="AH30" s="31"/>
      <c r="AI30" s="31"/>
      <c r="AJ30" s="31"/>
      <c r="AK30" s="31"/>
      <c r="AL30" s="31"/>
      <c r="AM30" s="31"/>
      <c r="AN30" s="33"/>
      <c r="AO30" s="42"/>
      <c r="AP30" s="32"/>
      <c r="AQ30" s="31"/>
      <c r="AR30" s="31"/>
      <c r="AS30" s="31"/>
      <c r="AT30" s="31"/>
      <c r="AU30" s="31"/>
      <c r="AV30" s="31"/>
      <c r="AW30" s="31"/>
      <c r="AX30" s="33"/>
      <c r="AY30" s="42"/>
      <c r="AZ30" s="32"/>
      <c r="BA30" s="31"/>
      <c r="BB30" s="31"/>
      <c r="BC30" s="31"/>
      <c r="BD30" s="31"/>
      <c r="BE30" s="31"/>
      <c r="BF30" s="31"/>
      <c r="BG30" s="31"/>
      <c r="BH30" s="33"/>
      <c r="BI30" s="38"/>
      <c r="BJ30" s="31"/>
      <c r="BK30" s="31"/>
      <c r="BL30" s="31"/>
      <c r="BM30" s="31"/>
      <c r="BN30" s="31"/>
      <c r="BO30" s="31"/>
      <c r="BP30" s="31"/>
      <c r="BQ30" s="31"/>
      <c r="BR30" s="33"/>
    </row>
    <row r="31" spans="1:70" s="69" customFormat="1" ht="9" customHeight="1" x14ac:dyDescent="0.3">
      <c r="B31" s="496" t="s">
        <v>502</v>
      </c>
      <c r="C31" s="496"/>
      <c r="D31" s="496"/>
      <c r="E31" s="496"/>
      <c r="F31" s="496"/>
      <c r="G31" s="497">
        <f>CEILING(4082*B3,1)</f>
        <v>5715</v>
      </c>
      <c r="H31" s="497"/>
      <c r="I31" s="497"/>
      <c r="J31" s="497"/>
      <c r="K31" s="68"/>
      <c r="L31" s="496" t="s">
        <v>503</v>
      </c>
      <c r="M31" s="496"/>
      <c r="N31" s="496"/>
      <c r="O31" s="496"/>
      <c r="P31" s="496"/>
      <c r="Q31" s="497">
        <f>CEILING(8686*B3,1)</f>
        <v>12161</v>
      </c>
      <c r="R31" s="497"/>
      <c r="S31" s="497"/>
      <c r="T31" s="497"/>
      <c r="U31" s="68"/>
      <c r="V31" s="496" t="s">
        <v>502</v>
      </c>
      <c r="W31" s="496"/>
      <c r="X31" s="496"/>
      <c r="Y31" s="496"/>
      <c r="Z31" s="496"/>
      <c r="AA31" s="497">
        <f>CEILING(4216*B3,1)</f>
        <v>5903</v>
      </c>
      <c r="AB31" s="497"/>
      <c r="AC31" s="497"/>
      <c r="AD31" s="497"/>
      <c r="AE31" s="68"/>
      <c r="AF31" s="496" t="s">
        <v>504</v>
      </c>
      <c r="AG31" s="496"/>
      <c r="AH31" s="496"/>
      <c r="AI31" s="496"/>
      <c r="AJ31" s="496"/>
      <c r="AK31" s="497">
        <f>CEILING(5150*B3,1)</f>
        <v>7210</v>
      </c>
      <c r="AL31" s="497"/>
      <c r="AM31" s="497"/>
      <c r="AN31" s="497"/>
      <c r="AO31" s="68"/>
      <c r="AP31" s="496" t="s">
        <v>504</v>
      </c>
      <c r="AQ31" s="496"/>
      <c r="AR31" s="496"/>
      <c r="AS31" s="496"/>
      <c r="AT31" s="496"/>
      <c r="AU31" s="497">
        <f>CEILING(5936*B3,1)</f>
        <v>8311</v>
      </c>
      <c r="AV31" s="497"/>
      <c r="AW31" s="497"/>
      <c r="AX31" s="497"/>
      <c r="AY31" s="68"/>
      <c r="AZ31" s="496" t="s">
        <v>502</v>
      </c>
      <c r="BA31" s="496"/>
      <c r="BB31" s="496"/>
      <c r="BC31" s="496"/>
      <c r="BD31" s="496"/>
      <c r="BE31" s="497">
        <f>CEILING(4032*B3,1)</f>
        <v>5645</v>
      </c>
      <c r="BF31" s="497"/>
      <c r="BG31" s="497"/>
      <c r="BH31" s="497"/>
      <c r="BI31" s="68"/>
      <c r="BJ31" s="496" t="s">
        <v>504</v>
      </c>
      <c r="BK31" s="496"/>
      <c r="BL31" s="496"/>
      <c r="BM31" s="496"/>
      <c r="BN31" s="496"/>
      <c r="BO31" s="497">
        <f>CEILING(5200*B3,1)</f>
        <v>7280</v>
      </c>
      <c r="BP31" s="497"/>
      <c r="BQ31" s="497"/>
      <c r="BR31" s="497"/>
    </row>
    <row r="32" spans="1:70" ht="1.5" customHeight="1" x14ac:dyDescent="0.3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46"/>
    </row>
    <row r="33" spans="1:70" s="41" customFormat="1" ht="9" customHeight="1" x14ac:dyDescent="0.3">
      <c r="B33" s="501" t="s">
        <v>507</v>
      </c>
      <c r="C33" s="502"/>
      <c r="D33" s="503"/>
      <c r="E33" s="498" t="s">
        <v>495</v>
      </c>
      <c r="F33" s="499"/>
      <c r="G33" s="499"/>
      <c r="H33" s="499"/>
      <c r="I33" s="499"/>
      <c r="J33" s="500"/>
      <c r="K33" s="42"/>
      <c r="L33" s="501" t="s">
        <v>508</v>
      </c>
      <c r="M33" s="502"/>
      <c r="N33" s="503"/>
      <c r="O33" s="498" t="s">
        <v>495</v>
      </c>
      <c r="P33" s="499"/>
      <c r="Q33" s="499"/>
      <c r="R33" s="499"/>
      <c r="S33" s="499"/>
      <c r="T33" s="500"/>
      <c r="U33" s="42"/>
      <c r="V33" s="501" t="s">
        <v>509</v>
      </c>
      <c r="W33" s="502"/>
      <c r="X33" s="503"/>
      <c r="Y33" s="498" t="s">
        <v>490</v>
      </c>
      <c r="Z33" s="499"/>
      <c r="AA33" s="499"/>
      <c r="AB33" s="499"/>
      <c r="AC33" s="499"/>
      <c r="AD33" s="500"/>
      <c r="AE33" s="42"/>
      <c r="AF33" s="501" t="s">
        <v>510</v>
      </c>
      <c r="AG33" s="502"/>
      <c r="AH33" s="503"/>
      <c r="AI33" s="498" t="s">
        <v>179</v>
      </c>
      <c r="AJ33" s="499"/>
      <c r="AK33" s="499"/>
      <c r="AL33" s="499"/>
      <c r="AM33" s="499"/>
      <c r="AN33" s="500"/>
      <c r="AO33" s="42"/>
      <c r="AP33" s="501" t="s">
        <v>511</v>
      </c>
      <c r="AQ33" s="502"/>
      <c r="AR33" s="503"/>
      <c r="AS33" s="498" t="s">
        <v>179</v>
      </c>
      <c r="AT33" s="499"/>
      <c r="AU33" s="499"/>
      <c r="AV33" s="499"/>
      <c r="AW33" s="499"/>
      <c r="AX33" s="500"/>
      <c r="AY33" s="44"/>
      <c r="AZ33" s="501" t="s">
        <v>512</v>
      </c>
      <c r="BA33" s="502"/>
      <c r="BB33" s="503"/>
      <c r="BC33" s="498" t="s">
        <v>179</v>
      </c>
      <c r="BD33" s="499"/>
      <c r="BE33" s="499"/>
      <c r="BF33" s="499"/>
      <c r="BG33" s="499"/>
      <c r="BH33" s="500"/>
      <c r="BI33" s="42"/>
      <c r="BJ33" s="501" t="s">
        <v>513</v>
      </c>
      <c r="BK33" s="502"/>
      <c r="BL33" s="503"/>
      <c r="BM33" s="498" t="s">
        <v>179</v>
      </c>
      <c r="BN33" s="499"/>
      <c r="BO33" s="499"/>
      <c r="BP33" s="499"/>
      <c r="BQ33" s="499"/>
      <c r="BR33" s="500"/>
    </row>
    <row r="34" spans="1:70" s="34" customFormat="1" ht="9" customHeight="1" x14ac:dyDescent="0.3">
      <c r="A34" s="56"/>
      <c r="B34" s="493" t="s">
        <v>607</v>
      </c>
      <c r="C34" s="494"/>
      <c r="D34" s="494"/>
      <c r="E34" s="494"/>
      <c r="F34" s="494"/>
      <c r="G34" s="494"/>
      <c r="H34" s="494"/>
      <c r="I34" s="494"/>
      <c r="J34" s="495"/>
      <c r="K34" s="36"/>
      <c r="L34" s="35"/>
      <c r="M34" s="36"/>
      <c r="N34" s="36"/>
      <c r="O34" s="36"/>
      <c r="P34" s="36"/>
      <c r="Q34" s="36"/>
      <c r="R34" s="36"/>
      <c r="S34" s="36"/>
      <c r="T34" s="37"/>
      <c r="U34" s="40"/>
      <c r="V34" s="493" t="s">
        <v>608</v>
      </c>
      <c r="W34" s="494"/>
      <c r="X34" s="494"/>
      <c r="Y34" s="494"/>
      <c r="Z34" s="494"/>
      <c r="AA34" s="494"/>
      <c r="AB34" s="494"/>
      <c r="AC34" s="494"/>
      <c r="AD34" s="495"/>
      <c r="AE34" s="36"/>
      <c r="AF34" s="493" t="s">
        <v>609</v>
      </c>
      <c r="AG34" s="494"/>
      <c r="AH34" s="494"/>
      <c r="AI34" s="494"/>
      <c r="AJ34" s="494"/>
      <c r="AK34" s="494"/>
      <c r="AL34" s="494"/>
      <c r="AM34" s="494"/>
      <c r="AN34" s="495"/>
      <c r="AO34" s="36"/>
      <c r="AP34" s="493" t="s">
        <v>609</v>
      </c>
      <c r="AQ34" s="494"/>
      <c r="AR34" s="494"/>
      <c r="AS34" s="494"/>
      <c r="AT34" s="494"/>
      <c r="AU34" s="494"/>
      <c r="AV34" s="494"/>
      <c r="AW34" s="494"/>
      <c r="AX34" s="495"/>
      <c r="AY34" s="37"/>
      <c r="AZ34" s="493" t="s">
        <v>609</v>
      </c>
      <c r="BA34" s="494"/>
      <c r="BB34" s="494"/>
      <c r="BC34" s="494"/>
      <c r="BD34" s="494"/>
      <c r="BE34" s="494"/>
      <c r="BF34" s="494"/>
      <c r="BG34" s="494"/>
      <c r="BH34" s="495"/>
      <c r="BI34" s="36"/>
      <c r="BJ34" s="493" t="s">
        <v>609</v>
      </c>
      <c r="BK34" s="494"/>
      <c r="BL34" s="494"/>
      <c r="BM34" s="494"/>
      <c r="BN34" s="494"/>
      <c r="BO34" s="494"/>
      <c r="BP34" s="494"/>
      <c r="BQ34" s="494"/>
      <c r="BR34" s="495"/>
    </row>
    <row r="35" spans="1:70" ht="9" customHeight="1" x14ac:dyDescent="0.3">
      <c r="A35" s="25"/>
      <c r="B35" s="31"/>
      <c r="C35" s="31"/>
      <c r="D35" s="31"/>
      <c r="E35" s="31"/>
      <c r="F35" s="31"/>
      <c r="G35" s="31"/>
      <c r="H35" s="31"/>
      <c r="I35" s="31"/>
      <c r="J35" s="33"/>
      <c r="K35" s="38"/>
      <c r="L35" s="31"/>
      <c r="M35" s="31"/>
      <c r="N35" s="31"/>
      <c r="O35" s="31"/>
      <c r="P35" s="31"/>
      <c r="Q35" s="31"/>
      <c r="R35" s="31"/>
      <c r="S35" s="31"/>
      <c r="T35" s="33"/>
      <c r="U35" s="38"/>
      <c r="V35" s="31"/>
      <c r="W35" s="31"/>
      <c r="X35" s="31"/>
      <c r="Y35" s="31"/>
      <c r="Z35" s="31"/>
      <c r="AA35" s="31"/>
      <c r="AB35" s="31"/>
      <c r="AC35" s="31"/>
      <c r="AD35" s="33"/>
      <c r="AE35" s="38"/>
      <c r="AF35" s="493" t="s">
        <v>516</v>
      </c>
      <c r="AG35" s="494"/>
      <c r="AH35" s="494"/>
      <c r="AI35" s="494"/>
      <c r="AJ35" s="494"/>
      <c r="AK35" s="494"/>
      <c r="AL35" s="494"/>
      <c r="AM35" s="494"/>
      <c r="AN35" s="495"/>
      <c r="AO35" s="33"/>
      <c r="AP35" s="493" t="s">
        <v>517</v>
      </c>
      <c r="AQ35" s="494"/>
      <c r="AR35" s="494"/>
      <c r="AS35" s="494"/>
      <c r="AT35" s="494"/>
      <c r="AU35" s="494"/>
      <c r="AV35" s="494"/>
      <c r="AW35" s="494"/>
      <c r="AX35" s="495"/>
      <c r="AY35" s="33"/>
      <c r="AZ35" s="493" t="s">
        <v>518</v>
      </c>
      <c r="BA35" s="494"/>
      <c r="BB35" s="494"/>
      <c r="BC35" s="494"/>
      <c r="BD35" s="494"/>
      <c r="BE35" s="494"/>
      <c r="BF35" s="494"/>
      <c r="BG35" s="494"/>
      <c r="BH35" s="495"/>
      <c r="BI35" s="38"/>
      <c r="BJ35" s="493" t="s">
        <v>517</v>
      </c>
      <c r="BK35" s="494"/>
      <c r="BL35" s="494"/>
      <c r="BM35" s="494"/>
      <c r="BN35" s="494"/>
      <c r="BO35" s="494"/>
      <c r="BP35" s="494"/>
      <c r="BQ35" s="494"/>
      <c r="BR35" s="495"/>
    </row>
    <row r="36" spans="1:70" ht="9" customHeight="1" x14ac:dyDescent="0.3">
      <c r="A36" s="25"/>
      <c r="B36" s="31"/>
      <c r="C36" s="31"/>
      <c r="D36" s="31"/>
      <c r="E36" s="31"/>
      <c r="F36" s="31"/>
      <c r="G36" s="31"/>
      <c r="H36" s="31"/>
      <c r="I36" s="31"/>
      <c r="J36" s="33"/>
      <c r="K36" s="38"/>
      <c r="L36" s="31"/>
      <c r="M36" s="31"/>
      <c r="N36" s="31"/>
      <c r="O36" s="31"/>
      <c r="P36" s="31"/>
      <c r="Q36" s="31"/>
      <c r="R36" s="31"/>
      <c r="S36" s="31"/>
      <c r="T36" s="33"/>
      <c r="U36" s="38"/>
      <c r="V36" s="31"/>
      <c r="W36" s="31"/>
      <c r="X36" s="31"/>
      <c r="Y36" s="31"/>
      <c r="Z36" s="31"/>
      <c r="AA36" s="31"/>
      <c r="AB36" s="31"/>
      <c r="AC36" s="31"/>
      <c r="AD36" s="33"/>
      <c r="AE36" s="38"/>
      <c r="AF36" s="31"/>
      <c r="AG36" s="31"/>
      <c r="AH36" s="31"/>
      <c r="AI36" s="31"/>
      <c r="AJ36" s="31"/>
      <c r="AK36" s="31"/>
      <c r="AL36" s="31"/>
      <c r="AM36" s="31"/>
      <c r="AN36" s="33"/>
      <c r="AO36" s="33"/>
      <c r="AP36" s="31"/>
      <c r="AQ36" s="31"/>
      <c r="AR36" s="31"/>
      <c r="AS36" s="31"/>
      <c r="AT36" s="31"/>
      <c r="AU36" s="31"/>
      <c r="AV36" s="31"/>
      <c r="AW36" s="31"/>
      <c r="AX36" s="33"/>
      <c r="AY36" s="33"/>
      <c r="AZ36" s="31"/>
      <c r="BA36" s="31"/>
      <c r="BB36" s="31"/>
      <c r="BC36" s="31"/>
      <c r="BD36" s="31"/>
      <c r="BE36" s="31"/>
      <c r="BF36" s="31"/>
      <c r="BG36" s="31"/>
      <c r="BH36" s="33"/>
      <c r="BI36" s="38"/>
      <c r="BJ36" s="31"/>
      <c r="BK36" s="31"/>
      <c r="BL36" s="31"/>
      <c r="BM36" s="31"/>
      <c r="BN36" s="31"/>
      <c r="BO36" s="31"/>
      <c r="BP36" s="31"/>
      <c r="BQ36" s="31"/>
      <c r="BR36" s="33"/>
    </row>
    <row r="37" spans="1:70" ht="9.75" customHeight="1" x14ac:dyDescent="0.3">
      <c r="A37" s="25"/>
      <c r="B37" s="31"/>
      <c r="C37" s="31"/>
      <c r="D37" s="31"/>
      <c r="E37" s="31"/>
      <c r="F37" s="31"/>
      <c r="G37" s="31"/>
      <c r="H37" s="31"/>
      <c r="I37" s="31"/>
      <c r="J37" s="33"/>
      <c r="K37" s="38"/>
      <c r="L37" s="31"/>
      <c r="M37" s="31"/>
      <c r="N37" s="31"/>
      <c r="O37" s="31"/>
      <c r="P37" s="31"/>
      <c r="Q37" s="31"/>
      <c r="R37" s="31"/>
      <c r="S37" s="31"/>
      <c r="T37" s="33"/>
      <c r="U37" s="38"/>
      <c r="V37" s="31"/>
      <c r="W37" s="31"/>
      <c r="X37" s="31"/>
      <c r="Y37" s="31"/>
      <c r="Z37" s="31"/>
      <c r="AA37" s="31"/>
      <c r="AB37" s="31"/>
      <c r="AC37" s="31"/>
      <c r="AD37" s="33"/>
      <c r="AE37" s="38"/>
      <c r="AF37" s="31"/>
      <c r="AG37" s="31"/>
      <c r="AH37" s="31"/>
      <c r="AI37" s="31"/>
      <c r="AJ37" s="31"/>
      <c r="AK37" s="31"/>
      <c r="AL37" s="31"/>
      <c r="AM37" s="31"/>
      <c r="AN37" s="33"/>
      <c r="AO37" s="33"/>
      <c r="AP37" s="31"/>
      <c r="AQ37" s="31"/>
      <c r="AR37" s="31"/>
      <c r="AS37" s="31"/>
      <c r="AT37" s="31"/>
      <c r="AU37" s="31"/>
      <c r="AV37" s="31"/>
      <c r="AW37" s="31"/>
      <c r="AX37" s="33"/>
      <c r="AY37" s="33"/>
      <c r="AZ37" s="31"/>
      <c r="BA37" s="31"/>
      <c r="BB37" s="31"/>
      <c r="BC37" s="31"/>
      <c r="BD37" s="31"/>
      <c r="BE37" s="31"/>
      <c r="BF37" s="31"/>
      <c r="BG37" s="31"/>
      <c r="BH37" s="33"/>
      <c r="BI37" s="38"/>
      <c r="BJ37" s="31"/>
      <c r="BK37" s="31"/>
      <c r="BL37" s="31"/>
      <c r="BM37" s="31"/>
      <c r="BN37" s="31"/>
      <c r="BO37" s="31"/>
      <c r="BP37" s="31"/>
      <c r="BQ37" s="31"/>
      <c r="BR37" s="33"/>
    </row>
    <row r="38" spans="1:70" s="41" customFormat="1" ht="9" customHeight="1" x14ac:dyDescent="0.3">
      <c r="A38" s="54"/>
      <c r="B38" s="31"/>
      <c r="C38" s="31"/>
      <c r="D38" s="31"/>
      <c r="E38" s="31"/>
      <c r="F38" s="31"/>
      <c r="G38" s="31"/>
      <c r="H38" s="31"/>
      <c r="I38" s="31"/>
      <c r="J38" s="33"/>
      <c r="K38" s="45"/>
      <c r="L38" s="31"/>
      <c r="M38" s="31"/>
      <c r="N38" s="31"/>
      <c r="O38" s="31"/>
      <c r="P38" s="31"/>
      <c r="Q38" s="31"/>
      <c r="R38" s="31"/>
      <c r="S38" s="31"/>
      <c r="T38" s="33"/>
      <c r="U38" s="38"/>
      <c r="V38" s="31"/>
      <c r="W38" s="31"/>
      <c r="X38" s="31"/>
      <c r="Y38" s="31"/>
      <c r="Z38" s="31"/>
      <c r="AA38" s="31"/>
      <c r="AB38" s="31"/>
      <c r="AC38" s="31"/>
      <c r="AD38" s="33"/>
      <c r="AE38" s="45"/>
      <c r="AF38" s="31"/>
      <c r="AG38" s="31"/>
      <c r="AH38" s="31"/>
      <c r="AI38" s="31"/>
      <c r="AJ38" s="31"/>
      <c r="AK38" s="31"/>
      <c r="AL38" s="31"/>
      <c r="AM38" s="31"/>
      <c r="AN38" s="33"/>
      <c r="AO38" s="44"/>
      <c r="AP38" s="31"/>
      <c r="AQ38" s="31"/>
      <c r="AR38" s="31"/>
      <c r="AS38" s="31"/>
      <c r="AT38" s="31"/>
      <c r="AU38" s="31"/>
      <c r="AV38" s="31"/>
      <c r="AW38" s="31"/>
      <c r="AX38" s="33"/>
      <c r="AY38" s="44"/>
      <c r="AZ38" s="31"/>
      <c r="BA38" s="31"/>
      <c r="BB38" s="31"/>
      <c r="BC38" s="31"/>
      <c r="BD38" s="31"/>
      <c r="BE38" s="31"/>
      <c r="BF38" s="31"/>
      <c r="BG38" s="31"/>
      <c r="BH38" s="33"/>
      <c r="BI38" s="45"/>
      <c r="BJ38" s="31"/>
      <c r="BK38" s="31"/>
      <c r="BL38" s="31"/>
      <c r="BM38" s="31"/>
      <c r="BN38" s="31"/>
      <c r="BO38" s="31"/>
      <c r="BP38" s="31"/>
      <c r="BQ38" s="31"/>
      <c r="BR38" s="33"/>
    </row>
    <row r="39" spans="1:70" s="41" customFormat="1" ht="9" customHeight="1" x14ac:dyDescent="0.3">
      <c r="A39" s="54"/>
      <c r="B39" s="31"/>
      <c r="C39" s="31"/>
      <c r="D39" s="31"/>
      <c r="E39" s="31"/>
      <c r="F39" s="31"/>
      <c r="G39" s="31"/>
      <c r="H39" s="31"/>
      <c r="I39" s="31"/>
      <c r="J39" s="33"/>
      <c r="K39" s="45"/>
      <c r="L39" s="31"/>
      <c r="M39" s="31"/>
      <c r="N39" s="31"/>
      <c r="O39" s="31"/>
      <c r="P39" s="31"/>
      <c r="Q39" s="31"/>
      <c r="R39" s="31"/>
      <c r="S39" s="31"/>
      <c r="T39" s="33"/>
      <c r="U39" s="38"/>
      <c r="V39" s="31"/>
      <c r="W39" s="31"/>
      <c r="X39" s="31"/>
      <c r="Y39" s="31"/>
      <c r="Z39" s="31"/>
      <c r="AA39" s="31"/>
      <c r="AB39" s="31"/>
      <c r="AC39" s="31"/>
      <c r="AD39" s="33"/>
      <c r="AE39" s="45"/>
      <c r="AF39" s="31"/>
      <c r="AG39" s="31"/>
      <c r="AH39" s="31"/>
      <c r="AI39" s="31"/>
      <c r="AJ39" s="31"/>
      <c r="AK39" s="31"/>
      <c r="AL39" s="31"/>
      <c r="AM39" s="31"/>
      <c r="AN39" s="33"/>
      <c r="AO39" s="44"/>
      <c r="AP39" s="31"/>
      <c r="AQ39" s="31"/>
      <c r="AR39" s="31"/>
      <c r="AS39" s="31"/>
      <c r="AT39" s="31"/>
      <c r="AU39" s="31"/>
      <c r="AV39" s="31"/>
      <c r="AW39" s="31"/>
      <c r="AX39" s="33"/>
      <c r="AY39" s="44"/>
      <c r="AZ39" s="31"/>
      <c r="BA39" s="31"/>
      <c r="BB39" s="31"/>
      <c r="BC39" s="31"/>
      <c r="BD39" s="31"/>
      <c r="BE39" s="31"/>
      <c r="BF39" s="31"/>
      <c r="BG39" s="31"/>
      <c r="BH39" s="33"/>
      <c r="BI39" s="45"/>
      <c r="BJ39" s="31"/>
      <c r="BK39" s="31"/>
      <c r="BL39" s="31"/>
      <c r="BM39" s="31"/>
      <c r="BN39" s="31"/>
      <c r="BO39" s="31"/>
      <c r="BP39" s="31"/>
      <c r="BQ39" s="31"/>
      <c r="BR39" s="33"/>
    </row>
    <row r="40" spans="1:70" s="41" customFormat="1" ht="9" customHeight="1" x14ac:dyDescent="0.3">
      <c r="A40" s="54"/>
      <c r="B40" s="31"/>
      <c r="C40" s="31"/>
      <c r="D40" s="31"/>
      <c r="E40" s="31"/>
      <c r="F40" s="31"/>
      <c r="G40" s="31"/>
      <c r="H40" s="31"/>
      <c r="I40" s="31"/>
      <c r="J40" s="33"/>
      <c r="K40" s="45"/>
      <c r="L40" s="31"/>
      <c r="M40" s="31"/>
      <c r="N40" s="31"/>
      <c r="O40" s="31"/>
      <c r="P40" s="31"/>
      <c r="Q40" s="31"/>
      <c r="R40" s="31"/>
      <c r="S40" s="31"/>
      <c r="T40" s="33"/>
      <c r="U40" s="38"/>
      <c r="V40" s="31"/>
      <c r="W40" s="31"/>
      <c r="X40" s="31"/>
      <c r="Y40" s="31"/>
      <c r="Z40" s="31"/>
      <c r="AA40" s="31"/>
      <c r="AB40" s="31"/>
      <c r="AC40" s="31"/>
      <c r="AD40" s="33"/>
      <c r="AE40" s="45"/>
      <c r="AF40" s="31"/>
      <c r="AG40" s="31"/>
      <c r="AH40" s="31"/>
      <c r="AI40" s="31"/>
      <c r="AJ40" s="31"/>
      <c r="AK40" s="31"/>
      <c r="AL40" s="31"/>
      <c r="AM40" s="31"/>
      <c r="AN40" s="33"/>
      <c r="AO40" s="44"/>
      <c r="AP40" s="31"/>
      <c r="AQ40" s="31"/>
      <c r="AR40" s="31"/>
      <c r="AS40" s="31"/>
      <c r="AT40" s="31"/>
      <c r="AU40" s="31"/>
      <c r="AV40" s="31"/>
      <c r="AW40" s="31"/>
      <c r="AX40" s="33"/>
      <c r="AY40" s="44"/>
      <c r="AZ40" s="31"/>
      <c r="BA40" s="31"/>
      <c r="BB40" s="31"/>
      <c r="BC40" s="31"/>
      <c r="BD40" s="31"/>
      <c r="BE40" s="31"/>
      <c r="BF40" s="31"/>
      <c r="BG40" s="31"/>
      <c r="BH40" s="33"/>
      <c r="BI40" s="45"/>
      <c r="BJ40" s="31"/>
      <c r="BK40" s="31"/>
      <c r="BL40" s="31"/>
      <c r="BM40" s="31"/>
      <c r="BN40" s="31"/>
      <c r="BO40" s="31"/>
      <c r="BP40" s="31"/>
      <c r="BQ40" s="31"/>
      <c r="BR40" s="33"/>
    </row>
    <row r="41" spans="1:70" s="41" customFormat="1" ht="9" customHeight="1" x14ac:dyDescent="0.3">
      <c r="A41" s="54"/>
      <c r="B41" s="31"/>
      <c r="C41" s="31"/>
      <c r="D41" s="31"/>
      <c r="E41" s="31"/>
      <c r="F41" s="31"/>
      <c r="G41" s="31"/>
      <c r="H41" s="31"/>
      <c r="I41" s="31"/>
      <c r="J41" s="33"/>
      <c r="K41" s="45"/>
      <c r="L41" s="31"/>
      <c r="M41" s="31"/>
      <c r="N41" s="31"/>
      <c r="O41" s="31"/>
      <c r="P41" s="31"/>
      <c r="Q41" s="31"/>
      <c r="R41" s="31"/>
      <c r="S41" s="31"/>
      <c r="T41" s="33"/>
      <c r="U41" s="38"/>
      <c r="V41" s="31"/>
      <c r="W41" s="31"/>
      <c r="X41" s="31"/>
      <c r="Y41" s="31"/>
      <c r="Z41" s="31"/>
      <c r="AA41" s="31"/>
      <c r="AB41" s="31"/>
      <c r="AC41" s="31"/>
      <c r="AD41" s="33"/>
      <c r="AE41" s="45"/>
      <c r="AF41" s="31"/>
      <c r="AG41" s="31"/>
      <c r="AH41" s="31"/>
      <c r="AI41" s="31"/>
      <c r="AJ41" s="31"/>
      <c r="AK41" s="31"/>
      <c r="AL41" s="31"/>
      <c r="AM41" s="31"/>
      <c r="AN41" s="33"/>
      <c r="AO41" s="44"/>
      <c r="AP41" s="31"/>
      <c r="AQ41" s="31"/>
      <c r="AR41" s="31"/>
      <c r="AS41" s="31"/>
      <c r="AT41" s="31"/>
      <c r="AU41" s="31"/>
      <c r="AV41" s="31"/>
      <c r="AW41" s="31"/>
      <c r="AX41" s="33"/>
      <c r="AY41" s="44"/>
      <c r="AZ41" s="31"/>
      <c r="BA41" s="31"/>
      <c r="BB41" s="31"/>
      <c r="BC41" s="31"/>
      <c r="BD41" s="31"/>
      <c r="BE41" s="31"/>
      <c r="BF41" s="31"/>
      <c r="BG41" s="31"/>
      <c r="BH41" s="33"/>
      <c r="BI41" s="45"/>
      <c r="BJ41" s="31"/>
      <c r="BK41" s="31"/>
      <c r="BL41" s="31"/>
      <c r="BM41" s="31"/>
      <c r="BN41" s="31"/>
      <c r="BO41" s="31"/>
      <c r="BP41" s="31"/>
      <c r="BQ41" s="31"/>
      <c r="BR41" s="33"/>
    </row>
    <row r="42" spans="1:70" s="41" customFormat="1" ht="9" customHeight="1" x14ac:dyDescent="0.3">
      <c r="A42" s="54"/>
      <c r="B42" s="31"/>
      <c r="C42" s="31"/>
      <c r="D42" s="31"/>
      <c r="E42" s="31"/>
      <c r="F42" s="31"/>
      <c r="G42" s="31"/>
      <c r="H42" s="31"/>
      <c r="I42" s="31"/>
      <c r="J42" s="33"/>
      <c r="K42" s="45"/>
      <c r="L42" s="31"/>
      <c r="M42" s="31"/>
      <c r="N42" s="31"/>
      <c r="O42" s="31"/>
      <c r="P42" s="31"/>
      <c r="Q42" s="31"/>
      <c r="R42" s="31"/>
      <c r="S42" s="31"/>
      <c r="T42" s="33"/>
      <c r="U42" s="38"/>
      <c r="V42" s="31"/>
      <c r="W42" s="31"/>
      <c r="X42" s="31"/>
      <c r="Y42" s="31"/>
      <c r="Z42" s="31"/>
      <c r="AA42" s="31"/>
      <c r="AB42" s="31"/>
      <c r="AC42" s="31"/>
      <c r="AD42" s="33"/>
      <c r="AE42" s="45"/>
      <c r="AF42" s="31"/>
      <c r="AG42" s="31"/>
      <c r="AH42" s="31"/>
      <c r="AI42" s="31"/>
      <c r="AJ42" s="31"/>
      <c r="AK42" s="31"/>
      <c r="AL42" s="31"/>
      <c r="AM42" s="31"/>
      <c r="AN42" s="33"/>
      <c r="AO42" s="44"/>
      <c r="AP42" s="31"/>
      <c r="AQ42" s="31"/>
      <c r="AR42" s="31"/>
      <c r="AS42" s="31"/>
      <c r="AT42" s="31"/>
      <c r="AU42" s="31"/>
      <c r="AV42" s="31"/>
      <c r="AW42" s="31"/>
      <c r="AX42" s="33"/>
      <c r="AY42" s="44"/>
      <c r="AZ42" s="31"/>
      <c r="BA42" s="31"/>
      <c r="BB42" s="31"/>
      <c r="BC42" s="31"/>
      <c r="BD42" s="31"/>
      <c r="BE42" s="31"/>
      <c r="BF42" s="31"/>
      <c r="BG42" s="31"/>
      <c r="BH42" s="33"/>
      <c r="BI42" s="45"/>
      <c r="BJ42" s="31"/>
      <c r="BK42" s="31"/>
      <c r="BL42" s="31"/>
      <c r="BM42" s="31"/>
      <c r="BN42" s="31"/>
      <c r="BO42" s="31"/>
      <c r="BP42" s="31"/>
      <c r="BQ42" s="31"/>
      <c r="BR42" s="33"/>
    </row>
    <row r="43" spans="1:70" s="41" customFormat="1" ht="9" customHeight="1" x14ac:dyDescent="0.3">
      <c r="A43" s="54"/>
      <c r="B43" s="47"/>
      <c r="C43" s="47"/>
      <c r="D43" s="47"/>
      <c r="E43" s="47"/>
      <c r="F43" s="47"/>
      <c r="G43" s="47"/>
      <c r="H43" s="47"/>
      <c r="I43" s="47"/>
      <c r="J43" s="48"/>
      <c r="K43" s="45"/>
      <c r="L43" s="47"/>
      <c r="M43" s="47"/>
      <c r="N43" s="47"/>
      <c r="O43" s="47"/>
      <c r="P43" s="47"/>
      <c r="Q43" s="47"/>
      <c r="R43" s="47"/>
      <c r="S43" s="47"/>
      <c r="T43" s="48"/>
      <c r="U43" s="38"/>
      <c r="V43" s="47"/>
      <c r="W43" s="47"/>
      <c r="X43" s="47"/>
      <c r="Y43" s="47"/>
      <c r="Z43" s="47"/>
      <c r="AA43" s="47"/>
      <c r="AB43" s="47"/>
      <c r="AC43" s="47"/>
      <c r="AD43" s="48"/>
      <c r="AE43" s="45"/>
      <c r="AF43" s="47"/>
      <c r="AG43" s="47"/>
      <c r="AH43" s="47"/>
      <c r="AI43" s="47"/>
      <c r="AJ43" s="47"/>
      <c r="AK43" s="47"/>
      <c r="AL43" s="47"/>
      <c r="AM43" s="47"/>
      <c r="AN43" s="48"/>
      <c r="AO43" s="44"/>
      <c r="AP43" s="47"/>
      <c r="AQ43" s="47"/>
      <c r="AR43" s="47"/>
      <c r="AS43" s="47"/>
      <c r="AT43" s="47"/>
      <c r="AU43" s="47"/>
      <c r="AV43" s="47"/>
      <c r="AW43" s="47"/>
      <c r="AX43" s="48"/>
      <c r="AY43" s="45"/>
      <c r="AZ43" s="47"/>
      <c r="BA43" s="47"/>
      <c r="BB43" s="47"/>
      <c r="BC43" s="47"/>
      <c r="BD43" s="47"/>
      <c r="BE43" s="47"/>
      <c r="BF43" s="47"/>
      <c r="BG43" s="47"/>
      <c r="BH43" s="48"/>
      <c r="BI43" s="45"/>
      <c r="BJ43" s="57"/>
      <c r="BK43" s="58"/>
      <c r="BL43" s="58"/>
      <c r="BM43" s="58"/>
      <c r="BN43" s="58"/>
      <c r="BO43" s="58"/>
      <c r="BP43" s="58"/>
      <c r="BQ43" s="58"/>
      <c r="BR43" s="59"/>
    </row>
    <row r="44" spans="1:70" s="41" customFormat="1" ht="9" customHeight="1" x14ac:dyDescent="0.3">
      <c r="A44" s="54"/>
      <c r="B44" s="31"/>
      <c r="C44" s="31"/>
      <c r="D44" s="31"/>
      <c r="E44" s="31"/>
      <c r="F44" s="31"/>
      <c r="G44" s="31"/>
      <c r="H44" s="31"/>
      <c r="I44" s="31"/>
      <c r="J44" s="33"/>
      <c r="K44" s="45"/>
      <c r="L44" s="31"/>
      <c r="M44" s="31"/>
      <c r="N44" s="31"/>
      <c r="O44" s="31"/>
      <c r="P44" s="31"/>
      <c r="Q44" s="31"/>
      <c r="R44" s="31"/>
      <c r="S44" s="31"/>
      <c r="T44" s="33"/>
      <c r="U44" s="38"/>
      <c r="V44" s="31"/>
      <c r="W44" s="31"/>
      <c r="X44" s="31"/>
      <c r="Y44" s="31"/>
      <c r="Z44" s="31"/>
      <c r="AA44" s="31"/>
      <c r="AB44" s="31"/>
      <c r="AC44" s="31"/>
      <c r="AD44" s="33"/>
      <c r="AE44" s="45"/>
      <c r="AF44" s="31"/>
      <c r="AG44" s="31"/>
      <c r="AH44" s="31"/>
      <c r="AI44" s="31"/>
      <c r="AJ44" s="31"/>
      <c r="AK44" s="31"/>
      <c r="AL44" s="31"/>
      <c r="AM44" s="31"/>
      <c r="AN44" s="33"/>
      <c r="AO44" s="42"/>
      <c r="AP44" s="32"/>
      <c r="AQ44" s="31"/>
      <c r="AR44" s="31"/>
      <c r="AS44" s="31"/>
      <c r="AT44" s="31"/>
      <c r="AU44" s="31"/>
      <c r="AV44" s="31"/>
      <c r="AW44" s="31"/>
      <c r="AX44" s="33"/>
      <c r="AY44" s="45"/>
      <c r="AZ44" s="31"/>
      <c r="BA44" s="31"/>
      <c r="BB44" s="31"/>
      <c r="BC44" s="31"/>
      <c r="BD44" s="31"/>
      <c r="BE44" s="31"/>
      <c r="BF44" s="31"/>
      <c r="BG44" s="31"/>
      <c r="BH44" s="33"/>
      <c r="BI44" s="45"/>
      <c r="BJ44" s="493" t="s">
        <v>519</v>
      </c>
      <c r="BK44" s="494"/>
      <c r="BL44" s="494"/>
      <c r="BM44" s="494"/>
      <c r="BN44" s="494"/>
      <c r="BO44" s="494"/>
      <c r="BP44" s="494"/>
      <c r="BQ44" s="494"/>
      <c r="BR44" s="495"/>
    </row>
    <row r="45" spans="1:70" s="69" customFormat="1" ht="9" customHeight="1" x14ac:dyDescent="0.3">
      <c r="B45" s="496" t="s">
        <v>514</v>
      </c>
      <c r="C45" s="496"/>
      <c r="D45" s="496"/>
      <c r="E45" s="496"/>
      <c r="F45" s="496"/>
      <c r="G45" s="497">
        <f>CEILING(4819*B3,1)</f>
        <v>6747</v>
      </c>
      <c r="H45" s="497"/>
      <c r="I45" s="497"/>
      <c r="J45" s="497"/>
      <c r="K45" s="68"/>
      <c r="L45" s="496" t="s">
        <v>515</v>
      </c>
      <c r="M45" s="496"/>
      <c r="N45" s="496"/>
      <c r="O45" s="496"/>
      <c r="P45" s="496"/>
      <c r="Q45" s="497">
        <f>CEILING(4899*B3,1)</f>
        <v>6859</v>
      </c>
      <c r="R45" s="497"/>
      <c r="S45" s="497"/>
      <c r="T45" s="497"/>
      <c r="U45" s="67"/>
      <c r="V45" s="496" t="s">
        <v>426</v>
      </c>
      <c r="W45" s="496"/>
      <c r="X45" s="496"/>
      <c r="Y45" s="496"/>
      <c r="Z45" s="496"/>
      <c r="AA45" s="497">
        <f>CEILING(5334*B3,1)</f>
        <v>7468</v>
      </c>
      <c r="AB45" s="497"/>
      <c r="AC45" s="497"/>
      <c r="AD45" s="497"/>
      <c r="AE45" s="68"/>
      <c r="AF45" s="496" t="s">
        <v>757</v>
      </c>
      <c r="AG45" s="496"/>
      <c r="AH45" s="496"/>
      <c r="AI45" s="496"/>
      <c r="AJ45" s="496"/>
      <c r="AK45" s="497">
        <f>CEILING(6855*B3,1)</f>
        <v>9597</v>
      </c>
      <c r="AL45" s="497"/>
      <c r="AM45" s="497"/>
      <c r="AN45" s="497"/>
      <c r="AO45" s="68"/>
      <c r="AP45" s="496" t="s">
        <v>758</v>
      </c>
      <c r="AQ45" s="496"/>
      <c r="AR45" s="496"/>
      <c r="AS45" s="496"/>
      <c r="AT45" s="496"/>
      <c r="AU45" s="497">
        <f>CEILING(12566*B3,1)</f>
        <v>17593</v>
      </c>
      <c r="AV45" s="497"/>
      <c r="AW45" s="497"/>
      <c r="AX45" s="497"/>
      <c r="AY45" s="68"/>
      <c r="AZ45" s="496" t="s">
        <v>759</v>
      </c>
      <c r="BA45" s="496"/>
      <c r="BB45" s="496"/>
      <c r="BC45" s="496"/>
      <c r="BD45" s="496"/>
      <c r="BE45" s="497">
        <f>CEILING(18278*B3,1)</f>
        <v>25590</v>
      </c>
      <c r="BF45" s="497"/>
      <c r="BG45" s="497"/>
      <c r="BH45" s="497"/>
      <c r="BI45" s="68"/>
      <c r="BJ45" s="496" t="s">
        <v>758</v>
      </c>
      <c r="BK45" s="496"/>
      <c r="BL45" s="496"/>
      <c r="BM45" s="496"/>
      <c r="BN45" s="496"/>
      <c r="BO45" s="497">
        <f>CEILING(11903*B3,1)</f>
        <v>16665</v>
      </c>
      <c r="BP45" s="497"/>
      <c r="BQ45" s="497"/>
      <c r="BR45" s="497"/>
    </row>
    <row r="46" spans="1:70" ht="1.5" customHeight="1" x14ac:dyDescent="0.3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9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</row>
    <row r="47" spans="1:70" ht="9" customHeight="1" x14ac:dyDescent="0.3">
      <c r="B47" s="501" t="s">
        <v>520</v>
      </c>
      <c r="C47" s="502"/>
      <c r="D47" s="503"/>
      <c r="E47" s="499" t="s">
        <v>521</v>
      </c>
      <c r="F47" s="499"/>
      <c r="G47" s="499"/>
      <c r="H47" s="499"/>
      <c r="I47" s="499"/>
      <c r="J47" s="500"/>
      <c r="K47" s="31"/>
      <c r="L47" s="501" t="s">
        <v>522</v>
      </c>
      <c r="M47" s="502"/>
      <c r="N47" s="503"/>
      <c r="O47" s="499" t="s">
        <v>521</v>
      </c>
      <c r="P47" s="499"/>
      <c r="Q47" s="499"/>
      <c r="R47" s="499"/>
      <c r="S47" s="499"/>
      <c r="T47" s="500"/>
      <c r="U47" s="31"/>
      <c r="V47" s="501" t="s">
        <v>523</v>
      </c>
      <c r="W47" s="502"/>
      <c r="X47" s="503"/>
      <c r="Y47" s="499" t="s">
        <v>524</v>
      </c>
      <c r="Z47" s="499"/>
      <c r="AA47" s="499"/>
      <c r="AB47" s="499"/>
      <c r="AC47" s="499"/>
      <c r="AD47" s="500"/>
      <c r="AE47" s="31"/>
      <c r="AF47" s="501" t="s">
        <v>525</v>
      </c>
      <c r="AG47" s="502"/>
      <c r="AH47" s="503"/>
      <c r="AI47" s="499" t="s">
        <v>524</v>
      </c>
      <c r="AJ47" s="499"/>
      <c r="AK47" s="499"/>
      <c r="AL47" s="499"/>
      <c r="AM47" s="499"/>
      <c r="AN47" s="500"/>
      <c r="AO47" s="31"/>
      <c r="AP47" s="501" t="s">
        <v>526</v>
      </c>
      <c r="AQ47" s="502"/>
      <c r="AR47" s="503"/>
      <c r="AS47" s="499" t="s">
        <v>490</v>
      </c>
      <c r="AT47" s="499"/>
      <c r="AU47" s="499"/>
      <c r="AV47" s="499"/>
      <c r="AW47" s="499"/>
      <c r="AX47" s="500"/>
      <c r="AY47" s="31"/>
      <c r="AZ47" s="501" t="s">
        <v>527</v>
      </c>
      <c r="BA47" s="502"/>
      <c r="BB47" s="503"/>
      <c r="BC47" s="499" t="s">
        <v>490</v>
      </c>
      <c r="BD47" s="499"/>
      <c r="BE47" s="499"/>
      <c r="BF47" s="499"/>
      <c r="BG47" s="499"/>
      <c r="BH47" s="500"/>
      <c r="BI47" s="31"/>
      <c r="BJ47" s="501" t="s">
        <v>528</v>
      </c>
      <c r="BK47" s="502"/>
      <c r="BL47" s="503"/>
      <c r="BM47" s="499" t="s">
        <v>399</v>
      </c>
      <c r="BN47" s="499"/>
      <c r="BO47" s="499"/>
      <c r="BP47" s="499"/>
      <c r="BQ47" s="499"/>
      <c r="BR47" s="500"/>
    </row>
    <row r="48" spans="1:70" s="34" customFormat="1" ht="9" customHeight="1" x14ac:dyDescent="0.3">
      <c r="B48" s="49"/>
      <c r="C48" s="47"/>
      <c r="D48" s="47"/>
      <c r="E48" s="47"/>
      <c r="F48" s="47"/>
      <c r="G48" s="47"/>
      <c r="H48" s="47"/>
      <c r="I48" s="47"/>
      <c r="J48" s="48"/>
      <c r="K48" s="36"/>
      <c r="L48" s="49"/>
      <c r="M48" s="47"/>
      <c r="N48" s="47"/>
      <c r="O48" s="47"/>
      <c r="P48" s="47"/>
      <c r="Q48" s="47"/>
      <c r="R48" s="47"/>
      <c r="S48" s="47"/>
      <c r="T48" s="48"/>
      <c r="U48" s="36"/>
      <c r="V48" s="49"/>
      <c r="W48" s="47"/>
      <c r="X48" s="47"/>
      <c r="Y48" s="47"/>
      <c r="Z48" s="47"/>
      <c r="AA48" s="47"/>
      <c r="AB48" s="47"/>
      <c r="AC48" s="47"/>
      <c r="AD48" s="48"/>
      <c r="AE48" s="36"/>
      <c r="AF48" s="49"/>
      <c r="AG48" s="47"/>
      <c r="AH48" s="47"/>
      <c r="AI48" s="47"/>
      <c r="AJ48" s="47"/>
      <c r="AK48" s="47"/>
      <c r="AL48" s="47"/>
      <c r="AM48" s="47"/>
      <c r="AN48" s="48"/>
      <c r="AO48" s="36"/>
      <c r="AP48" s="493" t="s">
        <v>529</v>
      </c>
      <c r="AQ48" s="494"/>
      <c r="AR48" s="494"/>
      <c r="AS48" s="494"/>
      <c r="AT48" s="494"/>
      <c r="AU48" s="494"/>
      <c r="AV48" s="494"/>
      <c r="AW48" s="494"/>
      <c r="AX48" s="495"/>
      <c r="AY48" s="36"/>
      <c r="AZ48" s="493" t="s">
        <v>529</v>
      </c>
      <c r="BA48" s="494"/>
      <c r="BB48" s="494"/>
      <c r="BC48" s="494"/>
      <c r="BD48" s="494"/>
      <c r="BE48" s="494"/>
      <c r="BF48" s="494"/>
      <c r="BG48" s="494"/>
      <c r="BH48" s="495"/>
      <c r="BI48" s="36"/>
      <c r="BJ48" s="493" t="s">
        <v>529</v>
      </c>
      <c r="BK48" s="494"/>
      <c r="BL48" s="494"/>
      <c r="BM48" s="494"/>
      <c r="BN48" s="494"/>
      <c r="BO48" s="494"/>
      <c r="BP48" s="494"/>
      <c r="BQ48" s="494"/>
      <c r="BR48" s="495"/>
    </row>
    <row r="49" spans="2:70" s="34" customFormat="1" ht="9" customHeight="1" x14ac:dyDescent="0.3">
      <c r="B49" s="35"/>
      <c r="C49" s="36"/>
      <c r="D49" s="36"/>
      <c r="E49" s="36"/>
      <c r="F49" s="36"/>
      <c r="G49" s="36"/>
      <c r="H49" s="36"/>
      <c r="I49" s="36"/>
      <c r="J49" s="37"/>
      <c r="K49" s="36"/>
      <c r="L49" s="35"/>
      <c r="M49" s="36"/>
      <c r="N49" s="36"/>
      <c r="O49" s="36"/>
      <c r="P49" s="36"/>
      <c r="Q49" s="36"/>
      <c r="R49" s="36"/>
      <c r="S49" s="36"/>
      <c r="T49" s="37"/>
      <c r="U49" s="36"/>
      <c r="V49" s="35"/>
      <c r="W49" s="36"/>
      <c r="X49" s="36"/>
      <c r="Y49" s="36"/>
      <c r="Z49" s="36"/>
      <c r="AA49" s="36"/>
      <c r="AB49" s="36"/>
      <c r="AC49" s="36"/>
      <c r="AD49" s="37"/>
      <c r="AE49" s="36"/>
      <c r="AF49" s="35"/>
      <c r="AG49" s="36"/>
      <c r="AH49" s="36"/>
      <c r="AI49" s="36"/>
      <c r="AJ49" s="36"/>
      <c r="AK49" s="36"/>
      <c r="AL49" s="36"/>
      <c r="AM49" s="36"/>
      <c r="AN49" s="37"/>
      <c r="AO49" s="36"/>
      <c r="AP49" s="35"/>
      <c r="AQ49" s="36"/>
      <c r="AR49" s="36"/>
      <c r="AS49" s="36"/>
      <c r="AT49" s="36"/>
      <c r="AU49" s="36"/>
      <c r="AV49" s="36"/>
      <c r="AW49" s="36"/>
      <c r="AX49" s="37"/>
      <c r="AY49" s="36"/>
      <c r="AZ49" s="35"/>
      <c r="BA49" s="36"/>
      <c r="BB49" s="36"/>
      <c r="BC49" s="36"/>
      <c r="BD49" s="36"/>
      <c r="BE49" s="36"/>
      <c r="BF49" s="36"/>
      <c r="BG49" s="36"/>
      <c r="BH49" s="37"/>
      <c r="BI49" s="36"/>
      <c r="BJ49" s="35"/>
      <c r="BK49" s="36"/>
      <c r="BL49" s="36"/>
      <c r="BM49" s="36"/>
      <c r="BN49" s="36"/>
      <c r="BO49" s="36"/>
      <c r="BP49" s="36"/>
      <c r="BQ49" s="36"/>
      <c r="BR49" s="37"/>
    </row>
    <row r="50" spans="2:70" s="34" customFormat="1" ht="9" customHeight="1" x14ac:dyDescent="0.3">
      <c r="B50" s="35"/>
      <c r="C50" s="36"/>
      <c r="D50" s="36"/>
      <c r="E50" s="36"/>
      <c r="F50" s="36"/>
      <c r="G50" s="36"/>
      <c r="H50" s="36"/>
      <c r="I50" s="36"/>
      <c r="J50" s="37"/>
      <c r="K50" s="36"/>
      <c r="L50" s="35"/>
      <c r="M50" s="36"/>
      <c r="N50" s="36"/>
      <c r="O50" s="36"/>
      <c r="P50" s="36"/>
      <c r="Q50" s="36"/>
      <c r="R50" s="36"/>
      <c r="S50" s="36"/>
      <c r="T50" s="37"/>
      <c r="U50" s="36"/>
      <c r="V50" s="35"/>
      <c r="W50" s="36"/>
      <c r="X50" s="36"/>
      <c r="Y50" s="36"/>
      <c r="Z50" s="36"/>
      <c r="AA50" s="36"/>
      <c r="AB50" s="36"/>
      <c r="AC50" s="36"/>
      <c r="AD50" s="37"/>
      <c r="AE50" s="36"/>
      <c r="AF50" s="35"/>
      <c r="AG50" s="36"/>
      <c r="AH50" s="36"/>
      <c r="AI50" s="36"/>
      <c r="AJ50" s="36"/>
      <c r="AK50" s="36"/>
      <c r="AL50" s="36"/>
      <c r="AM50" s="36"/>
      <c r="AN50" s="37"/>
      <c r="AO50" s="36"/>
      <c r="AP50" s="35"/>
      <c r="AQ50" s="36"/>
      <c r="AR50" s="36"/>
      <c r="AS50" s="36"/>
      <c r="AT50" s="36"/>
      <c r="AU50" s="36"/>
      <c r="AV50" s="36"/>
      <c r="AW50" s="36"/>
      <c r="AX50" s="37"/>
      <c r="AY50" s="36"/>
      <c r="AZ50" s="35"/>
      <c r="BA50" s="36"/>
      <c r="BB50" s="36"/>
      <c r="BC50" s="36"/>
      <c r="BD50" s="36"/>
      <c r="BE50" s="36"/>
      <c r="BF50" s="36"/>
      <c r="BG50" s="36"/>
      <c r="BH50" s="37"/>
      <c r="BI50" s="36"/>
      <c r="BJ50" s="35"/>
      <c r="BK50" s="36"/>
      <c r="BL50" s="36"/>
      <c r="BM50" s="36"/>
      <c r="BN50" s="36"/>
      <c r="BO50" s="36"/>
      <c r="BP50" s="36"/>
      <c r="BQ50" s="36"/>
      <c r="BR50" s="37"/>
    </row>
    <row r="51" spans="2:70" ht="9" customHeight="1" x14ac:dyDescent="0.3">
      <c r="B51" s="32"/>
      <c r="C51" s="31"/>
      <c r="D51" s="31"/>
      <c r="E51" s="31"/>
      <c r="F51" s="31"/>
      <c r="G51" s="31"/>
      <c r="H51" s="31"/>
      <c r="I51" s="31"/>
      <c r="J51" s="33"/>
      <c r="K51" s="31"/>
      <c r="L51" s="32"/>
      <c r="M51" s="31"/>
      <c r="N51" s="31"/>
      <c r="O51" s="31"/>
      <c r="P51" s="31"/>
      <c r="Q51" s="31"/>
      <c r="R51" s="31"/>
      <c r="S51" s="31"/>
      <c r="T51" s="33"/>
      <c r="U51" s="31"/>
      <c r="V51" s="32"/>
      <c r="W51" s="31"/>
      <c r="X51" s="31"/>
      <c r="Y51" s="31"/>
      <c r="Z51" s="31"/>
      <c r="AA51" s="31"/>
      <c r="AB51" s="31"/>
      <c r="AC51" s="31"/>
      <c r="AD51" s="33"/>
      <c r="AE51" s="31"/>
      <c r="AF51" s="32"/>
      <c r="AG51" s="31"/>
      <c r="AH51" s="31"/>
      <c r="AI51" s="31"/>
      <c r="AJ51" s="31"/>
      <c r="AK51" s="31"/>
      <c r="AL51" s="31"/>
      <c r="AM51" s="31"/>
      <c r="AN51" s="33"/>
      <c r="AO51" s="31"/>
      <c r="AP51" s="32"/>
      <c r="AQ51" s="31"/>
      <c r="AR51" s="31"/>
      <c r="AS51" s="31"/>
      <c r="AT51" s="31"/>
      <c r="AU51" s="31"/>
      <c r="AV51" s="31"/>
      <c r="AW51" s="31"/>
      <c r="AX51" s="33"/>
      <c r="AY51" s="31"/>
      <c r="AZ51" s="32"/>
      <c r="BA51" s="31"/>
      <c r="BB51" s="31"/>
      <c r="BC51" s="31"/>
      <c r="BD51" s="31"/>
      <c r="BE51" s="31"/>
      <c r="BF51" s="31"/>
      <c r="BG51" s="31"/>
      <c r="BH51" s="33"/>
      <c r="BI51" s="31"/>
      <c r="BJ51" s="32"/>
      <c r="BK51" s="31"/>
      <c r="BL51" s="31"/>
      <c r="BM51" s="31"/>
      <c r="BN51" s="31"/>
      <c r="BO51" s="31"/>
      <c r="BP51" s="31"/>
      <c r="BQ51" s="31"/>
      <c r="BR51" s="33"/>
    </row>
    <row r="52" spans="2:70" s="41" customFormat="1" ht="9" customHeight="1" x14ac:dyDescent="0.3">
      <c r="B52" s="43"/>
      <c r="C52" s="42"/>
      <c r="D52" s="42"/>
      <c r="E52" s="42"/>
      <c r="F52" s="42"/>
      <c r="G52" s="42"/>
      <c r="H52" s="42"/>
      <c r="I52" s="42"/>
      <c r="J52" s="44"/>
      <c r="K52" s="42"/>
      <c r="L52" s="43"/>
      <c r="M52" s="42"/>
      <c r="N52" s="42"/>
      <c r="O52" s="42"/>
      <c r="P52" s="42"/>
      <c r="Q52" s="42"/>
      <c r="R52" s="42"/>
      <c r="S52" s="42"/>
      <c r="T52" s="44"/>
      <c r="U52" s="42"/>
      <c r="V52" s="43"/>
      <c r="W52" s="42"/>
      <c r="X52" s="42"/>
      <c r="Y52" s="42"/>
      <c r="Z52" s="42"/>
      <c r="AA52" s="42"/>
      <c r="AB52" s="42"/>
      <c r="AC52" s="42"/>
      <c r="AD52" s="44"/>
      <c r="AE52" s="42"/>
      <c r="AF52" s="43"/>
      <c r="AG52" s="42"/>
      <c r="AH52" s="42"/>
      <c r="AI52" s="42"/>
      <c r="AJ52" s="42"/>
      <c r="AK52" s="42"/>
      <c r="AL52" s="42"/>
      <c r="AM52" s="42"/>
      <c r="AN52" s="44"/>
      <c r="AO52" s="42"/>
      <c r="AP52" s="43"/>
      <c r="AQ52" s="42"/>
      <c r="AR52" s="42"/>
      <c r="AS52" s="42"/>
      <c r="AT52" s="42"/>
      <c r="AU52" s="42"/>
      <c r="AV52" s="42"/>
      <c r="AW52" s="42"/>
      <c r="AX52" s="44"/>
      <c r="AY52" s="42"/>
      <c r="AZ52" s="43"/>
      <c r="BA52" s="42"/>
      <c r="BB52" s="42"/>
      <c r="BC52" s="42"/>
      <c r="BD52" s="42"/>
      <c r="BE52" s="42"/>
      <c r="BF52" s="42"/>
      <c r="BG52" s="42"/>
      <c r="BH52" s="44"/>
      <c r="BI52" s="42"/>
      <c r="BJ52" s="43"/>
      <c r="BK52" s="42"/>
      <c r="BL52" s="42"/>
      <c r="BM52" s="42"/>
      <c r="BN52" s="42"/>
      <c r="BO52" s="42"/>
      <c r="BP52" s="42"/>
      <c r="BQ52" s="42"/>
      <c r="BR52" s="44"/>
    </row>
    <row r="53" spans="2:70" s="41" customFormat="1" ht="9" customHeight="1" x14ac:dyDescent="0.3">
      <c r="B53" s="43"/>
      <c r="C53" s="42"/>
      <c r="D53" s="42"/>
      <c r="E53" s="42"/>
      <c r="F53" s="42"/>
      <c r="G53" s="42"/>
      <c r="H53" s="42"/>
      <c r="I53" s="42"/>
      <c r="J53" s="44"/>
      <c r="K53" s="42"/>
      <c r="L53" s="43"/>
      <c r="M53" s="42"/>
      <c r="N53" s="42"/>
      <c r="O53" s="42"/>
      <c r="P53" s="42"/>
      <c r="Q53" s="42"/>
      <c r="R53" s="42"/>
      <c r="S53" s="42"/>
      <c r="T53" s="44"/>
      <c r="U53" s="42"/>
      <c r="V53" s="43"/>
      <c r="W53" s="42"/>
      <c r="X53" s="42"/>
      <c r="Y53" s="42"/>
      <c r="Z53" s="42"/>
      <c r="AA53" s="42"/>
      <c r="AB53" s="42"/>
      <c r="AC53" s="42"/>
      <c r="AD53" s="44"/>
      <c r="AE53" s="42"/>
      <c r="AF53" s="43"/>
      <c r="AG53" s="42"/>
      <c r="AH53" s="42"/>
      <c r="AI53" s="42"/>
      <c r="AJ53" s="42"/>
      <c r="AK53" s="42"/>
      <c r="AL53" s="42"/>
      <c r="AM53" s="42"/>
      <c r="AN53" s="44"/>
      <c r="AO53" s="42"/>
      <c r="AP53" s="43"/>
      <c r="AQ53" s="42"/>
      <c r="AR53" s="42"/>
      <c r="AS53" s="42"/>
      <c r="AT53" s="42"/>
      <c r="AU53" s="42"/>
      <c r="AV53" s="42"/>
      <c r="AW53" s="42"/>
      <c r="AX53" s="44"/>
      <c r="AY53" s="42"/>
      <c r="AZ53" s="43"/>
      <c r="BA53" s="42"/>
      <c r="BB53" s="42"/>
      <c r="BC53" s="42"/>
      <c r="BD53" s="42"/>
      <c r="BE53" s="42"/>
      <c r="BF53" s="42"/>
      <c r="BG53" s="42"/>
      <c r="BH53" s="44"/>
      <c r="BI53" s="42"/>
      <c r="BJ53" s="43"/>
      <c r="BK53" s="42"/>
      <c r="BL53" s="42"/>
      <c r="BM53" s="42"/>
      <c r="BN53" s="42"/>
      <c r="BO53" s="42"/>
      <c r="BP53" s="42"/>
      <c r="BQ53" s="42"/>
      <c r="BR53" s="44"/>
    </row>
    <row r="54" spans="2:70" s="41" customFormat="1" ht="9" customHeight="1" x14ac:dyDescent="0.3">
      <c r="B54" s="43"/>
      <c r="C54" s="42"/>
      <c r="D54" s="42"/>
      <c r="E54" s="42"/>
      <c r="F54" s="42"/>
      <c r="G54" s="42"/>
      <c r="H54" s="42"/>
      <c r="I54" s="42"/>
      <c r="J54" s="44"/>
      <c r="K54" s="42"/>
      <c r="L54" s="43"/>
      <c r="M54" s="42"/>
      <c r="N54" s="42"/>
      <c r="O54" s="42"/>
      <c r="P54" s="42"/>
      <c r="Q54" s="42"/>
      <c r="R54" s="42"/>
      <c r="S54" s="42"/>
      <c r="T54" s="44"/>
      <c r="U54" s="42"/>
      <c r="V54" s="43"/>
      <c r="W54" s="42"/>
      <c r="X54" s="42"/>
      <c r="Y54" s="42"/>
      <c r="Z54" s="42"/>
      <c r="AA54" s="42"/>
      <c r="AB54" s="42"/>
      <c r="AC54" s="42"/>
      <c r="AD54" s="44"/>
      <c r="AE54" s="42"/>
      <c r="AF54" s="43"/>
      <c r="AG54" s="42"/>
      <c r="AH54" s="42"/>
      <c r="AI54" s="42"/>
      <c r="AJ54" s="42"/>
      <c r="AK54" s="42"/>
      <c r="AL54" s="42"/>
      <c r="AM54" s="42"/>
      <c r="AN54" s="44"/>
      <c r="AO54" s="42"/>
      <c r="AP54" s="43"/>
      <c r="AQ54" s="42"/>
      <c r="AR54" s="42"/>
      <c r="AS54" s="42"/>
      <c r="AT54" s="42"/>
      <c r="AU54" s="42"/>
      <c r="AV54" s="42"/>
      <c r="AW54" s="42"/>
      <c r="AX54" s="44"/>
      <c r="AY54" s="42"/>
      <c r="AZ54" s="43"/>
      <c r="BA54" s="42"/>
      <c r="BB54" s="42"/>
      <c r="BC54" s="42"/>
      <c r="BD54" s="42"/>
      <c r="BE54" s="42"/>
      <c r="BF54" s="42"/>
      <c r="BG54" s="42"/>
      <c r="BH54" s="44"/>
      <c r="BI54" s="42"/>
      <c r="BJ54" s="43"/>
      <c r="BK54" s="42"/>
      <c r="BL54" s="42"/>
      <c r="BM54" s="42"/>
      <c r="BN54" s="42"/>
      <c r="BO54" s="42"/>
      <c r="BP54" s="42"/>
      <c r="BQ54" s="42"/>
      <c r="BR54" s="44"/>
    </row>
    <row r="55" spans="2:70" s="41" customFormat="1" ht="9" customHeight="1" x14ac:dyDescent="0.3">
      <c r="B55" s="43"/>
      <c r="C55" s="42"/>
      <c r="D55" s="42"/>
      <c r="E55" s="42"/>
      <c r="F55" s="42"/>
      <c r="G55" s="42"/>
      <c r="H55" s="42"/>
      <c r="I55" s="42"/>
      <c r="J55" s="44"/>
      <c r="K55" s="42"/>
      <c r="L55" s="43"/>
      <c r="M55" s="42"/>
      <c r="N55" s="42"/>
      <c r="O55" s="42"/>
      <c r="P55" s="42"/>
      <c r="Q55" s="42"/>
      <c r="R55" s="42"/>
      <c r="S55" s="42"/>
      <c r="T55" s="44"/>
      <c r="U55" s="42"/>
      <c r="V55" s="43"/>
      <c r="W55" s="42"/>
      <c r="X55" s="42"/>
      <c r="Y55" s="42"/>
      <c r="Z55" s="42"/>
      <c r="AA55" s="42"/>
      <c r="AB55" s="42"/>
      <c r="AC55" s="42"/>
      <c r="AD55" s="44"/>
      <c r="AE55" s="42"/>
      <c r="AF55" s="43"/>
      <c r="AG55" s="42"/>
      <c r="AH55" s="42"/>
      <c r="AI55" s="42"/>
      <c r="AJ55" s="42"/>
      <c r="AK55" s="42"/>
      <c r="AL55" s="42"/>
      <c r="AM55" s="42"/>
      <c r="AN55" s="44"/>
      <c r="AO55" s="42"/>
      <c r="AP55" s="43"/>
      <c r="AQ55" s="42"/>
      <c r="AR55" s="42"/>
      <c r="AS55" s="42"/>
      <c r="AT55" s="42"/>
      <c r="AU55" s="42"/>
      <c r="AV55" s="42"/>
      <c r="AW55" s="42"/>
      <c r="AX55" s="44"/>
      <c r="AY55" s="42"/>
      <c r="AZ55" s="43"/>
      <c r="BA55" s="42"/>
      <c r="BB55" s="42"/>
      <c r="BC55" s="42"/>
      <c r="BD55" s="42"/>
      <c r="BE55" s="42"/>
      <c r="BF55" s="42"/>
      <c r="BG55" s="42"/>
      <c r="BH55" s="44"/>
      <c r="BI55" s="42"/>
      <c r="BJ55" s="43"/>
      <c r="BK55" s="42"/>
      <c r="BL55" s="42"/>
      <c r="BM55" s="42"/>
      <c r="BN55" s="42"/>
      <c r="BO55" s="42"/>
      <c r="BP55" s="42"/>
      <c r="BQ55" s="42"/>
      <c r="BR55" s="44"/>
    </row>
    <row r="56" spans="2:70" s="41" customFormat="1" ht="9" customHeight="1" x14ac:dyDescent="0.3">
      <c r="B56" s="43"/>
      <c r="C56" s="42"/>
      <c r="D56" s="42"/>
      <c r="E56" s="42"/>
      <c r="F56" s="42"/>
      <c r="G56" s="42"/>
      <c r="H56" s="42"/>
      <c r="I56" s="42"/>
      <c r="J56" s="44"/>
      <c r="K56" s="42"/>
      <c r="L56" s="43"/>
      <c r="M56" s="42"/>
      <c r="N56" s="42"/>
      <c r="O56" s="42"/>
      <c r="P56" s="42"/>
      <c r="Q56" s="42"/>
      <c r="R56" s="42"/>
      <c r="S56" s="42"/>
      <c r="T56" s="44"/>
      <c r="U56" s="42"/>
      <c r="V56" s="43"/>
      <c r="W56" s="42"/>
      <c r="X56" s="42"/>
      <c r="Y56" s="42"/>
      <c r="Z56" s="42"/>
      <c r="AA56" s="42"/>
      <c r="AB56" s="42"/>
      <c r="AC56" s="42"/>
      <c r="AD56" s="44"/>
      <c r="AE56" s="42"/>
      <c r="AF56" s="43"/>
      <c r="AG56" s="42"/>
      <c r="AH56" s="42"/>
      <c r="AI56" s="42"/>
      <c r="AJ56" s="42"/>
      <c r="AK56" s="42"/>
      <c r="AL56" s="42"/>
      <c r="AM56" s="42"/>
      <c r="AN56" s="44"/>
      <c r="AO56" s="42"/>
      <c r="AP56" s="43"/>
      <c r="AQ56" s="42"/>
      <c r="AR56" s="42"/>
      <c r="AS56" s="42"/>
      <c r="AT56" s="42"/>
      <c r="AU56" s="42"/>
      <c r="AV56" s="42"/>
      <c r="AW56" s="42"/>
      <c r="AX56" s="44"/>
      <c r="AY56" s="42"/>
      <c r="AZ56" s="43"/>
      <c r="BA56" s="42"/>
      <c r="BB56" s="42"/>
      <c r="BC56" s="42"/>
      <c r="BD56" s="42"/>
      <c r="BE56" s="42"/>
      <c r="BF56" s="42"/>
      <c r="BG56" s="42"/>
      <c r="BH56" s="44"/>
      <c r="BI56" s="42"/>
      <c r="BJ56" s="43"/>
      <c r="BK56" s="42"/>
      <c r="BL56" s="42"/>
      <c r="BM56" s="42"/>
      <c r="BN56" s="42"/>
      <c r="BO56" s="42"/>
      <c r="BP56" s="42"/>
      <c r="BQ56" s="42"/>
      <c r="BR56" s="44"/>
    </row>
    <row r="57" spans="2:70" ht="9" customHeight="1" x14ac:dyDescent="0.3">
      <c r="B57" s="32"/>
      <c r="C57" s="31"/>
      <c r="D57" s="31"/>
      <c r="E57" s="31"/>
      <c r="F57" s="31"/>
      <c r="G57" s="31"/>
      <c r="H57" s="31"/>
      <c r="I57" s="31"/>
      <c r="J57" s="33"/>
      <c r="K57" s="31"/>
      <c r="L57" s="32"/>
      <c r="M57" s="31"/>
      <c r="N57" s="31"/>
      <c r="O57" s="31"/>
      <c r="P57" s="31"/>
      <c r="Q57" s="31"/>
      <c r="R57" s="31"/>
      <c r="S57" s="31"/>
      <c r="T57" s="33"/>
      <c r="U57" s="31"/>
      <c r="V57" s="32"/>
      <c r="W57" s="31"/>
      <c r="X57" s="31"/>
      <c r="Y57" s="31"/>
      <c r="Z57" s="31"/>
      <c r="AA57" s="31"/>
      <c r="AB57" s="31"/>
      <c r="AC57" s="31"/>
      <c r="AD57" s="33"/>
      <c r="AE57" s="31"/>
      <c r="AF57" s="32"/>
      <c r="AG57" s="31"/>
      <c r="AH57" s="31"/>
      <c r="AI57" s="31"/>
      <c r="AJ57" s="31"/>
      <c r="AK57" s="31"/>
      <c r="AL57" s="31"/>
      <c r="AM57" s="31"/>
      <c r="AN57" s="33"/>
      <c r="AO57" s="31"/>
      <c r="AP57" s="32"/>
      <c r="AQ57" s="31"/>
      <c r="AR57" s="31"/>
      <c r="AS57" s="31"/>
      <c r="AT57" s="31"/>
      <c r="AU57" s="31"/>
      <c r="AV57" s="31"/>
      <c r="AW57" s="31"/>
      <c r="AX57" s="33"/>
      <c r="AY57" s="31"/>
      <c r="AZ57" s="32"/>
      <c r="BA57" s="31"/>
      <c r="BB57" s="31"/>
      <c r="BC57" s="31"/>
      <c r="BD57" s="31"/>
      <c r="BE57" s="31"/>
      <c r="BF57" s="31"/>
      <c r="BG57" s="31"/>
      <c r="BH57" s="33"/>
      <c r="BI57" s="31"/>
      <c r="BJ57" s="32"/>
      <c r="BK57" s="31"/>
      <c r="BL57" s="31"/>
      <c r="BM57" s="31"/>
      <c r="BN57" s="31"/>
      <c r="BO57" s="31"/>
      <c r="BP57" s="31"/>
      <c r="BQ57" s="31"/>
      <c r="BR57" s="33"/>
    </row>
    <row r="58" spans="2:70" ht="9" customHeight="1" x14ac:dyDescent="0.3">
      <c r="B58" s="49"/>
      <c r="C58" s="47"/>
      <c r="D58" s="47"/>
      <c r="E58" s="47"/>
      <c r="F58" s="47"/>
      <c r="G58" s="47"/>
      <c r="H58" s="47"/>
      <c r="I58" s="47"/>
      <c r="J58" s="48"/>
      <c r="K58" s="31"/>
      <c r="L58" s="49"/>
      <c r="M58" s="47"/>
      <c r="N58" s="47"/>
      <c r="O58" s="47"/>
      <c r="P58" s="47"/>
      <c r="Q58" s="47"/>
      <c r="R58" s="47"/>
      <c r="S58" s="47"/>
      <c r="T58" s="48"/>
      <c r="U58" s="31"/>
      <c r="V58" s="49"/>
      <c r="W58" s="47"/>
      <c r="X58" s="47"/>
      <c r="Y58" s="47"/>
      <c r="Z58" s="47"/>
      <c r="AA58" s="47"/>
      <c r="AB58" s="47"/>
      <c r="AC58" s="47"/>
      <c r="AD58" s="48"/>
      <c r="AE58" s="31"/>
      <c r="AF58" s="49"/>
      <c r="AG58" s="47"/>
      <c r="AH58" s="47"/>
      <c r="AI58" s="47"/>
      <c r="AJ58" s="47"/>
      <c r="AK58" s="47"/>
      <c r="AL58" s="47"/>
      <c r="AM58" s="47"/>
      <c r="AN58" s="48"/>
      <c r="AO58" s="31"/>
      <c r="AP58" s="49"/>
      <c r="AQ58" s="47"/>
      <c r="AR58" s="47"/>
      <c r="AS58" s="47"/>
      <c r="AT58" s="47"/>
      <c r="AU58" s="47"/>
      <c r="AV58" s="47"/>
      <c r="AW58" s="47"/>
      <c r="AX58" s="48"/>
      <c r="AY58" s="31"/>
      <c r="AZ58" s="49"/>
      <c r="BA58" s="47"/>
      <c r="BB58" s="47"/>
      <c r="BC58" s="47"/>
      <c r="BD58" s="47"/>
      <c r="BE58" s="47"/>
      <c r="BF58" s="47"/>
      <c r="BG58" s="47"/>
      <c r="BH58" s="48"/>
      <c r="BI58" s="31"/>
      <c r="BJ58" s="49"/>
      <c r="BK58" s="47"/>
      <c r="BL58" s="47"/>
      <c r="BM58" s="47"/>
      <c r="BN58" s="47"/>
      <c r="BO58" s="47"/>
      <c r="BP58" s="47"/>
      <c r="BQ58" s="47"/>
      <c r="BR58" s="48"/>
    </row>
    <row r="59" spans="2:70" s="66" customFormat="1" ht="9" customHeight="1" x14ac:dyDescent="0.3">
      <c r="B59" s="496" t="s">
        <v>530</v>
      </c>
      <c r="C59" s="496"/>
      <c r="D59" s="496"/>
      <c r="E59" s="496"/>
      <c r="F59" s="496"/>
      <c r="G59" s="497">
        <f>CEILING(1995*B3,1)</f>
        <v>2793</v>
      </c>
      <c r="H59" s="497"/>
      <c r="I59" s="497"/>
      <c r="J59" s="497"/>
      <c r="K59" s="67"/>
      <c r="L59" s="496" t="s">
        <v>531</v>
      </c>
      <c r="M59" s="496"/>
      <c r="N59" s="496"/>
      <c r="O59" s="496"/>
      <c r="P59" s="496"/>
      <c r="Q59" s="497">
        <f>CEILING(7423*B3,1)</f>
        <v>10393</v>
      </c>
      <c r="R59" s="497"/>
      <c r="S59" s="497"/>
      <c r="T59" s="497"/>
      <c r="U59" s="67"/>
      <c r="V59" s="496" t="s">
        <v>532</v>
      </c>
      <c r="W59" s="496"/>
      <c r="X59" s="496"/>
      <c r="Y59" s="496"/>
      <c r="Z59" s="496"/>
      <c r="AA59" s="497">
        <f>CEILING(4767*B3,1)</f>
        <v>6674</v>
      </c>
      <c r="AB59" s="497"/>
      <c r="AC59" s="497"/>
      <c r="AD59" s="497"/>
      <c r="AE59" s="67"/>
      <c r="AF59" s="496" t="s">
        <v>426</v>
      </c>
      <c r="AG59" s="496"/>
      <c r="AH59" s="496"/>
      <c r="AI59" s="496"/>
      <c r="AJ59" s="496"/>
      <c r="AK59" s="497">
        <f>CEILING(3271*B3,1)</f>
        <v>4580</v>
      </c>
      <c r="AL59" s="497"/>
      <c r="AM59" s="497"/>
      <c r="AN59" s="497"/>
      <c r="AO59" s="67"/>
      <c r="AP59" s="496" t="s">
        <v>533</v>
      </c>
      <c r="AQ59" s="496"/>
      <c r="AR59" s="496"/>
      <c r="AS59" s="496"/>
      <c r="AT59" s="496"/>
      <c r="AU59" s="497">
        <f>CEILING(3026*B3,1)</f>
        <v>4237</v>
      </c>
      <c r="AV59" s="497"/>
      <c r="AW59" s="497"/>
      <c r="AX59" s="497"/>
      <c r="AY59" s="67"/>
      <c r="AZ59" s="496" t="s">
        <v>534</v>
      </c>
      <c r="BA59" s="496"/>
      <c r="BB59" s="496"/>
      <c r="BC59" s="496"/>
      <c r="BD59" s="496"/>
      <c r="BE59" s="497">
        <f>CEILING(5642*B3,1)</f>
        <v>7899</v>
      </c>
      <c r="BF59" s="497"/>
      <c r="BG59" s="497"/>
      <c r="BH59" s="497"/>
      <c r="BI59" s="67"/>
      <c r="BJ59" s="496" t="s">
        <v>535</v>
      </c>
      <c r="BK59" s="496"/>
      <c r="BL59" s="496"/>
      <c r="BM59" s="496"/>
      <c r="BN59" s="496"/>
      <c r="BO59" s="497">
        <f>CEILING(2535*B3,1)</f>
        <v>3549</v>
      </c>
      <c r="BP59" s="497"/>
      <c r="BQ59" s="497"/>
      <c r="BR59" s="497"/>
    </row>
    <row r="60" spans="2:70" ht="1.5" customHeight="1" x14ac:dyDescent="0.3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</row>
    <row r="61" spans="2:70" ht="9" customHeight="1" x14ac:dyDescent="0.3">
      <c r="B61" s="501" t="s">
        <v>536</v>
      </c>
      <c r="C61" s="502"/>
      <c r="D61" s="503"/>
      <c r="E61" s="499" t="s">
        <v>269</v>
      </c>
      <c r="F61" s="499"/>
      <c r="G61" s="499"/>
      <c r="H61" s="499"/>
      <c r="I61" s="499"/>
      <c r="J61" s="500"/>
      <c r="K61" s="31"/>
      <c r="L61" s="501" t="s">
        <v>537</v>
      </c>
      <c r="M61" s="502"/>
      <c r="N61" s="503"/>
      <c r="O61" s="499" t="s">
        <v>269</v>
      </c>
      <c r="P61" s="499"/>
      <c r="Q61" s="499"/>
      <c r="R61" s="499"/>
      <c r="S61" s="499"/>
      <c r="T61" s="500"/>
      <c r="U61" s="31"/>
      <c r="V61" s="501" t="s">
        <v>538</v>
      </c>
      <c r="W61" s="502"/>
      <c r="X61" s="503"/>
      <c r="Y61" s="499" t="s">
        <v>269</v>
      </c>
      <c r="Z61" s="499"/>
      <c r="AA61" s="499"/>
      <c r="AB61" s="499"/>
      <c r="AC61" s="499"/>
      <c r="AD61" s="500"/>
      <c r="AE61" s="31"/>
      <c r="AF61" s="501" t="s">
        <v>539</v>
      </c>
      <c r="AG61" s="502"/>
      <c r="AH61" s="503"/>
      <c r="AI61" s="499" t="s">
        <v>269</v>
      </c>
      <c r="AJ61" s="499"/>
      <c r="AK61" s="499"/>
      <c r="AL61" s="499"/>
      <c r="AM61" s="499"/>
      <c r="AN61" s="500"/>
      <c r="AO61" s="31"/>
      <c r="AP61" s="501" t="s">
        <v>540</v>
      </c>
      <c r="AQ61" s="502"/>
      <c r="AR61" s="503"/>
      <c r="AS61" s="499" t="s">
        <v>269</v>
      </c>
      <c r="AT61" s="499"/>
      <c r="AU61" s="499"/>
      <c r="AV61" s="499"/>
      <c r="AW61" s="499"/>
      <c r="AX61" s="500"/>
      <c r="AY61" s="31"/>
      <c r="AZ61" s="501" t="s">
        <v>541</v>
      </c>
      <c r="BA61" s="502"/>
      <c r="BB61" s="503"/>
      <c r="BC61" s="499" t="s">
        <v>269</v>
      </c>
      <c r="BD61" s="499"/>
      <c r="BE61" s="499"/>
      <c r="BF61" s="499"/>
      <c r="BG61" s="499"/>
      <c r="BH61" s="500"/>
      <c r="BI61" s="42"/>
      <c r="BJ61" s="501" t="s">
        <v>542</v>
      </c>
      <c r="BK61" s="502"/>
      <c r="BL61" s="503"/>
      <c r="BM61" s="499" t="s">
        <v>269</v>
      </c>
      <c r="BN61" s="499"/>
      <c r="BO61" s="499"/>
      <c r="BP61" s="499"/>
      <c r="BQ61" s="499"/>
      <c r="BR61" s="500"/>
    </row>
    <row r="62" spans="2:70" ht="9" customHeight="1" x14ac:dyDescent="0.3">
      <c r="B62" s="493" t="s">
        <v>610</v>
      </c>
      <c r="C62" s="494"/>
      <c r="D62" s="494"/>
      <c r="E62" s="494"/>
      <c r="F62" s="494"/>
      <c r="G62" s="494"/>
      <c r="H62" s="494"/>
      <c r="I62" s="494"/>
      <c r="J62" s="495"/>
      <c r="K62" s="36"/>
      <c r="L62" s="493" t="s">
        <v>610</v>
      </c>
      <c r="M62" s="494"/>
      <c r="N62" s="494"/>
      <c r="O62" s="494"/>
      <c r="P62" s="494"/>
      <c r="Q62" s="494"/>
      <c r="R62" s="494"/>
      <c r="S62" s="494"/>
      <c r="T62" s="495"/>
      <c r="U62" s="36"/>
      <c r="V62" s="493" t="s">
        <v>610</v>
      </c>
      <c r="W62" s="494"/>
      <c r="X62" s="494"/>
      <c r="Y62" s="494"/>
      <c r="Z62" s="494"/>
      <c r="AA62" s="494"/>
      <c r="AB62" s="494"/>
      <c r="AC62" s="494"/>
      <c r="AD62" s="495"/>
      <c r="AE62" s="36"/>
      <c r="AF62" s="493" t="s">
        <v>610</v>
      </c>
      <c r="AG62" s="494"/>
      <c r="AH62" s="494"/>
      <c r="AI62" s="494"/>
      <c r="AJ62" s="494"/>
      <c r="AK62" s="494"/>
      <c r="AL62" s="494"/>
      <c r="AM62" s="494"/>
      <c r="AN62" s="495"/>
      <c r="AO62" s="36"/>
      <c r="AP62" s="493" t="s">
        <v>610</v>
      </c>
      <c r="AQ62" s="494"/>
      <c r="AR62" s="494"/>
      <c r="AS62" s="494"/>
      <c r="AT62" s="494"/>
      <c r="AU62" s="494"/>
      <c r="AV62" s="494"/>
      <c r="AW62" s="494"/>
      <c r="AX62" s="495"/>
      <c r="AY62" s="31"/>
      <c r="AZ62" s="493" t="s">
        <v>610</v>
      </c>
      <c r="BA62" s="494"/>
      <c r="BB62" s="494"/>
      <c r="BC62" s="494"/>
      <c r="BD62" s="494"/>
      <c r="BE62" s="494"/>
      <c r="BF62" s="494"/>
      <c r="BG62" s="494"/>
      <c r="BH62" s="495"/>
      <c r="BI62" s="42"/>
      <c r="BJ62" s="493" t="s">
        <v>610</v>
      </c>
      <c r="BK62" s="494"/>
      <c r="BL62" s="494"/>
      <c r="BM62" s="494"/>
      <c r="BN62" s="494"/>
      <c r="BO62" s="494"/>
      <c r="BP62" s="494"/>
      <c r="BQ62" s="494"/>
      <c r="BR62" s="495"/>
    </row>
    <row r="63" spans="2:70" ht="9" customHeight="1" x14ac:dyDescent="0.3">
      <c r="B63" s="35"/>
      <c r="C63" s="36"/>
      <c r="D63" s="36"/>
      <c r="E63" s="36"/>
      <c r="F63" s="36"/>
      <c r="G63" s="36"/>
      <c r="H63" s="36"/>
      <c r="I63" s="36"/>
      <c r="J63" s="37"/>
      <c r="K63" s="36"/>
      <c r="L63" s="35"/>
      <c r="M63" s="36"/>
      <c r="N63" s="36"/>
      <c r="O63" s="36"/>
      <c r="P63" s="36"/>
      <c r="Q63" s="36"/>
      <c r="R63" s="36"/>
      <c r="S63" s="36"/>
      <c r="T63" s="37"/>
      <c r="U63" s="36"/>
      <c r="V63" s="35"/>
      <c r="W63" s="36"/>
      <c r="X63" s="36"/>
      <c r="Y63" s="36"/>
      <c r="Z63" s="36"/>
      <c r="AA63" s="36"/>
      <c r="AB63" s="36"/>
      <c r="AC63" s="36"/>
      <c r="AD63" s="37"/>
      <c r="AE63" s="40"/>
      <c r="AF63" s="31"/>
      <c r="AG63" s="31"/>
      <c r="AH63" s="31"/>
      <c r="AI63" s="31"/>
      <c r="AJ63" s="31"/>
      <c r="AK63" s="31"/>
      <c r="AL63" s="31"/>
      <c r="AM63" s="31"/>
      <c r="AN63" s="33"/>
      <c r="AO63" s="40"/>
      <c r="AP63" s="31"/>
      <c r="AQ63" s="31"/>
      <c r="AR63" s="31"/>
      <c r="AS63" s="31"/>
      <c r="AT63" s="31"/>
      <c r="AU63" s="31"/>
      <c r="AV63" s="31"/>
      <c r="AW63" s="31"/>
      <c r="AX63" s="33"/>
      <c r="AY63" s="38"/>
      <c r="AZ63" s="31"/>
      <c r="BA63" s="31"/>
      <c r="BB63" s="31"/>
      <c r="BC63" s="31"/>
      <c r="BD63" s="31"/>
      <c r="BE63" s="31"/>
      <c r="BF63" s="31"/>
      <c r="BG63" s="31"/>
      <c r="BH63" s="33"/>
      <c r="BI63" s="45"/>
      <c r="BJ63" s="31"/>
      <c r="BK63" s="31"/>
      <c r="BL63" s="31"/>
      <c r="BM63" s="31"/>
      <c r="BN63" s="31"/>
      <c r="BO63" s="31"/>
      <c r="BP63" s="31"/>
      <c r="BQ63" s="31"/>
      <c r="BR63" s="33"/>
    </row>
    <row r="64" spans="2:70" ht="9" customHeight="1" x14ac:dyDescent="0.3">
      <c r="B64" s="35"/>
      <c r="C64" s="36"/>
      <c r="D64" s="36"/>
      <c r="E64" s="36"/>
      <c r="F64" s="36"/>
      <c r="G64" s="36"/>
      <c r="H64" s="36"/>
      <c r="I64" s="36"/>
      <c r="J64" s="37"/>
      <c r="K64" s="36"/>
      <c r="L64" s="35"/>
      <c r="M64" s="36"/>
      <c r="N64" s="36"/>
      <c r="O64" s="36"/>
      <c r="P64" s="36"/>
      <c r="Q64" s="36"/>
      <c r="R64" s="36"/>
      <c r="S64" s="36"/>
      <c r="T64" s="37"/>
      <c r="U64" s="36"/>
      <c r="V64" s="35"/>
      <c r="W64" s="36"/>
      <c r="X64" s="36"/>
      <c r="Y64" s="36"/>
      <c r="Z64" s="36"/>
      <c r="AA64" s="36"/>
      <c r="AB64" s="36"/>
      <c r="AC64" s="36"/>
      <c r="AD64" s="37"/>
      <c r="AE64" s="40"/>
      <c r="AF64" s="31"/>
      <c r="AG64" s="31"/>
      <c r="AH64" s="31"/>
      <c r="AI64" s="31"/>
      <c r="AJ64" s="31"/>
      <c r="AK64" s="31"/>
      <c r="AL64" s="31"/>
      <c r="AM64" s="31"/>
      <c r="AN64" s="33"/>
      <c r="AO64" s="40"/>
      <c r="AP64" s="31"/>
      <c r="AQ64" s="31"/>
      <c r="AR64" s="31"/>
      <c r="AS64" s="31"/>
      <c r="AT64" s="31"/>
      <c r="AU64" s="31"/>
      <c r="AV64" s="31"/>
      <c r="AW64" s="31"/>
      <c r="AX64" s="33"/>
      <c r="AY64" s="38"/>
      <c r="AZ64" s="31"/>
      <c r="BA64" s="31"/>
      <c r="BB64" s="31"/>
      <c r="BC64" s="31"/>
      <c r="BD64" s="31"/>
      <c r="BE64" s="31"/>
      <c r="BF64" s="31"/>
      <c r="BG64" s="31"/>
      <c r="BH64" s="33"/>
      <c r="BI64" s="45"/>
      <c r="BJ64" s="31"/>
      <c r="BK64" s="31"/>
      <c r="BL64" s="31"/>
      <c r="BM64" s="31"/>
      <c r="BN64" s="31"/>
      <c r="BO64" s="31"/>
      <c r="BP64" s="31"/>
      <c r="BQ64" s="31"/>
      <c r="BR64" s="33"/>
    </row>
    <row r="65" spans="2:80" ht="9" customHeight="1" x14ac:dyDescent="0.3">
      <c r="B65" s="32"/>
      <c r="C65" s="31"/>
      <c r="D65" s="31"/>
      <c r="E65" s="31"/>
      <c r="F65" s="31"/>
      <c r="G65" s="31"/>
      <c r="H65" s="31"/>
      <c r="I65" s="31"/>
      <c r="J65" s="33"/>
      <c r="K65" s="31"/>
      <c r="L65" s="32"/>
      <c r="M65" s="31"/>
      <c r="N65" s="31"/>
      <c r="O65" s="31"/>
      <c r="P65" s="31"/>
      <c r="Q65" s="31"/>
      <c r="R65" s="31"/>
      <c r="S65" s="31"/>
      <c r="T65" s="33"/>
      <c r="U65" s="31"/>
      <c r="V65" s="32"/>
      <c r="W65" s="31"/>
      <c r="X65" s="31"/>
      <c r="Y65" s="31"/>
      <c r="Z65" s="31"/>
      <c r="AA65" s="31"/>
      <c r="AB65" s="31"/>
      <c r="AC65" s="31"/>
      <c r="AD65" s="33"/>
      <c r="AE65" s="38"/>
      <c r="AF65" s="31"/>
      <c r="AG65" s="31"/>
      <c r="AH65" s="31"/>
      <c r="AI65" s="31"/>
      <c r="AJ65" s="31"/>
      <c r="AK65" s="31"/>
      <c r="AL65" s="31"/>
      <c r="AM65" s="31"/>
      <c r="AN65" s="33"/>
      <c r="AO65" s="38"/>
      <c r="AP65" s="31"/>
      <c r="AQ65" s="31"/>
      <c r="AR65" s="31"/>
      <c r="AS65" s="31"/>
      <c r="AT65" s="31"/>
      <c r="AU65" s="31"/>
      <c r="AV65" s="31"/>
      <c r="AW65" s="31"/>
      <c r="AX65" s="33"/>
      <c r="AY65" s="38"/>
      <c r="AZ65" s="31"/>
      <c r="BA65" s="31"/>
      <c r="BB65" s="31"/>
      <c r="BC65" s="31"/>
      <c r="BD65" s="31"/>
      <c r="BE65" s="31"/>
      <c r="BF65" s="31"/>
      <c r="BG65" s="31"/>
      <c r="BH65" s="33"/>
      <c r="BI65" s="45"/>
      <c r="BJ65" s="31"/>
      <c r="BK65" s="31"/>
      <c r="BL65" s="31"/>
      <c r="BM65" s="31"/>
      <c r="BN65" s="31"/>
      <c r="BO65" s="31"/>
      <c r="BP65" s="31"/>
      <c r="BQ65" s="31"/>
      <c r="BR65" s="33"/>
    </row>
    <row r="66" spans="2:80" ht="9" customHeight="1" x14ac:dyDescent="0.3">
      <c r="B66" s="43"/>
      <c r="C66" s="42"/>
      <c r="D66" s="42"/>
      <c r="E66" s="42"/>
      <c r="F66" s="42"/>
      <c r="G66" s="42"/>
      <c r="H66" s="42"/>
      <c r="I66" s="42"/>
      <c r="J66" s="44"/>
      <c r="K66" s="31"/>
      <c r="L66" s="43"/>
      <c r="M66" s="42"/>
      <c r="N66" s="42"/>
      <c r="O66" s="42"/>
      <c r="P66" s="42"/>
      <c r="Q66" s="42"/>
      <c r="R66" s="42"/>
      <c r="S66" s="42"/>
      <c r="T66" s="44"/>
      <c r="U66" s="31"/>
      <c r="V66" s="43"/>
      <c r="W66" s="42"/>
      <c r="X66" s="42"/>
      <c r="Y66" s="42"/>
      <c r="Z66" s="42"/>
      <c r="AA66" s="42"/>
      <c r="AB66" s="42"/>
      <c r="AC66" s="42"/>
      <c r="AD66" s="44"/>
      <c r="AE66" s="38"/>
      <c r="AF66" s="31"/>
      <c r="AG66" s="31"/>
      <c r="AH66" s="31"/>
      <c r="AI66" s="31"/>
      <c r="AJ66" s="31"/>
      <c r="AK66" s="31"/>
      <c r="AL66" s="31"/>
      <c r="AM66" s="31"/>
      <c r="AN66" s="33"/>
      <c r="AO66" s="38"/>
      <c r="AP66" s="31"/>
      <c r="AQ66" s="31"/>
      <c r="AR66" s="31"/>
      <c r="AS66" s="31"/>
      <c r="AT66" s="31"/>
      <c r="AU66" s="31"/>
      <c r="AV66" s="31"/>
      <c r="AW66" s="31"/>
      <c r="AX66" s="33"/>
      <c r="AY66" s="38"/>
      <c r="AZ66" s="31"/>
      <c r="BA66" s="31"/>
      <c r="BB66" s="31"/>
      <c r="BC66" s="31"/>
      <c r="BD66" s="31"/>
      <c r="BE66" s="31"/>
      <c r="BF66" s="31"/>
      <c r="BG66" s="31"/>
      <c r="BH66" s="33"/>
      <c r="BI66" s="45"/>
      <c r="BJ66" s="31"/>
      <c r="BK66" s="31"/>
      <c r="BL66" s="31"/>
      <c r="BM66" s="31"/>
      <c r="BN66" s="31"/>
      <c r="BO66" s="31"/>
      <c r="BP66" s="31"/>
      <c r="BQ66" s="31"/>
      <c r="BR66" s="33"/>
    </row>
    <row r="67" spans="2:80" ht="9" customHeight="1" x14ac:dyDescent="0.3">
      <c r="B67" s="43"/>
      <c r="C67" s="42"/>
      <c r="D67" s="42"/>
      <c r="E67" s="42"/>
      <c r="F67" s="42"/>
      <c r="G67" s="42"/>
      <c r="H67" s="42"/>
      <c r="I67" s="42"/>
      <c r="J67" s="44"/>
      <c r="K67" s="31"/>
      <c r="L67" s="43"/>
      <c r="M67" s="42"/>
      <c r="N67" s="42"/>
      <c r="O67" s="42"/>
      <c r="P67" s="42"/>
      <c r="Q67" s="42"/>
      <c r="R67" s="42"/>
      <c r="S67" s="42"/>
      <c r="T67" s="44"/>
      <c r="U67" s="31"/>
      <c r="V67" s="43"/>
      <c r="W67" s="42"/>
      <c r="X67" s="42"/>
      <c r="Y67" s="42"/>
      <c r="Z67" s="42"/>
      <c r="AA67" s="42"/>
      <c r="AB67" s="42"/>
      <c r="AC67" s="42"/>
      <c r="AD67" s="44"/>
      <c r="AE67" s="38"/>
      <c r="AF67" s="31"/>
      <c r="AG67" s="31"/>
      <c r="AH67" s="31"/>
      <c r="AI67" s="31"/>
      <c r="AJ67" s="31"/>
      <c r="AK67" s="31"/>
      <c r="AL67" s="31"/>
      <c r="AM67" s="31"/>
      <c r="AN67" s="33"/>
      <c r="AO67" s="38"/>
      <c r="AP67" s="31"/>
      <c r="AQ67" s="31"/>
      <c r="AR67" s="31"/>
      <c r="AS67" s="31"/>
      <c r="AT67" s="31"/>
      <c r="AU67" s="31"/>
      <c r="AV67" s="31"/>
      <c r="AW67" s="31"/>
      <c r="AX67" s="33"/>
      <c r="AY67" s="38"/>
      <c r="AZ67" s="31"/>
      <c r="BA67" s="31"/>
      <c r="BB67" s="31"/>
      <c r="BC67" s="31"/>
      <c r="BD67" s="31"/>
      <c r="BE67" s="31"/>
      <c r="BF67" s="31"/>
      <c r="BG67" s="31"/>
      <c r="BH67" s="33"/>
      <c r="BI67" s="45"/>
      <c r="BJ67" s="31"/>
      <c r="BK67" s="31"/>
      <c r="BL67" s="31"/>
      <c r="BM67" s="31"/>
      <c r="BN67" s="31"/>
      <c r="BO67" s="31"/>
      <c r="BP67" s="31"/>
      <c r="BQ67" s="31"/>
      <c r="BR67" s="33"/>
    </row>
    <row r="68" spans="2:80" ht="9" customHeight="1" x14ac:dyDescent="0.3">
      <c r="B68" s="43"/>
      <c r="C68" s="42"/>
      <c r="D68" s="42"/>
      <c r="E68" s="42"/>
      <c r="F68" s="42"/>
      <c r="G68" s="42"/>
      <c r="H68" s="42"/>
      <c r="I68" s="42"/>
      <c r="J68" s="44"/>
      <c r="K68" s="31"/>
      <c r="L68" s="43"/>
      <c r="M68" s="42"/>
      <c r="N68" s="42"/>
      <c r="O68" s="42"/>
      <c r="P68" s="42"/>
      <c r="Q68" s="42"/>
      <c r="R68" s="42"/>
      <c r="S68" s="42"/>
      <c r="T68" s="44"/>
      <c r="U68" s="31"/>
      <c r="V68" s="43"/>
      <c r="W68" s="42"/>
      <c r="X68" s="42"/>
      <c r="Y68" s="42"/>
      <c r="Z68" s="42"/>
      <c r="AA68" s="42"/>
      <c r="AB68" s="42"/>
      <c r="AC68" s="42"/>
      <c r="AD68" s="44"/>
      <c r="AE68" s="38"/>
      <c r="AF68" s="31"/>
      <c r="AG68" s="31"/>
      <c r="AH68" s="31"/>
      <c r="AI68" s="31"/>
      <c r="AJ68" s="31"/>
      <c r="AK68" s="31"/>
      <c r="AL68" s="31"/>
      <c r="AM68" s="31"/>
      <c r="AN68" s="33"/>
      <c r="AO68" s="38"/>
      <c r="AP68" s="31"/>
      <c r="AQ68" s="31"/>
      <c r="AR68" s="31"/>
      <c r="AS68" s="31"/>
      <c r="AT68" s="31"/>
      <c r="AU68" s="31"/>
      <c r="AV68" s="31"/>
      <c r="AW68" s="31"/>
      <c r="AX68" s="33"/>
      <c r="AY68" s="38"/>
      <c r="AZ68" s="31"/>
      <c r="BA68" s="31"/>
      <c r="BB68" s="31"/>
      <c r="BC68" s="31"/>
      <c r="BD68" s="31"/>
      <c r="BE68" s="31"/>
      <c r="BF68" s="31"/>
      <c r="BG68" s="31"/>
      <c r="BH68" s="33"/>
      <c r="BI68" s="45"/>
      <c r="BJ68" s="31"/>
      <c r="BK68" s="31"/>
      <c r="BL68" s="31"/>
      <c r="BM68" s="31"/>
      <c r="BN68" s="31"/>
      <c r="BO68" s="31"/>
      <c r="BP68" s="31"/>
      <c r="BQ68" s="31"/>
      <c r="BR68" s="33"/>
    </row>
    <row r="69" spans="2:80" ht="9" customHeight="1" x14ac:dyDescent="0.3">
      <c r="B69" s="43"/>
      <c r="C69" s="42"/>
      <c r="D69" s="42"/>
      <c r="E69" s="42"/>
      <c r="F69" s="42"/>
      <c r="G69" s="42"/>
      <c r="H69" s="42"/>
      <c r="I69" s="42"/>
      <c r="J69" s="44"/>
      <c r="K69" s="31"/>
      <c r="L69" s="43"/>
      <c r="M69" s="42"/>
      <c r="N69" s="42"/>
      <c r="O69" s="42"/>
      <c r="P69" s="42"/>
      <c r="Q69" s="42"/>
      <c r="R69" s="42"/>
      <c r="S69" s="42"/>
      <c r="T69" s="44"/>
      <c r="U69" s="31"/>
      <c r="V69" s="43"/>
      <c r="W69" s="42"/>
      <c r="X69" s="42"/>
      <c r="Y69" s="42"/>
      <c r="Z69" s="42"/>
      <c r="AA69" s="42"/>
      <c r="AB69" s="42"/>
      <c r="AC69" s="42"/>
      <c r="AD69" s="44"/>
      <c r="AE69" s="38"/>
      <c r="AF69" s="31"/>
      <c r="AG69" s="31"/>
      <c r="AH69" s="31"/>
      <c r="AI69" s="31"/>
      <c r="AJ69" s="31"/>
      <c r="AK69" s="31"/>
      <c r="AL69" s="31"/>
      <c r="AM69" s="31"/>
      <c r="AN69" s="33"/>
      <c r="AO69" s="38"/>
      <c r="AP69" s="31"/>
      <c r="AQ69" s="31"/>
      <c r="AR69" s="31"/>
      <c r="AS69" s="31"/>
      <c r="AT69" s="31"/>
      <c r="AU69" s="31"/>
      <c r="AV69" s="31"/>
      <c r="AW69" s="31"/>
      <c r="AX69" s="33"/>
      <c r="AY69" s="38"/>
      <c r="AZ69" s="31"/>
      <c r="BA69" s="31"/>
      <c r="BB69" s="31"/>
      <c r="BC69" s="31"/>
      <c r="BD69" s="31"/>
      <c r="BE69" s="31"/>
      <c r="BF69" s="31"/>
      <c r="BG69" s="31"/>
      <c r="BH69" s="33"/>
      <c r="BI69" s="45"/>
      <c r="BJ69" s="31"/>
      <c r="BK69" s="31"/>
      <c r="BL69" s="31"/>
      <c r="BM69" s="31"/>
      <c r="BN69" s="31"/>
      <c r="BO69" s="31"/>
      <c r="BP69" s="31"/>
      <c r="BQ69" s="31"/>
      <c r="BR69" s="33"/>
    </row>
    <row r="70" spans="2:80" s="41" customFormat="1" ht="8.25" customHeight="1" x14ac:dyDescent="0.3">
      <c r="B70" s="43"/>
      <c r="C70" s="42"/>
      <c r="D70" s="42"/>
      <c r="E70" s="42"/>
      <c r="F70" s="42"/>
      <c r="G70" s="42"/>
      <c r="H70" s="42"/>
      <c r="I70" s="42"/>
      <c r="J70" s="44"/>
      <c r="K70" s="42"/>
      <c r="L70" s="43"/>
      <c r="M70" s="42"/>
      <c r="N70" s="42"/>
      <c r="O70" s="42"/>
      <c r="P70" s="42"/>
      <c r="Q70" s="42"/>
      <c r="R70" s="42"/>
      <c r="S70" s="42"/>
      <c r="T70" s="44"/>
      <c r="U70" s="42"/>
      <c r="V70" s="43"/>
      <c r="W70" s="42"/>
      <c r="X70" s="42"/>
      <c r="Y70" s="42"/>
      <c r="Z70" s="42"/>
      <c r="AA70" s="42"/>
      <c r="AB70" s="42"/>
      <c r="AC70" s="42"/>
      <c r="AD70" s="44"/>
      <c r="AE70" s="45"/>
      <c r="AF70" s="31"/>
      <c r="AG70" s="31"/>
      <c r="AH70" s="31"/>
      <c r="AI70" s="31"/>
      <c r="AJ70" s="31"/>
      <c r="AK70" s="31"/>
      <c r="AL70" s="31"/>
      <c r="AM70" s="31"/>
      <c r="AN70" s="33"/>
      <c r="AO70" s="45"/>
      <c r="AP70" s="31"/>
      <c r="AQ70" s="31"/>
      <c r="AR70" s="31"/>
      <c r="AS70" s="31"/>
      <c r="AT70" s="31"/>
      <c r="AU70" s="31"/>
      <c r="AV70" s="31"/>
      <c r="AW70" s="31"/>
      <c r="AX70" s="33"/>
      <c r="AY70" s="45"/>
      <c r="AZ70" s="31"/>
      <c r="BA70" s="31"/>
      <c r="BB70" s="31"/>
      <c r="BC70" s="31"/>
      <c r="BD70" s="31"/>
      <c r="BE70" s="31"/>
      <c r="BF70" s="31"/>
      <c r="BG70" s="31"/>
      <c r="BH70" s="33"/>
      <c r="BI70" s="38"/>
      <c r="BJ70" s="31"/>
      <c r="BK70" s="31"/>
      <c r="BL70" s="31"/>
      <c r="BM70" s="31"/>
      <c r="BN70" s="31"/>
      <c r="BO70" s="31"/>
      <c r="BP70" s="31"/>
      <c r="BQ70" s="31"/>
      <c r="BR70" s="33"/>
    </row>
    <row r="71" spans="2:80" ht="1.5" hidden="1" customHeight="1" x14ac:dyDescent="0.3">
      <c r="B71" s="60"/>
      <c r="C71" s="39"/>
      <c r="D71" s="39"/>
      <c r="E71" s="39"/>
      <c r="F71" s="39"/>
      <c r="G71" s="39"/>
      <c r="H71" s="39"/>
      <c r="I71" s="39"/>
      <c r="J71" s="61"/>
      <c r="K71" s="31"/>
      <c r="L71" s="32"/>
      <c r="M71" s="31"/>
      <c r="N71" s="31"/>
      <c r="O71" s="31"/>
      <c r="P71" s="31"/>
      <c r="Q71" s="31"/>
      <c r="R71" s="31"/>
      <c r="S71" s="31"/>
      <c r="T71" s="33"/>
      <c r="U71" s="31"/>
      <c r="V71" s="60"/>
      <c r="W71" s="39"/>
      <c r="X71" s="39"/>
      <c r="Y71" s="39"/>
      <c r="Z71" s="39"/>
      <c r="AA71" s="39"/>
      <c r="AB71" s="39"/>
      <c r="AC71" s="39"/>
      <c r="AD71" s="61"/>
      <c r="AE71" s="38"/>
      <c r="AF71" s="47"/>
      <c r="AG71" s="47"/>
      <c r="AH71" s="47"/>
      <c r="AI71" s="47"/>
      <c r="AJ71" s="47"/>
      <c r="AK71" s="47"/>
      <c r="AL71" s="47"/>
      <c r="AM71" s="47"/>
      <c r="AN71" s="48"/>
      <c r="AO71" s="38"/>
      <c r="AP71" s="47"/>
      <c r="AQ71" s="47"/>
      <c r="AR71" s="47"/>
      <c r="AS71" s="47"/>
      <c r="AT71" s="47"/>
      <c r="AU71" s="47"/>
      <c r="AV71" s="47"/>
      <c r="AW71" s="47"/>
      <c r="AX71" s="48"/>
      <c r="AY71" s="38"/>
      <c r="AZ71" s="47"/>
      <c r="BA71" s="47"/>
      <c r="BB71" s="47"/>
      <c r="BC71" s="47"/>
      <c r="BD71" s="47"/>
      <c r="BE71" s="47"/>
      <c r="BF71" s="47"/>
      <c r="BG71" s="47"/>
      <c r="BH71" s="48"/>
      <c r="BI71" s="45"/>
      <c r="BJ71" s="47"/>
      <c r="BK71" s="47"/>
      <c r="BL71" s="47"/>
      <c r="BM71" s="47"/>
      <c r="BN71" s="47"/>
      <c r="BO71" s="47"/>
      <c r="BP71" s="47"/>
      <c r="BQ71" s="47"/>
      <c r="BR71" s="48"/>
    </row>
    <row r="72" spans="2:80" ht="9" customHeight="1" x14ac:dyDescent="0.3">
      <c r="B72" s="493" t="s">
        <v>519</v>
      </c>
      <c r="C72" s="494"/>
      <c r="D72" s="494"/>
      <c r="E72" s="494"/>
      <c r="F72" s="494"/>
      <c r="G72" s="494"/>
      <c r="H72" s="494"/>
      <c r="I72" s="494"/>
      <c r="J72" s="495"/>
      <c r="K72" s="31"/>
      <c r="L72" s="498" t="s">
        <v>519</v>
      </c>
      <c r="M72" s="499"/>
      <c r="N72" s="499"/>
      <c r="O72" s="499"/>
      <c r="P72" s="499"/>
      <c r="Q72" s="499"/>
      <c r="R72" s="499"/>
      <c r="S72" s="499"/>
      <c r="T72" s="500"/>
      <c r="U72" s="31"/>
      <c r="V72" s="493" t="s">
        <v>519</v>
      </c>
      <c r="W72" s="494"/>
      <c r="X72" s="494"/>
      <c r="Y72" s="494"/>
      <c r="Z72" s="494"/>
      <c r="AA72" s="494"/>
      <c r="AB72" s="494"/>
      <c r="AC72" s="494"/>
      <c r="AD72" s="495"/>
      <c r="AE72" s="38"/>
      <c r="AF72" s="31"/>
      <c r="AG72" s="31"/>
      <c r="AH72" s="31"/>
      <c r="AI72" s="31"/>
      <c r="AJ72" s="31"/>
      <c r="AK72" s="31"/>
      <c r="AL72" s="31"/>
      <c r="AM72" s="31"/>
      <c r="AN72" s="33"/>
      <c r="AO72" s="38"/>
      <c r="AP72" s="31"/>
      <c r="AQ72" s="31"/>
      <c r="AR72" s="31"/>
      <c r="AS72" s="31"/>
      <c r="AT72" s="31"/>
      <c r="AU72" s="31"/>
      <c r="AV72" s="31"/>
      <c r="AW72" s="31"/>
      <c r="AX72" s="33"/>
      <c r="AY72" s="38"/>
      <c r="AZ72" s="31"/>
      <c r="BA72" s="31"/>
      <c r="BB72" s="31"/>
      <c r="BC72" s="31"/>
      <c r="BD72" s="31"/>
      <c r="BE72" s="31"/>
      <c r="BF72" s="31"/>
      <c r="BG72" s="31"/>
      <c r="BH72" s="33"/>
      <c r="BI72" s="38"/>
      <c r="BJ72" s="31"/>
      <c r="BK72" s="31"/>
      <c r="BL72" s="31"/>
      <c r="BM72" s="31"/>
      <c r="BN72" s="31"/>
      <c r="BO72" s="31"/>
      <c r="BP72" s="31"/>
      <c r="BQ72" s="31"/>
      <c r="BR72" s="33"/>
    </row>
    <row r="73" spans="2:80" s="66" customFormat="1" ht="9" customHeight="1" x14ac:dyDescent="0.3">
      <c r="B73" s="496" t="s">
        <v>543</v>
      </c>
      <c r="C73" s="496"/>
      <c r="D73" s="496"/>
      <c r="E73" s="496"/>
      <c r="F73" s="496"/>
      <c r="G73" s="497">
        <f>CEILING(973*B3,1)</f>
        <v>1363</v>
      </c>
      <c r="H73" s="497"/>
      <c r="I73" s="497"/>
      <c r="J73" s="497"/>
      <c r="K73" s="67"/>
      <c r="L73" s="496" t="s">
        <v>543</v>
      </c>
      <c r="M73" s="496"/>
      <c r="N73" s="496"/>
      <c r="O73" s="496"/>
      <c r="P73" s="496"/>
      <c r="Q73" s="497">
        <f>CEILING(1097*B3,1)</f>
        <v>1536</v>
      </c>
      <c r="R73" s="497"/>
      <c r="S73" s="497"/>
      <c r="T73" s="497"/>
      <c r="U73" s="67"/>
      <c r="V73" s="496" t="s">
        <v>543</v>
      </c>
      <c r="W73" s="496"/>
      <c r="X73" s="496"/>
      <c r="Y73" s="496"/>
      <c r="Z73" s="496"/>
      <c r="AA73" s="497">
        <f>CEILING(1318*B3,1)</f>
        <v>1846</v>
      </c>
      <c r="AB73" s="497"/>
      <c r="AC73" s="497"/>
      <c r="AD73" s="497"/>
      <c r="AE73" s="67"/>
      <c r="AF73" s="496" t="s">
        <v>61</v>
      </c>
      <c r="AG73" s="496"/>
      <c r="AH73" s="496"/>
      <c r="AI73" s="496"/>
      <c r="AJ73" s="496"/>
      <c r="AK73" s="497">
        <f>CEILING(1674*B3,1)</f>
        <v>2344</v>
      </c>
      <c r="AL73" s="497"/>
      <c r="AM73" s="497"/>
      <c r="AN73" s="497"/>
      <c r="AO73" s="67"/>
      <c r="AP73" s="496" t="s">
        <v>61</v>
      </c>
      <c r="AQ73" s="496"/>
      <c r="AR73" s="496"/>
      <c r="AS73" s="496"/>
      <c r="AT73" s="496"/>
      <c r="AU73" s="497">
        <f>CEILING(1699*B3,1)</f>
        <v>2379</v>
      </c>
      <c r="AV73" s="497"/>
      <c r="AW73" s="497"/>
      <c r="AX73" s="497"/>
      <c r="AY73" s="67"/>
      <c r="AZ73" s="496" t="s">
        <v>61</v>
      </c>
      <c r="BA73" s="496"/>
      <c r="BB73" s="496"/>
      <c r="BC73" s="496"/>
      <c r="BD73" s="496"/>
      <c r="BE73" s="497">
        <f>CEILING(2130*B3,1)</f>
        <v>2982</v>
      </c>
      <c r="BF73" s="497"/>
      <c r="BG73" s="497"/>
      <c r="BH73" s="497"/>
      <c r="BI73" s="67"/>
      <c r="BJ73" s="496" t="s">
        <v>611</v>
      </c>
      <c r="BK73" s="496"/>
      <c r="BL73" s="496"/>
      <c r="BM73" s="496"/>
      <c r="BN73" s="496"/>
      <c r="BO73" s="497">
        <f>CEILING(2461*B3,1)</f>
        <v>3446</v>
      </c>
      <c r="BP73" s="497"/>
      <c r="BQ73" s="497"/>
      <c r="BR73" s="497"/>
    </row>
    <row r="74" spans="2:80" ht="1.5" customHeight="1" x14ac:dyDescent="0.3"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</row>
    <row r="75" spans="2:80" ht="9" customHeight="1" x14ac:dyDescent="0.3">
      <c r="B75" s="501" t="s">
        <v>544</v>
      </c>
      <c r="C75" s="502"/>
      <c r="D75" s="503"/>
      <c r="E75" s="499" t="s">
        <v>551</v>
      </c>
      <c r="F75" s="499"/>
      <c r="G75" s="499"/>
      <c r="H75" s="499"/>
      <c r="I75" s="499"/>
      <c r="J75" s="500"/>
      <c r="K75" s="31"/>
      <c r="L75" s="501" t="s">
        <v>545</v>
      </c>
      <c r="M75" s="502"/>
      <c r="N75" s="503"/>
      <c r="O75" s="499" t="s">
        <v>551</v>
      </c>
      <c r="P75" s="499"/>
      <c r="Q75" s="499"/>
      <c r="R75" s="499"/>
      <c r="S75" s="499"/>
      <c r="T75" s="500"/>
      <c r="U75" s="31"/>
      <c r="V75" s="501" t="s">
        <v>546</v>
      </c>
      <c r="W75" s="502"/>
      <c r="X75" s="503"/>
      <c r="Y75" s="499" t="s">
        <v>551</v>
      </c>
      <c r="Z75" s="499"/>
      <c r="AA75" s="499"/>
      <c r="AB75" s="499"/>
      <c r="AC75" s="499"/>
      <c r="AD75" s="500"/>
      <c r="AE75" s="31"/>
      <c r="AF75" s="501" t="s">
        <v>547</v>
      </c>
      <c r="AG75" s="502"/>
      <c r="AH75" s="503"/>
      <c r="AI75" s="499" t="s">
        <v>552</v>
      </c>
      <c r="AJ75" s="499"/>
      <c r="AK75" s="499"/>
      <c r="AL75" s="499"/>
      <c r="AM75" s="499"/>
      <c r="AN75" s="500"/>
      <c r="AO75" s="31"/>
      <c r="AP75" s="501" t="s">
        <v>548</v>
      </c>
      <c r="AQ75" s="502"/>
      <c r="AR75" s="503"/>
      <c r="AS75" s="499" t="s">
        <v>552</v>
      </c>
      <c r="AT75" s="499"/>
      <c r="AU75" s="499"/>
      <c r="AV75" s="499"/>
      <c r="AW75" s="499"/>
      <c r="AX75" s="500"/>
      <c r="AY75" s="31"/>
      <c r="AZ75" s="501" t="s">
        <v>549</v>
      </c>
      <c r="BA75" s="502"/>
      <c r="BB75" s="503"/>
      <c r="BC75" s="499" t="s">
        <v>524</v>
      </c>
      <c r="BD75" s="499"/>
      <c r="BE75" s="499"/>
      <c r="BF75" s="499"/>
      <c r="BG75" s="499"/>
      <c r="BH75" s="500"/>
      <c r="BI75" s="42"/>
      <c r="BJ75" s="501" t="s">
        <v>550</v>
      </c>
      <c r="BK75" s="502"/>
      <c r="BL75" s="503"/>
      <c r="BM75" s="499" t="s">
        <v>524</v>
      </c>
      <c r="BN75" s="499"/>
      <c r="BO75" s="499"/>
      <c r="BP75" s="499"/>
      <c r="BQ75" s="499"/>
      <c r="BR75" s="500"/>
      <c r="BT75" s="470"/>
      <c r="BU75" s="470"/>
      <c r="BV75" s="470"/>
      <c r="BW75" s="470"/>
      <c r="BX75" s="470"/>
      <c r="BY75" s="470"/>
      <c r="BZ75" s="470"/>
      <c r="CA75" s="470"/>
      <c r="CB75" s="470"/>
    </row>
    <row r="76" spans="2:80" s="34" customFormat="1" ht="9" customHeight="1" x14ac:dyDescent="0.3">
      <c r="B76" s="35"/>
      <c r="C76" s="36"/>
      <c r="D76" s="36"/>
      <c r="E76" s="36"/>
      <c r="F76" s="36"/>
      <c r="G76" s="36"/>
      <c r="H76" s="36"/>
      <c r="I76" s="36"/>
      <c r="J76" s="37"/>
      <c r="K76" s="36"/>
      <c r="L76" s="35"/>
      <c r="M76" s="36"/>
      <c r="N76" s="36"/>
      <c r="O76" s="36"/>
      <c r="P76" s="36"/>
      <c r="Q76" s="36"/>
      <c r="R76" s="36"/>
      <c r="S76" s="36"/>
      <c r="T76" s="37"/>
      <c r="U76" s="36"/>
      <c r="V76" s="35"/>
      <c r="W76" s="36"/>
      <c r="X76" s="36"/>
      <c r="Y76" s="36"/>
      <c r="Z76" s="36"/>
      <c r="AA76" s="36"/>
      <c r="AB76" s="36"/>
      <c r="AC76" s="36"/>
      <c r="AD76" s="37"/>
      <c r="AE76" s="36"/>
      <c r="AF76" s="35"/>
      <c r="AG76" s="36"/>
      <c r="AH76" s="36"/>
      <c r="AI76" s="36"/>
      <c r="AJ76" s="36"/>
      <c r="AK76" s="36"/>
      <c r="AL76" s="36"/>
      <c r="AM76" s="36"/>
      <c r="AN76" s="37"/>
      <c r="AO76" s="36"/>
      <c r="AP76" s="35"/>
      <c r="AQ76" s="36"/>
      <c r="AR76" s="36"/>
      <c r="AS76" s="36"/>
      <c r="AT76" s="36"/>
      <c r="AU76" s="36"/>
      <c r="AV76" s="36"/>
      <c r="AW76" s="36"/>
      <c r="AX76" s="37"/>
      <c r="AY76" s="36"/>
      <c r="AZ76" s="493" t="s">
        <v>553</v>
      </c>
      <c r="BA76" s="494"/>
      <c r="BB76" s="494"/>
      <c r="BC76" s="494"/>
      <c r="BD76" s="494"/>
      <c r="BE76" s="494"/>
      <c r="BF76" s="494"/>
      <c r="BG76" s="494"/>
      <c r="BH76" s="495"/>
      <c r="BI76" s="37"/>
      <c r="BJ76" s="493" t="s">
        <v>554</v>
      </c>
      <c r="BK76" s="494"/>
      <c r="BL76" s="494"/>
      <c r="BM76" s="494"/>
      <c r="BN76" s="494"/>
      <c r="BO76" s="494"/>
      <c r="BP76" s="494"/>
      <c r="BQ76" s="494"/>
      <c r="BR76" s="495"/>
    </row>
    <row r="77" spans="2:80" ht="9" customHeight="1" x14ac:dyDescent="0.3">
      <c r="B77" s="35"/>
      <c r="C77" s="36"/>
      <c r="D77" s="36"/>
      <c r="E77" s="36"/>
      <c r="F77" s="36"/>
      <c r="G77" s="36"/>
      <c r="H77" s="36"/>
      <c r="I77" s="36"/>
      <c r="J77" s="37"/>
      <c r="K77" s="31"/>
      <c r="L77" s="35"/>
      <c r="M77" s="36"/>
      <c r="N77" s="36"/>
      <c r="O77" s="36"/>
      <c r="P77" s="36"/>
      <c r="Q77" s="36"/>
      <c r="R77" s="36"/>
      <c r="S77" s="36"/>
      <c r="T77" s="37"/>
      <c r="U77" s="31"/>
      <c r="V77" s="35"/>
      <c r="W77" s="36"/>
      <c r="X77" s="36"/>
      <c r="Y77" s="36"/>
      <c r="Z77" s="36"/>
      <c r="AA77" s="36"/>
      <c r="AB77" s="36"/>
      <c r="AC77" s="36"/>
      <c r="AD77" s="37"/>
      <c r="AE77" s="31"/>
      <c r="AF77" s="35"/>
      <c r="AG77" s="36"/>
      <c r="AH77" s="36"/>
      <c r="AI77" s="36"/>
      <c r="AJ77" s="36"/>
      <c r="AK77" s="36"/>
      <c r="AL77" s="36"/>
      <c r="AM77" s="36"/>
      <c r="AN77" s="37"/>
      <c r="AO77" s="31"/>
      <c r="AP77" s="35"/>
      <c r="AQ77" s="36"/>
      <c r="AR77" s="36"/>
      <c r="AS77" s="36"/>
      <c r="AT77" s="36"/>
      <c r="AU77" s="36"/>
      <c r="AV77" s="36"/>
      <c r="AW77" s="36"/>
      <c r="AX77" s="37"/>
      <c r="AY77" s="31"/>
      <c r="AZ77" s="35"/>
      <c r="BA77" s="36"/>
      <c r="BB77" s="36"/>
      <c r="BC77" s="36"/>
      <c r="BD77" s="36"/>
      <c r="BE77" s="36"/>
      <c r="BF77" s="36"/>
      <c r="BG77" s="36"/>
      <c r="BH77" s="37"/>
      <c r="BI77" s="44"/>
      <c r="BJ77" s="35"/>
      <c r="BK77" s="36"/>
      <c r="BL77" s="36"/>
      <c r="BM77" s="36"/>
      <c r="BN77" s="36"/>
      <c r="BO77" s="36"/>
      <c r="BP77" s="36"/>
      <c r="BQ77" s="36"/>
      <c r="BR77" s="37"/>
      <c r="BT77" s="50"/>
      <c r="BU77" s="50"/>
      <c r="BV77" s="50"/>
      <c r="BW77" s="34"/>
      <c r="BX77" s="34"/>
      <c r="BY77" s="34"/>
      <c r="BZ77" s="34"/>
      <c r="CA77" s="34"/>
      <c r="CB77" s="34"/>
    </row>
    <row r="78" spans="2:80" ht="9" customHeight="1" x14ac:dyDescent="0.3">
      <c r="B78" s="35"/>
      <c r="C78" s="36"/>
      <c r="D78" s="36"/>
      <c r="E78" s="36"/>
      <c r="F78" s="36"/>
      <c r="G78" s="36"/>
      <c r="H78" s="36"/>
      <c r="I78" s="36"/>
      <c r="J78" s="37"/>
      <c r="K78" s="31"/>
      <c r="L78" s="35"/>
      <c r="M78" s="36"/>
      <c r="N78" s="36"/>
      <c r="O78" s="36"/>
      <c r="P78" s="36"/>
      <c r="Q78" s="36"/>
      <c r="R78" s="36"/>
      <c r="S78" s="36"/>
      <c r="T78" s="37"/>
      <c r="U78" s="31"/>
      <c r="V78" s="35"/>
      <c r="W78" s="36"/>
      <c r="X78" s="36"/>
      <c r="Y78" s="36"/>
      <c r="Z78" s="36"/>
      <c r="AA78" s="36"/>
      <c r="AB78" s="36"/>
      <c r="AC78" s="36"/>
      <c r="AD78" s="37"/>
      <c r="AE78" s="31"/>
      <c r="AF78" s="35"/>
      <c r="AG78" s="36"/>
      <c r="AH78" s="36"/>
      <c r="AI78" s="36"/>
      <c r="AJ78" s="36"/>
      <c r="AK78" s="36"/>
      <c r="AL78" s="36"/>
      <c r="AM78" s="36"/>
      <c r="AN78" s="37"/>
      <c r="AO78" s="31"/>
      <c r="AP78" s="35"/>
      <c r="AQ78" s="36"/>
      <c r="AR78" s="36"/>
      <c r="AS78" s="36"/>
      <c r="AT78" s="36"/>
      <c r="AU78" s="36"/>
      <c r="AV78" s="36"/>
      <c r="AW78" s="36"/>
      <c r="AX78" s="37"/>
      <c r="AY78" s="31"/>
      <c r="AZ78" s="35"/>
      <c r="BA78" s="36"/>
      <c r="BB78" s="36"/>
      <c r="BC78" s="36"/>
      <c r="BD78" s="36"/>
      <c r="BE78" s="36"/>
      <c r="BF78" s="36"/>
      <c r="BG78" s="36"/>
      <c r="BH78" s="37"/>
      <c r="BI78" s="44"/>
      <c r="BJ78" s="35"/>
      <c r="BK78" s="36"/>
      <c r="BL78" s="36"/>
      <c r="BM78" s="36"/>
      <c r="BN78" s="36"/>
      <c r="BO78" s="36"/>
      <c r="BP78" s="36"/>
      <c r="BQ78" s="36"/>
      <c r="BR78" s="37"/>
      <c r="BT78" s="50"/>
      <c r="BU78" s="50"/>
      <c r="BV78" s="50"/>
      <c r="BW78" s="34"/>
      <c r="BX78" s="34"/>
      <c r="BY78" s="34"/>
      <c r="BZ78" s="34"/>
      <c r="CA78" s="34"/>
      <c r="CB78" s="34"/>
    </row>
    <row r="79" spans="2:80" ht="9" customHeight="1" x14ac:dyDescent="0.3">
      <c r="B79" s="32"/>
      <c r="C79" s="31"/>
      <c r="D79" s="31"/>
      <c r="E79" s="31"/>
      <c r="F79" s="31"/>
      <c r="G79" s="31"/>
      <c r="H79" s="31"/>
      <c r="I79" s="31"/>
      <c r="J79" s="33"/>
      <c r="K79" s="31"/>
      <c r="L79" s="32"/>
      <c r="M79" s="31"/>
      <c r="N79" s="31"/>
      <c r="O79" s="31"/>
      <c r="P79" s="31"/>
      <c r="Q79" s="31"/>
      <c r="R79" s="31"/>
      <c r="S79" s="31"/>
      <c r="T79" s="33"/>
      <c r="U79" s="31"/>
      <c r="V79" s="32"/>
      <c r="W79" s="31"/>
      <c r="X79" s="31"/>
      <c r="Y79" s="31"/>
      <c r="Z79" s="31"/>
      <c r="AA79" s="31"/>
      <c r="AB79" s="31"/>
      <c r="AC79" s="31"/>
      <c r="AD79" s="33"/>
      <c r="AE79" s="31"/>
      <c r="AF79" s="32"/>
      <c r="AG79" s="31"/>
      <c r="AH79" s="31"/>
      <c r="AI79" s="31"/>
      <c r="AJ79" s="31"/>
      <c r="AK79" s="31"/>
      <c r="AL79" s="31"/>
      <c r="AM79" s="31"/>
      <c r="AN79" s="33"/>
      <c r="AO79" s="31"/>
      <c r="AP79" s="32"/>
      <c r="AQ79" s="31"/>
      <c r="AR79" s="31"/>
      <c r="AS79" s="31"/>
      <c r="AT79" s="31"/>
      <c r="AU79" s="31"/>
      <c r="AV79" s="31"/>
      <c r="AW79" s="31"/>
      <c r="AX79" s="33"/>
      <c r="AY79" s="31"/>
      <c r="AZ79" s="32"/>
      <c r="BA79" s="31"/>
      <c r="BB79" s="31"/>
      <c r="BC79" s="31"/>
      <c r="BD79" s="31"/>
      <c r="BE79" s="31"/>
      <c r="BF79" s="31"/>
      <c r="BG79" s="31"/>
      <c r="BH79" s="33"/>
      <c r="BI79" s="44"/>
      <c r="BJ79" s="32"/>
      <c r="BK79" s="31"/>
      <c r="BL79" s="31"/>
      <c r="BM79" s="31"/>
      <c r="BN79" s="31"/>
      <c r="BO79" s="31"/>
      <c r="BP79" s="31"/>
      <c r="BQ79" s="31"/>
      <c r="BR79" s="33"/>
      <c r="BT79" s="50"/>
      <c r="BU79" s="50"/>
      <c r="BV79" s="50"/>
      <c r="BW79" s="34"/>
      <c r="BX79" s="34"/>
      <c r="BY79" s="34"/>
      <c r="BZ79" s="34"/>
      <c r="CA79" s="34"/>
      <c r="CB79" s="34"/>
    </row>
    <row r="80" spans="2:80" ht="9" customHeight="1" x14ac:dyDescent="0.3">
      <c r="B80" s="43"/>
      <c r="C80" s="42"/>
      <c r="D80" s="42"/>
      <c r="E80" s="42"/>
      <c r="F80" s="42"/>
      <c r="G80" s="42"/>
      <c r="H80" s="42"/>
      <c r="I80" s="42"/>
      <c r="J80" s="44"/>
      <c r="K80" s="31"/>
      <c r="L80" s="43"/>
      <c r="M80" s="42"/>
      <c r="N80" s="42"/>
      <c r="O80" s="42"/>
      <c r="P80" s="42"/>
      <c r="Q80" s="42"/>
      <c r="R80" s="42"/>
      <c r="S80" s="42"/>
      <c r="T80" s="44"/>
      <c r="U80" s="31"/>
      <c r="V80" s="43"/>
      <c r="W80" s="42"/>
      <c r="X80" s="42"/>
      <c r="Y80" s="42"/>
      <c r="Z80" s="42"/>
      <c r="AA80" s="42"/>
      <c r="AB80" s="42"/>
      <c r="AC80" s="42"/>
      <c r="AD80" s="44"/>
      <c r="AE80" s="31"/>
      <c r="AF80" s="43"/>
      <c r="AG80" s="42"/>
      <c r="AH80" s="42"/>
      <c r="AI80" s="42"/>
      <c r="AJ80" s="42"/>
      <c r="AK80" s="42"/>
      <c r="AL80" s="42"/>
      <c r="AM80" s="42"/>
      <c r="AN80" s="44"/>
      <c r="AO80" s="31"/>
      <c r="AP80" s="43"/>
      <c r="AQ80" s="42"/>
      <c r="AR80" s="42"/>
      <c r="AS80" s="42"/>
      <c r="AT80" s="42"/>
      <c r="AU80" s="42"/>
      <c r="AV80" s="42"/>
      <c r="AW80" s="42"/>
      <c r="AX80" s="44"/>
      <c r="AY80" s="31"/>
      <c r="AZ80" s="43"/>
      <c r="BA80" s="42"/>
      <c r="BB80" s="42"/>
      <c r="BC80" s="42"/>
      <c r="BD80" s="42"/>
      <c r="BE80" s="42"/>
      <c r="BF80" s="42"/>
      <c r="BG80" s="42"/>
      <c r="BH80" s="44"/>
      <c r="BI80" s="44"/>
      <c r="BJ80" s="43"/>
      <c r="BK80" s="42"/>
      <c r="BL80" s="42"/>
      <c r="BM80" s="42"/>
      <c r="BN80" s="42"/>
      <c r="BO80" s="42"/>
      <c r="BP80" s="42"/>
      <c r="BQ80" s="42"/>
      <c r="BR80" s="44"/>
      <c r="BT80" s="50"/>
      <c r="BU80" s="50"/>
      <c r="BV80" s="50"/>
      <c r="BW80" s="34"/>
      <c r="BX80" s="34"/>
      <c r="BY80" s="34"/>
      <c r="BZ80" s="34"/>
      <c r="CA80" s="34"/>
      <c r="CB80" s="34"/>
    </row>
    <row r="81" spans="2:80" ht="9" customHeight="1" x14ac:dyDescent="0.3">
      <c r="B81" s="43"/>
      <c r="C81" s="42"/>
      <c r="D81" s="42"/>
      <c r="E81" s="42"/>
      <c r="F81" s="42"/>
      <c r="G81" s="42"/>
      <c r="H81" s="42"/>
      <c r="I81" s="42"/>
      <c r="J81" s="44"/>
      <c r="K81" s="31"/>
      <c r="L81" s="43"/>
      <c r="M81" s="42"/>
      <c r="N81" s="42"/>
      <c r="O81" s="42"/>
      <c r="P81" s="42"/>
      <c r="Q81" s="42"/>
      <c r="R81" s="42"/>
      <c r="S81" s="42"/>
      <c r="T81" s="44"/>
      <c r="U81" s="31"/>
      <c r="V81" s="43"/>
      <c r="W81" s="42"/>
      <c r="X81" s="42"/>
      <c r="Y81" s="42"/>
      <c r="Z81" s="42"/>
      <c r="AA81" s="42"/>
      <c r="AB81" s="42"/>
      <c r="AC81" s="42"/>
      <c r="AD81" s="44"/>
      <c r="AE81" s="31"/>
      <c r="AF81" s="43"/>
      <c r="AG81" s="42"/>
      <c r="AH81" s="42"/>
      <c r="AI81" s="42"/>
      <c r="AJ81" s="42"/>
      <c r="AK81" s="42"/>
      <c r="AL81" s="42"/>
      <c r="AM81" s="42"/>
      <c r="AN81" s="44"/>
      <c r="AO81" s="31"/>
      <c r="AP81" s="43"/>
      <c r="AQ81" s="42"/>
      <c r="AR81" s="42"/>
      <c r="AS81" s="42"/>
      <c r="AT81" s="42"/>
      <c r="AU81" s="42"/>
      <c r="AV81" s="42"/>
      <c r="AW81" s="42"/>
      <c r="AX81" s="44"/>
      <c r="AY81" s="31"/>
      <c r="AZ81" s="43"/>
      <c r="BA81" s="42"/>
      <c r="BB81" s="42"/>
      <c r="BC81" s="42"/>
      <c r="BD81" s="42"/>
      <c r="BE81" s="42"/>
      <c r="BF81" s="42"/>
      <c r="BG81" s="42"/>
      <c r="BH81" s="44"/>
      <c r="BI81" s="44"/>
      <c r="BJ81" s="43"/>
      <c r="BK81" s="42"/>
      <c r="BL81" s="42"/>
      <c r="BM81" s="42"/>
      <c r="BN81" s="42"/>
      <c r="BO81" s="42"/>
      <c r="BP81" s="42"/>
      <c r="BQ81" s="42"/>
      <c r="BR81" s="44"/>
      <c r="BT81" s="50"/>
      <c r="BU81" s="50"/>
      <c r="BV81" s="50"/>
      <c r="BW81" s="34"/>
      <c r="BX81" s="34"/>
      <c r="BY81" s="34"/>
      <c r="BZ81" s="34"/>
      <c r="CA81" s="34"/>
      <c r="CB81" s="34"/>
    </row>
    <row r="82" spans="2:80" ht="9" customHeight="1" x14ac:dyDescent="0.3">
      <c r="B82" s="43"/>
      <c r="C82" s="42"/>
      <c r="D82" s="42"/>
      <c r="E82" s="42"/>
      <c r="F82" s="42"/>
      <c r="G82" s="42"/>
      <c r="H82" s="42"/>
      <c r="I82" s="42"/>
      <c r="J82" s="44"/>
      <c r="K82" s="31"/>
      <c r="L82" s="43"/>
      <c r="M82" s="42"/>
      <c r="N82" s="42"/>
      <c r="O82" s="42"/>
      <c r="P82" s="42"/>
      <c r="Q82" s="42"/>
      <c r="R82" s="42"/>
      <c r="S82" s="42"/>
      <c r="T82" s="44"/>
      <c r="U82" s="31"/>
      <c r="V82" s="43"/>
      <c r="W82" s="42"/>
      <c r="X82" s="42"/>
      <c r="Y82" s="42"/>
      <c r="Z82" s="42"/>
      <c r="AA82" s="42"/>
      <c r="AB82" s="42"/>
      <c r="AC82" s="42"/>
      <c r="AD82" s="44"/>
      <c r="AE82" s="31"/>
      <c r="AF82" s="43"/>
      <c r="AG82" s="42"/>
      <c r="AH82" s="42"/>
      <c r="AI82" s="42"/>
      <c r="AJ82" s="42"/>
      <c r="AK82" s="42"/>
      <c r="AL82" s="42"/>
      <c r="AM82" s="42"/>
      <c r="AN82" s="44"/>
      <c r="AO82" s="31"/>
      <c r="AP82" s="43"/>
      <c r="AQ82" s="42"/>
      <c r="AR82" s="42"/>
      <c r="AS82" s="42"/>
      <c r="AT82" s="42"/>
      <c r="AU82" s="42"/>
      <c r="AV82" s="42"/>
      <c r="AW82" s="42"/>
      <c r="AX82" s="44"/>
      <c r="AY82" s="31"/>
      <c r="AZ82" s="43"/>
      <c r="BA82" s="42"/>
      <c r="BB82" s="42"/>
      <c r="BC82" s="42"/>
      <c r="BD82" s="42"/>
      <c r="BE82" s="42"/>
      <c r="BF82" s="42"/>
      <c r="BG82" s="42"/>
      <c r="BH82" s="44"/>
      <c r="BI82" s="44"/>
      <c r="BJ82" s="43"/>
      <c r="BK82" s="42"/>
      <c r="BL82" s="42"/>
      <c r="BM82" s="42"/>
      <c r="BN82" s="42"/>
      <c r="BO82" s="42"/>
      <c r="BP82" s="42"/>
      <c r="BQ82" s="42"/>
      <c r="BR82" s="44"/>
      <c r="BT82" s="50"/>
      <c r="BU82" s="50"/>
      <c r="BV82" s="50"/>
      <c r="BW82" s="50"/>
      <c r="BX82" s="50"/>
      <c r="BY82" s="50"/>
      <c r="BZ82" s="50"/>
      <c r="CA82" s="50"/>
      <c r="CB82" s="50"/>
    </row>
    <row r="83" spans="2:80" ht="9" customHeight="1" x14ac:dyDescent="0.3">
      <c r="B83" s="43"/>
      <c r="C83" s="42"/>
      <c r="D83" s="42"/>
      <c r="E83" s="42"/>
      <c r="F83" s="42"/>
      <c r="G83" s="42"/>
      <c r="H83" s="42"/>
      <c r="I83" s="42"/>
      <c r="J83" s="44"/>
      <c r="K83" s="31"/>
      <c r="L83" s="43"/>
      <c r="M83" s="42"/>
      <c r="N83" s="42"/>
      <c r="O83" s="42"/>
      <c r="P83" s="42"/>
      <c r="Q83" s="42"/>
      <c r="R83" s="42"/>
      <c r="S83" s="42"/>
      <c r="T83" s="44"/>
      <c r="U83" s="31"/>
      <c r="V83" s="43"/>
      <c r="W83" s="42"/>
      <c r="X83" s="42"/>
      <c r="Y83" s="42"/>
      <c r="Z83" s="42"/>
      <c r="AA83" s="42"/>
      <c r="AB83" s="42"/>
      <c r="AC83" s="42"/>
      <c r="AD83" s="44"/>
      <c r="AE83" s="31"/>
      <c r="AF83" s="43"/>
      <c r="AG83" s="42"/>
      <c r="AH83" s="42"/>
      <c r="AI83" s="42"/>
      <c r="AJ83" s="42"/>
      <c r="AK83" s="42"/>
      <c r="AL83" s="42"/>
      <c r="AM83" s="42"/>
      <c r="AN83" s="44"/>
      <c r="AO83" s="31"/>
      <c r="AP83" s="43"/>
      <c r="AQ83" s="42"/>
      <c r="AR83" s="42"/>
      <c r="AS83" s="42"/>
      <c r="AT83" s="42"/>
      <c r="AU83" s="42"/>
      <c r="AV83" s="42"/>
      <c r="AW83" s="42"/>
      <c r="AX83" s="44"/>
      <c r="AY83" s="31"/>
      <c r="AZ83" s="43"/>
      <c r="BA83" s="42"/>
      <c r="BB83" s="42"/>
      <c r="BC83" s="42"/>
      <c r="BD83" s="42"/>
      <c r="BE83" s="42"/>
      <c r="BF83" s="42"/>
      <c r="BG83" s="42"/>
      <c r="BH83" s="44"/>
      <c r="BI83" s="44"/>
      <c r="BJ83" s="43"/>
      <c r="BK83" s="42"/>
      <c r="BL83" s="42"/>
      <c r="BM83" s="42"/>
      <c r="BN83" s="42"/>
      <c r="BO83" s="42"/>
      <c r="BP83" s="42"/>
      <c r="BQ83" s="42"/>
      <c r="BR83" s="44"/>
      <c r="BT83" s="50"/>
      <c r="BU83" s="50"/>
      <c r="BV83" s="50"/>
      <c r="BW83" s="50"/>
      <c r="BX83" s="50"/>
      <c r="BY83" s="50"/>
      <c r="BZ83" s="50"/>
      <c r="CA83" s="50"/>
      <c r="CB83" s="50"/>
    </row>
    <row r="84" spans="2:80" ht="9" customHeight="1" x14ac:dyDescent="0.3">
      <c r="B84" s="43"/>
      <c r="C84" s="42"/>
      <c r="D84" s="42"/>
      <c r="E84" s="42"/>
      <c r="F84" s="42"/>
      <c r="G84" s="42"/>
      <c r="H84" s="42"/>
      <c r="I84" s="42"/>
      <c r="J84" s="44"/>
      <c r="K84" s="31"/>
      <c r="L84" s="43"/>
      <c r="M84" s="42"/>
      <c r="N84" s="42"/>
      <c r="O84" s="42"/>
      <c r="P84" s="42"/>
      <c r="Q84" s="42"/>
      <c r="R84" s="42"/>
      <c r="S84" s="42"/>
      <c r="T84" s="44"/>
      <c r="U84" s="31"/>
      <c r="V84" s="43"/>
      <c r="W84" s="42"/>
      <c r="X84" s="42"/>
      <c r="Y84" s="42"/>
      <c r="Z84" s="42"/>
      <c r="AA84" s="42"/>
      <c r="AB84" s="42"/>
      <c r="AC84" s="42"/>
      <c r="AD84" s="44"/>
      <c r="AE84" s="31"/>
      <c r="AF84" s="43"/>
      <c r="AG84" s="42"/>
      <c r="AH84" s="42"/>
      <c r="AI84" s="42"/>
      <c r="AJ84" s="42"/>
      <c r="AK84" s="42"/>
      <c r="AL84" s="42"/>
      <c r="AM84" s="42"/>
      <c r="AN84" s="44"/>
      <c r="AO84" s="31"/>
      <c r="AP84" s="43"/>
      <c r="AQ84" s="42"/>
      <c r="AR84" s="42"/>
      <c r="AS84" s="42"/>
      <c r="AT84" s="42"/>
      <c r="AU84" s="42"/>
      <c r="AV84" s="42"/>
      <c r="AW84" s="42"/>
      <c r="AX84" s="44"/>
      <c r="AY84" s="31"/>
      <c r="AZ84" s="43"/>
      <c r="BA84" s="42"/>
      <c r="BB84" s="42"/>
      <c r="BC84" s="42"/>
      <c r="BD84" s="42"/>
      <c r="BE84" s="42"/>
      <c r="BF84" s="42"/>
      <c r="BG84" s="42"/>
      <c r="BH84" s="44"/>
      <c r="BI84" s="44"/>
      <c r="BJ84" s="43"/>
      <c r="BK84" s="42"/>
      <c r="BL84" s="42"/>
      <c r="BM84" s="42"/>
      <c r="BN84" s="42"/>
      <c r="BO84" s="42"/>
      <c r="BP84" s="42"/>
      <c r="BQ84" s="42"/>
      <c r="BR84" s="44"/>
      <c r="BT84" s="50"/>
      <c r="BU84" s="50"/>
      <c r="BV84" s="50"/>
      <c r="BW84" s="50"/>
      <c r="BX84" s="50"/>
      <c r="BY84" s="50"/>
      <c r="BZ84" s="50"/>
      <c r="CA84" s="50"/>
      <c r="CB84" s="50"/>
    </row>
    <row r="85" spans="2:80" ht="9" customHeight="1" x14ac:dyDescent="0.3">
      <c r="B85" s="32"/>
      <c r="C85" s="31"/>
      <c r="D85" s="31"/>
      <c r="E85" s="31"/>
      <c r="F85" s="31"/>
      <c r="G85" s="31"/>
      <c r="H85" s="31"/>
      <c r="I85" s="31"/>
      <c r="J85" s="33"/>
      <c r="K85" s="31"/>
      <c r="L85" s="32"/>
      <c r="M85" s="31"/>
      <c r="N85" s="31"/>
      <c r="O85" s="31"/>
      <c r="P85" s="31"/>
      <c r="Q85" s="31"/>
      <c r="R85" s="31"/>
      <c r="S85" s="31"/>
      <c r="T85" s="33"/>
      <c r="U85" s="31"/>
      <c r="V85" s="32"/>
      <c r="W85" s="31"/>
      <c r="X85" s="31"/>
      <c r="Y85" s="31"/>
      <c r="Z85" s="31"/>
      <c r="AA85" s="31"/>
      <c r="AB85" s="31"/>
      <c r="AC85" s="31"/>
      <c r="AD85" s="33"/>
      <c r="AE85" s="31"/>
      <c r="AF85" s="32"/>
      <c r="AG85" s="31"/>
      <c r="AH85" s="31"/>
      <c r="AI85" s="31"/>
      <c r="AJ85" s="31"/>
      <c r="AK85" s="31"/>
      <c r="AL85" s="31"/>
      <c r="AM85" s="31"/>
      <c r="AN85" s="33"/>
      <c r="AO85" s="31"/>
      <c r="AP85" s="32"/>
      <c r="AQ85" s="31"/>
      <c r="AR85" s="31"/>
      <c r="AS85" s="31"/>
      <c r="AT85" s="31"/>
      <c r="AU85" s="31"/>
      <c r="AV85" s="31"/>
      <c r="AW85" s="31"/>
      <c r="AX85" s="33"/>
      <c r="AY85" s="31"/>
      <c r="AZ85" s="32"/>
      <c r="BA85" s="31"/>
      <c r="BB85" s="31"/>
      <c r="BC85" s="31"/>
      <c r="BD85" s="31"/>
      <c r="BE85" s="31"/>
      <c r="BF85" s="31"/>
      <c r="BG85" s="31"/>
      <c r="BH85" s="33"/>
      <c r="BI85" s="33"/>
      <c r="BJ85" s="32"/>
      <c r="BK85" s="31"/>
      <c r="BL85" s="31"/>
      <c r="BM85" s="31"/>
      <c r="BN85" s="31"/>
      <c r="BO85" s="31"/>
      <c r="BP85" s="31"/>
      <c r="BQ85" s="31"/>
      <c r="BR85" s="33"/>
      <c r="BT85" s="50"/>
      <c r="BU85" s="50"/>
      <c r="BV85" s="50"/>
      <c r="BW85" s="50"/>
      <c r="BX85" s="50"/>
      <c r="BY85" s="50"/>
      <c r="BZ85" s="50"/>
      <c r="CA85" s="50"/>
      <c r="CB85" s="50"/>
    </row>
    <row r="86" spans="2:80" ht="9" customHeight="1" x14ac:dyDescent="0.3">
      <c r="B86" s="49"/>
      <c r="C86" s="47"/>
      <c r="D86" s="47"/>
      <c r="E86" s="47"/>
      <c r="F86" s="47"/>
      <c r="G86" s="47"/>
      <c r="H86" s="47"/>
      <c r="I86" s="47"/>
      <c r="J86" s="48"/>
      <c r="K86" s="31"/>
      <c r="L86" s="49"/>
      <c r="M86" s="47"/>
      <c r="N86" s="47"/>
      <c r="O86" s="47"/>
      <c r="P86" s="47"/>
      <c r="Q86" s="47"/>
      <c r="R86" s="47"/>
      <c r="S86" s="47"/>
      <c r="T86" s="48"/>
      <c r="U86" s="31"/>
      <c r="V86" s="49"/>
      <c r="W86" s="47"/>
      <c r="X86" s="47"/>
      <c r="Y86" s="47"/>
      <c r="Z86" s="47"/>
      <c r="AA86" s="47"/>
      <c r="AB86" s="47"/>
      <c r="AC86" s="47"/>
      <c r="AD86" s="48"/>
      <c r="AE86" s="31"/>
      <c r="AF86" s="49"/>
      <c r="AG86" s="47"/>
      <c r="AH86" s="47"/>
      <c r="AI86" s="47"/>
      <c r="AJ86" s="47"/>
      <c r="AK86" s="47"/>
      <c r="AL86" s="47"/>
      <c r="AM86" s="47"/>
      <c r="AN86" s="48"/>
      <c r="AO86" s="31"/>
      <c r="AP86" s="49"/>
      <c r="AQ86" s="47"/>
      <c r="AR86" s="47"/>
      <c r="AS86" s="47"/>
      <c r="AT86" s="47"/>
      <c r="AU86" s="47"/>
      <c r="AV86" s="47"/>
      <c r="AW86" s="47"/>
      <c r="AX86" s="48"/>
      <c r="AY86" s="31"/>
      <c r="AZ86" s="49"/>
      <c r="BA86" s="47"/>
      <c r="BB86" s="47"/>
      <c r="BC86" s="47"/>
      <c r="BD86" s="47"/>
      <c r="BE86" s="47"/>
      <c r="BF86" s="47"/>
      <c r="BG86" s="47"/>
      <c r="BH86" s="48"/>
      <c r="BI86" s="33"/>
      <c r="BJ86" s="49"/>
      <c r="BK86" s="47"/>
      <c r="BL86" s="47"/>
      <c r="BM86" s="47"/>
      <c r="BN86" s="47"/>
      <c r="BO86" s="47"/>
      <c r="BP86" s="47"/>
      <c r="BQ86" s="47"/>
      <c r="BR86" s="48"/>
      <c r="BT86" s="50"/>
      <c r="BU86" s="50"/>
      <c r="BV86" s="50"/>
      <c r="BW86" s="50"/>
      <c r="BX86" s="50"/>
      <c r="BY86" s="50"/>
      <c r="BZ86" s="50"/>
      <c r="CA86" s="50"/>
      <c r="CB86" s="50"/>
    </row>
    <row r="87" spans="2:80" s="66" customFormat="1" ht="9" customHeight="1" x14ac:dyDescent="0.3">
      <c r="B87" s="496" t="s">
        <v>567</v>
      </c>
      <c r="C87" s="496"/>
      <c r="D87" s="496"/>
      <c r="E87" s="496"/>
      <c r="F87" s="496"/>
      <c r="G87" s="497">
        <f>CEILING(4792*B3,1)</f>
        <v>6709</v>
      </c>
      <c r="H87" s="497"/>
      <c r="I87" s="497"/>
      <c r="J87" s="497"/>
      <c r="K87" s="67"/>
      <c r="L87" s="496" t="s">
        <v>567</v>
      </c>
      <c r="M87" s="496"/>
      <c r="N87" s="496"/>
      <c r="O87" s="496"/>
      <c r="P87" s="496"/>
      <c r="Q87" s="497">
        <f>CEILING(4548*B3,1)</f>
        <v>6368</v>
      </c>
      <c r="R87" s="497"/>
      <c r="S87" s="497"/>
      <c r="T87" s="497"/>
      <c r="U87" s="67"/>
      <c r="V87" s="496" t="s">
        <v>568</v>
      </c>
      <c r="W87" s="496"/>
      <c r="X87" s="496"/>
      <c r="Y87" s="496"/>
      <c r="Z87" s="496"/>
      <c r="AA87" s="497">
        <f>CEILING(6023*B3,1)</f>
        <v>8433</v>
      </c>
      <c r="AB87" s="497"/>
      <c r="AC87" s="497"/>
      <c r="AD87" s="497"/>
      <c r="AE87" s="67"/>
      <c r="AF87" s="496" t="s">
        <v>569</v>
      </c>
      <c r="AG87" s="496"/>
      <c r="AH87" s="496"/>
      <c r="AI87" s="496"/>
      <c r="AJ87" s="496"/>
      <c r="AK87" s="497">
        <f>CEILING(2913*B3,1)</f>
        <v>4079</v>
      </c>
      <c r="AL87" s="497"/>
      <c r="AM87" s="497"/>
      <c r="AN87" s="497"/>
      <c r="AO87" s="67"/>
      <c r="AP87" s="496" t="s">
        <v>569</v>
      </c>
      <c r="AQ87" s="496"/>
      <c r="AR87" s="496"/>
      <c r="AS87" s="496"/>
      <c r="AT87" s="496"/>
      <c r="AU87" s="497">
        <f>CEILING(3369*B3,1)</f>
        <v>4717</v>
      </c>
      <c r="AV87" s="497"/>
      <c r="AW87" s="497"/>
      <c r="AX87" s="497"/>
      <c r="AY87" s="67"/>
      <c r="AZ87" s="496" t="s">
        <v>570</v>
      </c>
      <c r="BA87" s="496"/>
      <c r="BB87" s="496"/>
      <c r="BC87" s="496"/>
      <c r="BD87" s="496"/>
      <c r="BE87" s="497">
        <f>CEILING(1183*B3,1)</f>
        <v>1657</v>
      </c>
      <c r="BF87" s="497"/>
      <c r="BG87" s="497"/>
      <c r="BH87" s="497"/>
      <c r="BI87" s="67"/>
      <c r="BJ87" s="496" t="s">
        <v>575</v>
      </c>
      <c r="BK87" s="496"/>
      <c r="BL87" s="496"/>
      <c r="BM87" s="496"/>
      <c r="BN87" s="496"/>
      <c r="BO87" s="497">
        <f>CEILING(2694*B3,1)</f>
        <v>3772</v>
      </c>
      <c r="BP87" s="497"/>
      <c r="BQ87" s="497"/>
      <c r="BR87" s="497"/>
      <c r="BT87" s="475"/>
      <c r="BU87" s="475"/>
      <c r="BV87" s="475"/>
      <c r="BW87" s="475"/>
      <c r="BX87" s="475"/>
      <c r="BY87" s="474"/>
      <c r="BZ87" s="474"/>
      <c r="CA87" s="474"/>
      <c r="CB87" s="474"/>
    </row>
    <row r="88" spans="2:80" ht="1.5" customHeight="1" x14ac:dyDescent="0.3">
      <c r="B88" s="51"/>
      <c r="C88" s="52"/>
      <c r="D88" s="52"/>
      <c r="E88" s="42"/>
      <c r="F88" s="42"/>
      <c r="G88" s="31"/>
      <c r="H88" s="31"/>
      <c r="I88" s="31"/>
      <c r="J88" s="33"/>
      <c r="K88" s="31"/>
      <c r="L88" s="51"/>
      <c r="M88" s="52"/>
      <c r="N88" s="52"/>
      <c r="O88" s="42"/>
      <c r="P88" s="42"/>
      <c r="Q88" s="31"/>
      <c r="R88" s="31"/>
      <c r="S88" s="31"/>
      <c r="T88" s="33"/>
      <c r="U88" s="31"/>
      <c r="V88" s="51"/>
      <c r="W88" s="52"/>
      <c r="X88" s="52"/>
      <c r="Y88" s="42"/>
      <c r="Z88" s="42"/>
      <c r="AA88" s="31"/>
      <c r="AB88" s="31"/>
      <c r="AC88" s="31"/>
      <c r="AD88" s="33"/>
      <c r="AE88" s="31"/>
      <c r="AF88" s="51"/>
      <c r="AG88" s="52"/>
      <c r="AH88" s="52"/>
      <c r="AI88" s="42"/>
      <c r="AJ88" s="42"/>
      <c r="AK88" s="31"/>
      <c r="AL88" s="31"/>
      <c r="AM88" s="31"/>
      <c r="AN88" s="33"/>
      <c r="AO88" s="31"/>
      <c r="AP88" s="51"/>
      <c r="AQ88" s="52"/>
      <c r="AR88" s="52"/>
      <c r="AS88" s="42"/>
      <c r="AT88" s="42"/>
      <c r="AU88" s="31"/>
      <c r="AV88" s="31"/>
      <c r="AW88" s="31"/>
      <c r="AX88" s="33"/>
      <c r="AY88" s="31"/>
      <c r="AZ88" s="51"/>
      <c r="BA88" s="52"/>
      <c r="BB88" s="52"/>
      <c r="BC88" s="42"/>
      <c r="BD88" s="42"/>
      <c r="BE88" s="31"/>
      <c r="BF88" s="31"/>
      <c r="BG88" s="31"/>
      <c r="BH88" s="33"/>
      <c r="BI88" s="31"/>
      <c r="BJ88" s="51"/>
      <c r="BK88" s="52"/>
      <c r="BL88" s="52"/>
      <c r="BM88" s="42"/>
      <c r="BN88" s="42"/>
      <c r="BO88" s="31"/>
      <c r="BP88" s="31"/>
      <c r="BQ88" s="31"/>
      <c r="BR88" s="33"/>
      <c r="BT88" s="41"/>
      <c r="BU88" s="41"/>
      <c r="BV88" s="41"/>
      <c r="BW88" s="41"/>
      <c r="BX88" s="41"/>
    </row>
    <row r="89" spans="2:80" x14ac:dyDescent="0.3">
      <c r="B89" s="501" t="s">
        <v>561</v>
      </c>
      <c r="C89" s="502"/>
      <c r="D89" s="503"/>
      <c r="E89" s="499" t="s">
        <v>524</v>
      </c>
      <c r="F89" s="499"/>
      <c r="G89" s="499"/>
      <c r="H89" s="499"/>
      <c r="I89" s="499"/>
      <c r="J89" s="500"/>
      <c r="K89" s="31"/>
      <c r="L89" s="501" t="s">
        <v>560</v>
      </c>
      <c r="M89" s="502"/>
      <c r="N89" s="503"/>
      <c r="O89" s="499" t="s">
        <v>524</v>
      </c>
      <c r="P89" s="499"/>
      <c r="Q89" s="499"/>
      <c r="R89" s="499"/>
      <c r="S89" s="499"/>
      <c r="T89" s="500"/>
      <c r="U89" s="31"/>
      <c r="V89" s="501" t="s">
        <v>559</v>
      </c>
      <c r="W89" s="502"/>
      <c r="X89" s="503"/>
      <c r="Y89" s="499" t="s">
        <v>524</v>
      </c>
      <c r="Z89" s="499"/>
      <c r="AA89" s="499"/>
      <c r="AB89" s="499"/>
      <c r="AC89" s="499"/>
      <c r="AD89" s="500"/>
      <c r="AE89" s="31"/>
      <c r="AF89" s="501" t="s">
        <v>558</v>
      </c>
      <c r="AG89" s="502"/>
      <c r="AH89" s="503"/>
      <c r="AI89" s="499" t="s">
        <v>564</v>
      </c>
      <c r="AJ89" s="499"/>
      <c r="AK89" s="499"/>
      <c r="AL89" s="499"/>
      <c r="AM89" s="499"/>
      <c r="AN89" s="500"/>
      <c r="AO89" s="31"/>
      <c r="AP89" s="501" t="s">
        <v>557</v>
      </c>
      <c r="AQ89" s="502"/>
      <c r="AR89" s="503"/>
      <c r="AS89" s="499" t="s">
        <v>564</v>
      </c>
      <c r="AT89" s="499"/>
      <c r="AU89" s="499"/>
      <c r="AV89" s="499"/>
      <c r="AW89" s="499"/>
      <c r="AX89" s="500"/>
      <c r="AY89" s="31"/>
      <c r="AZ89" s="501" t="s">
        <v>556</v>
      </c>
      <c r="BA89" s="502"/>
      <c r="BB89" s="503"/>
      <c r="BC89" s="499" t="s">
        <v>564</v>
      </c>
      <c r="BD89" s="499"/>
      <c r="BE89" s="499"/>
      <c r="BF89" s="499"/>
      <c r="BG89" s="499"/>
      <c r="BH89" s="500"/>
      <c r="BI89" s="42"/>
      <c r="BJ89" s="501" t="s">
        <v>555</v>
      </c>
      <c r="BK89" s="502"/>
      <c r="BL89" s="503"/>
      <c r="BM89" s="499" t="s">
        <v>564</v>
      </c>
      <c r="BN89" s="499"/>
      <c r="BO89" s="499"/>
      <c r="BP89" s="499"/>
      <c r="BQ89" s="499"/>
      <c r="BR89" s="500"/>
    </row>
    <row r="90" spans="2:80" x14ac:dyDescent="0.3">
      <c r="B90" s="493" t="s">
        <v>562</v>
      </c>
      <c r="C90" s="494"/>
      <c r="D90" s="494"/>
      <c r="E90" s="494"/>
      <c r="F90" s="494"/>
      <c r="G90" s="494"/>
      <c r="H90" s="494"/>
      <c r="I90" s="494"/>
      <c r="J90" s="495"/>
      <c r="K90" s="31"/>
      <c r="L90" s="493" t="s">
        <v>563</v>
      </c>
      <c r="M90" s="494"/>
      <c r="N90" s="494"/>
      <c r="O90" s="494"/>
      <c r="P90" s="494"/>
      <c r="Q90" s="494"/>
      <c r="R90" s="494"/>
      <c r="S90" s="494"/>
      <c r="T90" s="495"/>
      <c r="U90" s="31"/>
      <c r="V90" s="493" t="s">
        <v>578</v>
      </c>
      <c r="W90" s="494"/>
      <c r="X90" s="494"/>
      <c r="Y90" s="494"/>
      <c r="Z90" s="494"/>
      <c r="AA90" s="494"/>
      <c r="AB90" s="494"/>
      <c r="AC90" s="494"/>
      <c r="AD90" s="495"/>
      <c r="AE90" s="31"/>
      <c r="AF90" s="493" t="s">
        <v>565</v>
      </c>
      <c r="AG90" s="494"/>
      <c r="AH90" s="494"/>
      <c r="AI90" s="494"/>
      <c r="AJ90" s="494"/>
      <c r="AK90" s="494"/>
      <c r="AL90" s="494"/>
      <c r="AM90" s="494"/>
      <c r="AN90" s="495"/>
      <c r="AO90" s="31"/>
      <c r="AP90" s="493" t="s">
        <v>565</v>
      </c>
      <c r="AQ90" s="494"/>
      <c r="AR90" s="494"/>
      <c r="AS90" s="494"/>
      <c r="AT90" s="494"/>
      <c r="AU90" s="494"/>
      <c r="AV90" s="494"/>
      <c r="AW90" s="494"/>
      <c r="AX90" s="495"/>
      <c r="AY90" s="31"/>
      <c r="AZ90" s="493" t="s">
        <v>565</v>
      </c>
      <c r="BA90" s="494"/>
      <c r="BB90" s="494"/>
      <c r="BC90" s="494"/>
      <c r="BD90" s="494"/>
      <c r="BE90" s="494"/>
      <c r="BF90" s="494"/>
      <c r="BG90" s="494"/>
      <c r="BH90" s="495"/>
      <c r="BI90" s="44"/>
      <c r="BJ90" s="493" t="s">
        <v>565</v>
      </c>
      <c r="BK90" s="494"/>
      <c r="BL90" s="494"/>
      <c r="BM90" s="494"/>
      <c r="BN90" s="494"/>
      <c r="BO90" s="494"/>
      <c r="BP90" s="494"/>
      <c r="BQ90" s="494"/>
      <c r="BR90" s="495"/>
    </row>
    <row r="91" spans="2:80" x14ac:dyDescent="0.3">
      <c r="B91" s="35"/>
      <c r="C91" s="36"/>
      <c r="D91" s="36"/>
      <c r="E91" s="36"/>
      <c r="F91" s="36"/>
      <c r="G91" s="36"/>
      <c r="H91" s="36"/>
      <c r="I91" s="36"/>
      <c r="J91" s="37"/>
      <c r="K91" s="31"/>
      <c r="L91" s="35"/>
      <c r="M91" s="36"/>
      <c r="N91" s="36"/>
      <c r="O91" s="36"/>
      <c r="P91" s="36"/>
      <c r="Q91" s="36"/>
      <c r="R91" s="36"/>
      <c r="S91" s="36"/>
      <c r="T91" s="37"/>
      <c r="U91" s="31"/>
      <c r="V91" s="35"/>
      <c r="W91" s="36"/>
      <c r="X91" s="36"/>
      <c r="Y91" s="36"/>
      <c r="Z91" s="36"/>
      <c r="AA91" s="36"/>
      <c r="AB91" s="36"/>
      <c r="AC91" s="36"/>
      <c r="AD91" s="37"/>
      <c r="AE91" s="31"/>
      <c r="AF91" s="35"/>
      <c r="AG91" s="36"/>
      <c r="AH91" s="36"/>
      <c r="AI91" s="36"/>
      <c r="AJ91" s="36"/>
      <c r="AK91" s="36"/>
      <c r="AL91" s="36"/>
      <c r="AM91" s="36"/>
      <c r="AN91" s="37"/>
      <c r="AO91" s="31"/>
      <c r="AP91" s="35"/>
      <c r="AQ91" s="36"/>
      <c r="AR91" s="36"/>
      <c r="AS91" s="36"/>
      <c r="AT91" s="36"/>
      <c r="AU91" s="36"/>
      <c r="AV91" s="36"/>
      <c r="AW91" s="36"/>
      <c r="AX91" s="37"/>
      <c r="AY91" s="31"/>
      <c r="AZ91" s="35"/>
      <c r="BA91" s="36"/>
      <c r="BB91" s="36"/>
      <c r="BC91" s="36"/>
      <c r="BD91" s="36"/>
      <c r="BE91" s="36"/>
      <c r="BF91" s="36"/>
      <c r="BG91" s="36"/>
      <c r="BH91" s="37"/>
      <c r="BI91" s="44"/>
      <c r="BJ91" s="35"/>
      <c r="BK91" s="36"/>
      <c r="BL91" s="36"/>
      <c r="BM91" s="36"/>
      <c r="BN91" s="36"/>
      <c r="BO91" s="36"/>
      <c r="BP91" s="36"/>
      <c r="BQ91" s="36"/>
      <c r="BR91" s="37"/>
    </row>
    <row r="92" spans="2:80" x14ac:dyDescent="0.3">
      <c r="B92" s="35"/>
      <c r="C92" s="36"/>
      <c r="D92" s="36"/>
      <c r="E92" s="36"/>
      <c r="F92" s="36"/>
      <c r="G92" s="36"/>
      <c r="H92" s="36"/>
      <c r="I92" s="36"/>
      <c r="J92" s="37"/>
      <c r="K92" s="31"/>
      <c r="L92" s="35"/>
      <c r="M92" s="36"/>
      <c r="N92" s="36"/>
      <c r="O92" s="36"/>
      <c r="P92" s="36"/>
      <c r="Q92" s="36"/>
      <c r="R92" s="36"/>
      <c r="S92" s="36"/>
      <c r="T92" s="37"/>
      <c r="U92" s="31"/>
      <c r="V92" s="35"/>
      <c r="W92" s="36"/>
      <c r="X92" s="36"/>
      <c r="Y92" s="36"/>
      <c r="Z92" s="36"/>
      <c r="AA92" s="36"/>
      <c r="AB92" s="36"/>
      <c r="AC92" s="36"/>
      <c r="AD92" s="37"/>
      <c r="AE92" s="31"/>
      <c r="AF92" s="35"/>
      <c r="AG92" s="36"/>
      <c r="AH92" s="36"/>
      <c r="AI92" s="36"/>
      <c r="AJ92" s="36"/>
      <c r="AK92" s="36"/>
      <c r="AL92" s="36"/>
      <c r="AM92" s="36"/>
      <c r="AN92" s="37"/>
      <c r="AO92" s="31"/>
      <c r="AP92" s="35"/>
      <c r="AQ92" s="36"/>
      <c r="AR92" s="36"/>
      <c r="AS92" s="36"/>
      <c r="AT92" s="36"/>
      <c r="AU92" s="36"/>
      <c r="AV92" s="36"/>
      <c r="AW92" s="36"/>
      <c r="AX92" s="37"/>
      <c r="AY92" s="31"/>
      <c r="AZ92" s="35"/>
      <c r="BA92" s="36"/>
      <c r="BB92" s="36"/>
      <c r="BC92" s="36"/>
      <c r="BD92" s="36"/>
      <c r="BE92" s="36"/>
      <c r="BF92" s="36"/>
      <c r="BG92" s="36"/>
      <c r="BH92" s="37"/>
      <c r="BI92" s="44"/>
      <c r="BJ92" s="35"/>
      <c r="BK92" s="36"/>
      <c r="BL92" s="36"/>
      <c r="BM92" s="36"/>
      <c r="BN92" s="36"/>
      <c r="BO92" s="36"/>
      <c r="BP92" s="36"/>
      <c r="BQ92" s="36"/>
      <c r="BR92" s="37"/>
    </row>
    <row r="93" spans="2:80" x14ac:dyDescent="0.3">
      <c r="B93" s="32"/>
      <c r="C93" s="31"/>
      <c r="D93" s="31"/>
      <c r="E93" s="31"/>
      <c r="F93" s="31"/>
      <c r="G93" s="31"/>
      <c r="H93" s="31"/>
      <c r="I93" s="31"/>
      <c r="J93" s="33"/>
      <c r="K93" s="31"/>
      <c r="L93" s="32"/>
      <c r="M93" s="31"/>
      <c r="N93" s="31"/>
      <c r="O93" s="31"/>
      <c r="P93" s="31"/>
      <c r="Q93" s="31"/>
      <c r="R93" s="31"/>
      <c r="S93" s="31"/>
      <c r="T93" s="33"/>
      <c r="U93" s="31"/>
      <c r="V93" s="32"/>
      <c r="W93" s="31"/>
      <c r="X93" s="31"/>
      <c r="Y93" s="31"/>
      <c r="Z93" s="31"/>
      <c r="AA93" s="31"/>
      <c r="AB93" s="31"/>
      <c r="AC93" s="31"/>
      <c r="AD93" s="33"/>
      <c r="AE93" s="31"/>
      <c r="AF93" s="32"/>
      <c r="AG93" s="31"/>
      <c r="AH93" s="31"/>
      <c r="AI93" s="31"/>
      <c r="AJ93" s="31"/>
      <c r="AK93" s="31"/>
      <c r="AL93" s="31"/>
      <c r="AM93" s="31"/>
      <c r="AN93" s="33"/>
      <c r="AO93" s="31"/>
      <c r="AP93" s="32"/>
      <c r="AQ93" s="31"/>
      <c r="AR93" s="31"/>
      <c r="AS93" s="31"/>
      <c r="AT93" s="31"/>
      <c r="AU93" s="31"/>
      <c r="AV93" s="31"/>
      <c r="AW93" s="31"/>
      <c r="AX93" s="33"/>
      <c r="AY93" s="31"/>
      <c r="AZ93" s="32"/>
      <c r="BA93" s="31"/>
      <c r="BB93" s="31"/>
      <c r="BC93" s="31"/>
      <c r="BD93" s="31"/>
      <c r="BE93" s="31"/>
      <c r="BF93" s="31"/>
      <c r="BG93" s="31"/>
      <c r="BH93" s="33"/>
      <c r="BI93" s="44"/>
      <c r="BJ93" s="32"/>
      <c r="BK93" s="31"/>
      <c r="BL93" s="31"/>
      <c r="BM93" s="31"/>
      <c r="BN93" s="31"/>
      <c r="BO93" s="31"/>
      <c r="BP93" s="31"/>
      <c r="BQ93" s="31"/>
      <c r="BR93" s="33"/>
    </row>
    <row r="94" spans="2:80" x14ac:dyDescent="0.3">
      <c r="B94" s="43"/>
      <c r="C94" s="42"/>
      <c r="D94" s="42"/>
      <c r="E94" s="42"/>
      <c r="F94" s="42"/>
      <c r="G94" s="42"/>
      <c r="H94" s="42"/>
      <c r="I94" s="42"/>
      <c r="J94" s="44"/>
      <c r="K94" s="31"/>
      <c r="L94" s="43"/>
      <c r="M94" s="42"/>
      <c r="N94" s="42"/>
      <c r="O94" s="42"/>
      <c r="P94" s="42"/>
      <c r="Q94" s="42"/>
      <c r="R94" s="42"/>
      <c r="S94" s="42"/>
      <c r="T94" s="44"/>
      <c r="U94" s="31"/>
      <c r="V94" s="43"/>
      <c r="W94" s="42"/>
      <c r="X94" s="42"/>
      <c r="Y94" s="42"/>
      <c r="Z94" s="42"/>
      <c r="AA94" s="42"/>
      <c r="AB94" s="42"/>
      <c r="AC94" s="42"/>
      <c r="AD94" s="44"/>
      <c r="AE94" s="31"/>
      <c r="AF94" s="43"/>
      <c r="AG94" s="42"/>
      <c r="AH94" s="42"/>
      <c r="AI94" s="42"/>
      <c r="AJ94" s="42"/>
      <c r="AK94" s="42"/>
      <c r="AL94" s="42"/>
      <c r="AM94" s="42"/>
      <c r="AN94" s="44"/>
      <c r="AO94" s="31"/>
      <c r="AP94" s="43"/>
      <c r="AQ94" s="42"/>
      <c r="AR94" s="42"/>
      <c r="AS94" s="42"/>
      <c r="AT94" s="42"/>
      <c r="AU94" s="42"/>
      <c r="AV94" s="42"/>
      <c r="AW94" s="42"/>
      <c r="AX94" s="44"/>
      <c r="AY94" s="31"/>
      <c r="AZ94" s="43"/>
      <c r="BA94" s="42"/>
      <c r="BB94" s="42"/>
      <c r="BC94" s="42"/>
      <c r="BD94" s="42"/>
      <c r="BE94" s="42"/>
      <c r="BF94" s="42"/>
      <c r="BG94" s="42"/>
      <c r="BH94" s="44"/>
      <c r="BI94" s="44"/>
      <c r="BJ94" s="43"/>
      <c r="BK94" s="42"/>
      <c r="BL94" s="42"/>
      <c r="BM94" s="42"/>
      <c r="BN94" s="42"/>
      <c r="BO94" s="42"/>
      <c r="BP94" s="42"/>
      <c r="BQ94" s="42"/>
      <c r="BR94" s="44"/>
    </row>
    <row r="95" spans="2:80" x14ac:dyDescent="0.3">
      <c r="B95" s="43"/>
      <c r="C95" s="42"/>
      <c r="D95" s="42"/>
      <c r="E95" s="42"/>
      <c r="F95" s="42"/>
      <c r="G95" s="42"/>
      <c r="H95" s="42"/>
      <c r="I95" s="42"/>
      <c r="J95" s="44"/>
      <c r="K95" s="31"/>
      <c r="L95" s="43"/>
      <c r="M95" s="42"/>
      <c r="N95" s="42"/>
      <c r="O95" s="42"/>
      <c r="P95" s="42"/>
      <c r="Q95" s="42"/>
      <c r="R95" s="42"/>
      <c r="S95" s="42"/>
      <c r="T95" s="44"/>
      <c r="U95" s="31"/>
      <c r="V95" s="43"/>
      <c r="W95" s="42"/>
      <c r="X95" s="42"/>
      <c r="Y95" s="42"/>
      <c r="Z95" s="42"/>
      <c r="AA95" s="42"/>
      <c r="AB95" s="42"/>
      <c r="AC95" s="42"/>
      <c r="AD95" s="44"/>
      <c r="AE95" s="31"/>
      <c r="AF95" s="43"/>
      <c r="AG95" s="42"/>
      <c r="AH95" s="42"/>
      <c r="AI95" s="42"/>
      <c r="AJ95" s="42"/>
      <c r="AK95" s="42"/>
      <c r="AL95" s="42"/>
      <c r="AM95" s="42"/>
      <c r="AN95" s="44"/>
      <c r="AO95" s="31"/>
      <c r="AP95" s="43"/>
      <c r="AQ95" s="42"/>
      <c r="AR95" s="42"/>
      <c r="AS95" s="42"/>
      <c r="AT95" s="42"/>
      <c r="AU95" s="42"/>
      <c r="AV95" s="42"/>
      <c r="AW95" s="42"/>
      <c r="AX95" s="44"/>
      <c r="AY95" s="31"/>
      <c r="AZ95" s="43"/>
      <c r="BA95" s="42"/>
      <c r="BB95" s="42"/>
      <c r="BC95" s="42"/>
      <c r="BD95" s="42"/>
      <c r="BE95" s="42"/>
      <c r="BF95" s="42"/>
      <c r="BG95" s="42"/>
      <c r="BH95" s="44"/>
      <c r="BI95" s="44"/>
      <c r="BJ95" s="43"/>
      <c r="BK95" s="42"/>
      <c r="BL95" s="42"/>
      <c r="BM95" s="42"/>
      <c r="BN95" s="42"/>
      <c r="BO95" s="42"/>
      <c r="BP95" s="42"/>
      <c r="BQ95" s="42"/>
      <c r="BR95" s="44"/>
    </row>
    <row r="96" spans="2:80" x14ac:dyDescent="0.3">
      <c r="B96" s="43"/>
      <c r="C96" s="42"/>
      <c r="D96" s="42"/>
      <c r="E96" s="42"/>
      <c r="F96" s="42"/>
      <c r="G96" s="42"/>
      <c r="H96" s="42"/>
      <c r="I96" s="42"/>
      <c r="J96" s="44"/>
      <c r="K96" s="31"/>
      <c r="L96" s="43"/>
      <c r="M96" s="42"/>
      <c r="N96" s="42"/>
      <c r="O96" s="42"/>
      <c r="P96" s="42"/>
      <c r="Q96" s="42"/>
      <c r="R96" s="42"/>
      <c r="S96" s="42"/>
      <c r="T96" s="44"/>
      <c r="U96" s="31"/>
      <c r="V96" s="43"/>
      <c r="W96" s="42"/>
      <c r="X96" s="42"/>
      <c r="Y96" s="42"/>
      <c r="Z96" s="42"/>
      <c r="AA96" s="42"/>
      <c r="AB96" s="42"/>
      <c r="AC96" s="42"/>
      <c r="AD96" s="44"/>
      <c r="AE96" s="31"/>
      <c r="AF96" s="43"/>
      <c r="AG96" s="42"/>
      <c r="AH96" s="42"/>
      <c r="AI96" s="42"/>
      <c r="AJ96" s="42"/>
      <c r="AK96" s="42"/>
      <c r="AL96" s="42"/>
      <c r="AM96" s="42"/>
      <c r="AN96" s="44"/>
      <c r="AO96" s="31"/>
      <c r="AP96" s="43"/>
      <c r="AQ96" s="42"/>
      <c r="AR96" s="42"/>
      <c r="AS96" s="42"/>
      <c r="AT96" s="42"/>
      <c r="AU96" s="42"/>
      <c r="AV96" s="42"/>
      <c r="AW96" s="42"/>
      <c r="AX96" s="44"/>
      <c r="AY96" s="31"/>
      <c r="AZ96" s="43"/>
      <c r="BA96" s="42"/>
      <c r="BB96" s="42"/>
      <c r="BC96" s="42"/>
      <c r="BD96" s="42"/>
      <c r="BE96" s="42"/>
      <c r="BF96" s="42"/>
      <c r="BG96" s="42"/>
      <c r="BH96" s="44"/>
      <c r="BI96" s="44"/>
      <c r="BJ96" s="43"/>
      <c r="BK96" s="42"/>
      <c r="BL96" s="42"/>
      <c r="BM96" s="42"/>
      <c r="BN96" s="42"/>
      <c r="BO96" s="42"/>
      <c r="BP96" s="42"/>
      <c r="BQ96" s="42"/>
      <c r="BR96" s="44"/>
    </row>
    <row r="97" spans="2:70" x14ac:dyDescent="0.3">
      <c r="B97" s="43"/>
      <c r="C97" s="42"/>
      <c r="D97" s="42"/>
      <c r="E97" s="42"/>
      <c r="F97" s="42"/>
      <c r="G97" s="42"/>
      <c r="H97" s="42"/>
      <c r="I97" s="42"/>
      <c r="J97" s="44"/>
      <c r="K97" s="31"/>
      <c r="L97" s="43"/>
      <c r="M97" s="42"/>
      <c r="N97" s="42"/>
      <c r="O97" s="42"/>
      <c r="P97" s="42"/>
      <c r="Q97" s="42"/>
      <c r="R97" s="42"/>
      <c r="S97" s="42"/>
      <c r="T97" s="44"/>
      <c r="U97" s="31"/>
      <c r="V97" s="43"/>
      <c r="W97" s="42"/>
      <c r="X97" s="42"/>
      <c r="Y97" s="42"/>
      <c r="Z97" s="42"/>
      <c r="AA97" s="42"/>
      <c r="AB97" s="42"/>
      <c r="AC97" s="42"/>
      <c r="AD97" s="44"/>
      <c r="AE97" s="31"/>
      <c r="AF97" s="43"/>
      <c r="AG97" s="42"/>
      <c r="AH97" s="42"/>
      <c r="AI97" s="42"/>
      <c r="AJ97" s="42"/>
      <c r="AK97" s="42"/>
      <c r="AL97" s="42"/>
      <c r="AM97" s="42"/>
      <c r="AN97" s="44"/>
      <c r="AO97" s="31"/>
      <c r="AP97" s="43"/>
      <c r="AQ97" s="42"/>
      <c r="AR97" s="42"/>
      <c r="AS97" s="42"/>
      <c r="AT97" s="42"/>
      <c r="AU97" s="42"/>
      <c r="AV97" s="42"/>
      <c r="AW97" s="42"/>
      <c r="AX97" s="44"/>
      <c r="AY97" s="31"/>
      <c r="AZ97" s="43"/>
      <c r="BA97" s="42"/>
      <c r="BB97" s="42"/>
      <c r="BC97" s="42"/>
      <c r="BD97" s="42"/>
      <c r="BE97" s="42"/>
      <c r="BF97" s="42"/>
      <c r="BG97" s="42"/>
      <c r="BH97" s="44"/>
      <c r="BI97" s="44"/>
      <c r="BJ97" s="43"/>
      <c r="BK97" s="42"/>
      <c r="BL97" s="42"/>
      <c r="BM97" s="42"/>
      <c r="BN97" s="42"/>
      <c r="BO97" s="42"/>
      <c r="BP97" s="42"/>
      <c r="BQ97" s="42"/>
      <c r="BR97" s="44"/>
    </row>
    <row r="98" spans="2:70" x14ac:dyDescent="0.3">
      <c r="B98" s="43"/>
      <c r="C98" s="42"/>
      <c r="D98" s="42"/>
      <c r="E98" s="42"/>
      <c r="F98" s="42"/>
      <c r="G98" s="42"/>
      <c r="H98" s="42"/>
      <c r="I98" s="42"/>
      <c r="J98" s="44"/>
      <c r="K98" s="31"/>
      <c r="L98" s="43"/>
      <c r="M98" s="42"/>
      <c r="N98" s="42"/>
      <c r="O98" s="42"/>
      <c r="P98" s="42"/>
      <c r="Q98" s="42"/>
      <c r="R98" s="42"/>
      <c r="S98" s="42"/>
      <c r="T98" s="44"/>
      <c r="U98" s="31"/>
      <c r="V98" s="43"/>
      <c r="W98" s="42"/>
      <c r="X98" s="42"/>
      <c r="Y98" s="42"/>
      <c r="Z98" s="42"/>
      <c r="AA98" s="42"/>
      <c r="AB98" s="42"/>
      <c r="AC98" s="42"/>
      <c r="AD98" s="44"/>
      <c r="AE98" s="31"/>
      <c r="AF98" s="43"/>
      <c r="AG98" s="42"/>
      <c r="AH98" s="42"/>
      <c r="AI98" s="42"/>
      <c r="AJ98" s="42"/>
      <c r="AK98" s="42"/>
      <c r="AL98" s="42"/>
      <c r="AM98" s="42"/>
      <c r="AN98" s="44"/>
      <c r="AO98" s="31"/>
      <c r="AP98" s="43"/>
      <c r="AQ98" s="42"/>
      <c r="AR98" s="42"/>
      <c r="AS98" s="42"/>
      <c r="AT98" s="42"/>
      <c r="AU98" s="42"/>
      <c r="AV98" s="42"/>
      <c r="AW98" s="42"/>
      <c r="AX98" s="44"/>
      <c r="AY98" s="31"/>
      <c r="AZ98" s="43"/>
      <c r="BA98" s="42"/>
      <c r="BB98" s="42"/>
      <c r="BC98" s="42"/>
      <c r="BD98" s="42"/>
      <c r="BE98" s="42"/>
      <c r="BF98" s="42"/>
      <c r="BG98" s="42"/>
      <c r="BH98" s="44"/>
      <c r="BI98" s="44"/>
      <c r="BJ98" s="43"/>
      <c r="BK98" s="42"/>
      <c r="BL98" s="42"/>
      <c r="BM98" s="42"/>
      <c r="BN98" s="42"/>
      <c r="BO98" s="42"/>
      <c r="BP98" s="42"/>
      <c r="BQ98" s="42"/>
      <c r="BR98" s="44"/>
    </row>
    <row r="99" spans="2:70" x14ac:dyDescent="0.3">
      <c r="B99" s="32"/>
      <c r="C99" s="31"/>
      <c r="D99" s="31"/>
      <c r="E99" s="31"/>
      <c r="F99" s="31"/>
      <c r="G99" s="31"/>
      <c r="H99" s="31"/>
      <c r="I99" s="31"/>
      <c r="J99" s="33"/>
      <c r="K99" s="31"/>
      <c r="L99" s="32"/>
      <c r="M99" s="31"/>
      <c r="N99" s="31"/>
      <c r="O99" s="31"/>
      <c r="P99" s="31"/>
      <c r="Q99" s="31"/>
      <c r="R99" s="31"/>
      <c r="S99" s="31"/>
      <c r="T99" s="33"/>
      <c r="U99" s="31"/>
      <c r="V99" s="32"/>
      <c r="W99" s="31"/>
      <c r="X99" s="31"/>
      <c r="Y99" s="31"/>
      <c r="Z99" s="31"/>
      <c r="AA99" s="31"/>
      <c r="AB99" s="31"/>
      <c r="AC99" s="31"/>
      <c r="AD99" s="33"/>
      <c r="AE99" s="31"/>
      <c r="AF99" s="32"/>
      <c r="AG99" s="31"/>
      <c r="AH99" s="31"/>
      <c r="AI99" s="31"/>
      <c r="AJ99" s="31"/>
      <c r="AK99" s="31"/>
      <c r="AL99" s="31"/>
      <c r="AM99" s="31"/>
      <c r="AN99" s="33"/>
      <c r="AO99" s="31"/>
      <c r="AP99" s="32"/>
      <c r="AQ99" s="31"/>
      <c r="AR99" s="31"/>
      <c r="AS99" s="31"/>
      <c r="AT99" s="31"/>
      <c r="AU99" s="31"/>
      <c r="AV99" s="31"/>
      <c r="AW99" s="31"/>
      <c r="AX99" s="33"/>
      <c r="AY99" s="31"/>
      <c r="AZ99" s="32"/>
      <c r="BA99" s="31"/>
      <c r="BB99" s="31"/>
      <c r="BC99" s="31"/>
      <c r="BD99" s="31"/>
      <c r="BE99" s="31"/>
      <c r="BF99" s="31"/>
      <c r="BG99" s="31"/>
      <c r="BH99" s="33"/>
      <c r="BI99" s="33"/>
      <c r="BJ99" s="32"/>
      <c r="BK99" s="31"/>
      <c r="BL99" s="31"/>
      <c r="BM99" s="31"/>
      <c r="BN99" s="31"/>
      <c r="BO99" s="31"/>
      <c r="BP99" s="31"/>
      <c r="BQ99" s="31"/>
      <c r="BR99" s="33"/>
    </row>
    <row r="100" spans="2:70" ht="2.25" customHeight="1" x14ac:dyDescent="0.3">
      <c r="B100" s="49"/>
      <c r="C100" s="47"/>
      <c r="D100" s="47"/>
      <c r="E100" s="47"/>
      <c r="F100" s="47"/>
      <c r="G100" s="47"/>
      <c r="H100" s="47"/>
      <c r="I100" s="47"/>
      <c r="J100" s="48"/>
      <c r="K100" s="31"/>
      <c r="L100" s="49"/>
      <c r="M100" s="47"/>
      <c r="N100" s="47"/>
      <c r="O100" s="47"/>
      <c r="P100" s="47"/>
      <c r="Q100" s="47"/>
      <c r="R100" s="47"/>
      <c r="S100" s="47"/>
      <c r="T100" s="48"/>
      <c r="U100" s="31"/>
      <c r="V100" s="49"/>
      <c r="W100" s="47"/>
      <c r="X100" s="47"/>
      <c r="Y100" s="47"/>
      <c r="Z100" s="47"/>
      <c r="AA100" s="47"/>
      <c r="AB100" s="47"/>
      <c r="AC100" s="47"/>
      <c r="AD100" s="48"/>
      <c r="AE100" s="31"/>
      <c r="AF100" s="49"/>
      <c r="AG100" s="47"/>
      <c r="AH100" s="47"/>
      <c r="AI100" s="47"/>
      <c r="AJ100" s="47"/>
      <c r="AK100" s="47"/>
      <c r="AL100" s="47"/>
      <c r="AM100" s="47"/>
      <c r="AN100" s="48"/>
      <c r="AO100" s="31"/>
      <c r="AP100" s="49"/>
      <c r="AQ100" s="47"/>
      <c r="AR100" s="47"/>
      <c r="AS100" s="47"/>
      <c r="AT100" s="47"/>
      <c r="AU100" s="47"/>
      <c r="AV100" s="47"/>
      <c r="AW100" s="47"/>
      <c r="AX100" s="48"/>
      <c r="AY100" s="31"/>
      <c r="AZ100" s="49"/>
      <c r="BA100" s="47"/>
      <c r="BB100" s="47"/>
      <c r="BC100" s="47"/>
      <c r="BD100" s="47"/>
      <c r="BE100" s="47"/>
      <c r="BF100" s="47"/>
      <c r="BG100" s="47"/>
      <c r="BH100" s="48"/>
      <c r="BI100" s="33"/>
      <c r="BJ100" s="49"/>
      <c r="BK100" s="47"/>
      <c r="BL100" s="47"/>
      <c r="BM100" s="47"/>
      <c r="BN100" s="47"/>
      <c r="BO100" s="47"/>
      <c r="BP100" s="47"/>
      <c r="BQ100" s="47"/>
      <c r="BR100" s="48"/>
    </row>
    <row r="101" spans="2:70" s="66" customFormat="1" x14ac:dyDescent="0.3">
      <c r="B101" s="496" t="s">
        <v>571</v>
      </c>
      <c r="C101" s="496"/>
      <c r="D101" s="496"/>
      <c r="E101" s="496"/>
      <c r="F101" s="496"/>
      <c r="G101" s="497">
        <f>CEILING(2239*B3,1)</f>
        <v>3135</v>
      </c>
      <c r="H101" s="497"/>
      <c r="I101" s="497"/>
      <c r="J101" s="497"/>
      <c r="K101" s="67"/>
      <c r="L101" s="496" t="s">
        <v>572</v>
      </c>
      <c r="M101" s="496"/>
      <c r="N101" s="496"/>
      <c r="O101" s="496"/>
      <c r="P101" s="496"/>
      <c r="Q101" s="497">
        <f>CEILING(3271*B3,1)</f>
        <v>4580</v>
      </c>
      <c r="R101" s="497"/>
      <c r="S101" s="497"/>
      <c r="T101" s="497"/>
      <c r="U101" s="67"/>
      <c r="V101" s="496" t="s">
        <v>760</v>
      </c>
      <c r="W101" s="496"/>
      <c r="X101" s="496"/>
      <c r="Y101" s="496"/>
      <c r="Z101" s="496"/>
      <c r="AA101" s="497">
        <f>CEILING(4423*B3,1)</f>
        <v>6193</v>
      </c>
      <c r="AB101" s="497"/>
      <c r="AC101" s="497"/>
      <c r="AD101" s="497"/>
      <c r="AE101" s="67"/>
      <c r="AF101" s="496" t="s">
        <v>573</v>
      </c>
      <c r="AG101" s="496"/>
      <c r="AH101" s="496"/>
      <c r="AI101" s="496"/>
      <c r="AJ101" s="496"/>
      <c r="AK101" s="497">
        <f>CEILING(2584*B3,1)</f>
        <v>3618</v>
      </c>
      <c r="AL101" s="497"/>
      <c r="AM101" s="497"/>
      <c r="AN101" s="497"/>
      <c r="AO101" s="67"/>
      <c r="AP101" s="496" t="s">
        <v>574</v>
      </c>
      <c r="AQ101" s="496"/>
      <c r="AR101" s="496"/>
      <c r="AS101" s="496"/>
      <c r="AT101" s="496"/>
      <c r="AU101" s="497">
        <f>CEILING(3210*B3,1)</f>
        <v>4494</v>
      </c>
      <c r="AV101" s="497"/>
      <c r="AW101" s="497"/>
      <c r="AX101" s="497"/>
      <c r="AY101" s="67"/>
      <c r="AZ101" s="496" t="s">
        <v>574</v>
      </c>
      <c r="BA101" s="496"/>
      <c r="BB101" s="496"/>
      <c r="BC101" s="496"/>
      <c r="BD101" s="496"/>
      <c r="BE101" s="497">
        <f>CEILING(3430*B3,1)</f>
        <v>4802</v>
      </c>
      <c r="BF101" s="497"/>
      <c r="BG101" s="497"/>
      <c r="BH101" s="497"/>
      <c r="BI101" s="67"/>
      <c r="BJ101" s="496" t="s">
        <v>574</v>
      </c>
      <c r="BK101" s="496"/>
      <c r="BL101" s="496"/>
      <c r="BM101" s="496"/>
      <c r="BN101" s="496"/>
      <c r="BO101" s="497">
        <f>CEILING(4008*B3,1)</f>
        <v>5612</v>
      </c>
      <c r="BP101" s="497"/>
      <c r="BQ101" s="497"/>
      <c r="BR101" s="497"/>
    </row>
  </sheetData>
  <mergeCells count="256">
    <mergeCell ref="B1:BR1"/>
    <mergeCell ref="L3:BR3"/>
    <mergeCell ref="B3:J3"/>
    <mergeCell ref="V90:AD90"/>
    <mergeCell ref="B34:J34"/>
    <mergeCell ref="V34:AD34"/>
    <mergeCell ref="AF35:AN35"/>
    <mergeCell ref="AP35:AX35"/>
    <mergeCell ref="AZ35:BH35"/>
    <mergeCell ref="BJ35:BR35"/>
    <mergeCell ref="AP48:AX48"/>
    <mergeCell ref="AZ48:BH48"/>
    <mergeCell ref="B62:J62"/>
    <mergeCell ref="L62:T62"/>
    <mergeCell ref="V62:AD62"/>
    <mergeCell ref="AF62:AN62"/>
    <mergeCell ref="AP62:AX62"/>
    <mergeCell ref="AZ62:BH62"/>
    <mergeCell ref="BJ62:BR62"/>
    <mergeCell ref="L45:P45"/>
    <mergeCell ref="Q45:T45"/>
    <mergeCell ref="V45:Z45"/>
    <mergeCell ref="AA45:AD45"/>
    <mergeCell ref="BJ44:BR44"/>
    <mergeCell ref="AP47:AR47"/>
    <mergeCell ref="AI5:AN5"/>
    <mergeCell ref="AS47:AX47"/>
    <mergeCell ref="AZ47:BB47"/>
    <mergeCell ref="B20:J20"/>
    <mergeCell ref="B21:J21"/>
    <mergeCell ref="L20:T20"/>
    <mergeCell ref="B7:J7"/>
    <mergeCell ref="L7:T7"/>
    <mergeCell ref="V7:AD7"/>
    <mergeCell ref="AF7:AN7"/>
    <mergeCell ref="AP7:AX7"/>
    <mergeCell ref="B17:F17"/>
    <mergeCell ref="G17:J17"/>
    <mergeCell ref="L17:P17"/>
    <mergeCell ref="Q17:T17"/>
    <mergeCell ref="V17:Z17"/>
    <mergeCell ref="AA17:AD17"/>
    <mergeCell ref="AF17:AJ17"/>
    <mergeCell ref="B19:D19"/>
    <mergeCell ref="E19:J19"/>
    <mergeCell ref="L19:N19"/>
    <mergeCell ref="O19:T19"/>
    <mergeCell ref="V19:X19"/>
    <mergeCell ref="Y19:AD19"/>
    <mergeCell ref="B33:D33"/>
    <mergeCell ref="E33:J33"/>
    <mergeCell ref="L33:N33"/>
    <mergeCell ref="O33:T33"/>
    <mergeCell ref="V33:X33"/>
    <mergeCell ref="Y33:AD33"/>
    <mergeCell ref="AP31:AT31"/>
    <mergeCell ref="B5:D5"/>
    <mergeCell ref="E5:J5"/>
    <mergeCell ref="L5:N5"/>
    <mergeCell ref="O5:T5"/>
    <mergeCell ref="V5:X5"/>
    <mergeCell ref="BC5:BH5"/>
    <mergeCell ref="BJ5:BL5"/>
    <mergeCell ref="BM5:BR5"/>
    <mergeCell ref="AP5:AR5"/>
    <mergeCell ref="AS5:AX5"/>
    <mergeCell ref="AZ5:BB5"/>
    <mergeCell ref="Y5:AD5"/>
    <mergeCell ref="AF5:AH5"/>
    <mergeCell ref="B31:F31"/>
    <mergeCell ref="G31:J31"/>
    <mergeCell ref="L31:P31"/>
    <mergeCell ref="Q31:T31"/>
    <mergeCell ref="V31:Z31"/>
    <mergeCell ref="AA31:AD31"/>
    <mergeCell ref="AF31:AJ31"/>
    <mergeCell ref="AK31:AN31"/>
    <mergeCell ref="AI19:AN19"/>
    <mergeCell ref="AF19:AH19"/>
    <mergeCell ref="BJ6:BR6"/>
    <mergeCell ref="AF20:AN20"/>
    <mergeCell ref="AP20:AX20"/>
    <mergeCell ref="BJ20:BR20"/>
    <mergeCell ref="BE31:BH31"/>
    <mergeCell ref="BJ31:BN31"/>
    <mergeCell ref="BE45:BH45"/>
    <mergeCell ref="B45:F45"/>
    <mergeCell ref="G45:J45"/>
    <mergeCell ref="BJ33:BL33"/>
    <mergeCell ref="BM33:BR33"/>
    <mergeCell ref="AF33:AH33"/>
    <mergeCell ref="AI33:AN33"/>
    <mergeCell ref="AP33:AR33"/>
    <mergeCell ref="AS33:AX33"/>
    <mergeCell ref="AZ33:BB33"/>
    <mergeCell ref="BC33:BH33"/>
    <mergeCell ref="AF34:AN34"/>
    <mergeCell ref="AP34:AX34"/>
    <mergeCell ref="AZ34:BH34"/>
    <mergeCell ref="BJ34:BR34"/>
    <mergeCell ref="B47:D47"/>
    <mergeCell ref="E47:J47"/>
    <mergeCell ref="L47:N47"/>
    <mergeCell ref="O47:T47"/>
    <mergeCell ref="V47:X47"/>
    <mergeCell ref="Y47:AD47"/>
    <mergeCell ref="AF47:AH47"/>
    <mergeCell ref="AI47:AN47"/>
    <mergeCell ref="AF45:AJ45"/>
    <mergeCell ref="AK45:AN45"/>
    <mergeCell ref="B61:D61"/>
    <mergeCell ref="E61:J61"/>
    <mergeCell ref="L61:N61"/>
    <mergeCell ref="O61:T61"/>
    <mergeCell ref="V61:X61"/>
    <mergeCell ref="Y61:AD61"/>
    <mergeCell ref="AP59:AT59"/>
    <mergeCell ref="AU59:AX59"/>
    <mergeCell ref="AZ59:BD59"/>
    <mergeCell ref="B59:F59"/>
    <mergeCell ref="G59:J59"/>
    <mergeCell ref="L59:P59"/>
    <mergeCell ref="Q59:T59"/>
    <mergeCell ref="V59:Z59"/>
    <mergeCell ref="AA59:AD59"/>
    <mergeCell ref="AF59:AJ59"/>
    <mergeCell ref="AK59:AN59"/>
    <mergeCell ref="AF73:AJ73"/>
    <mergeCell ref="AK73:AN73"/>
    <mergeCell ref="BJ61:BL61"/>
    <mergeCell ref="BM61:BR61"/>
    <mergeCell ref="AF61:AH61"/>
    <mergeCell ref="AI61:AN61"/>
    <mergeCell ref="AP61:AR61"/>
    <mergeCell ref="AS61:AX61"/>
    <mergeCell ref="AZ61:BB61"/>
    <mergeCell ref="BC61:BH61"/>
    <mergeCell ref="AF75:AH75"/>
    <mergeCell ref="AI75:AN75"/>
    <mergeCell ref="AP75:AR75"/>
    <mergeCell ref="AS75:AX75"/>
    <mergeCell ref="AZ75:BB75"/>
    <mergeCell ref="BC75:BH75"/>
    <mergeCell ref="B75:D75"/>
    <mergeCell ref="E75:J75"/>
    <mergeCell ref="L75:N75"/>
    <mergeCell ref="O75:T75"/>
    <mergeCell ref="V75:X75"/>
    <mergeCell ref="Y75:AD75"/>
    <mergeCell ref="BY87:CB87"/>
    <mergeCell ref="B6:J6"/>
    <mergeCell ref="L6:T6"/>
    <mergeCell ref="V6:AD6"/>
    <mergeCell ref="AF6:AN6"/>
    <mergeCell ref="AP6:AX6"/>
    <mergeCell ref="AZ6:BH6"/>
    <mergeCell ref="AP87:AT87"/>
    <mergeCell ref="AU87:AX87"/>
    <mergeCell ref="AZ87:BD87"/>
    <mergeCell ref="BE87:BH87"/>
    <mergeCell ref="BJ87:BN87"/>
    <mergeCell ref="BO87:BR87"/>
    <mergeCell ref="B87:F87"/>
    <mergeCell ref="G87:J87"/>
    <mergeCell ref="L87:P87"/>
    <mergeCell ref="Q87:T87"/>
    <mergeCell ref="V87:Z87"/>
    <mergeCell ref="AA87:AD87"/>
    <mergeCell ref="AF87:AJ87"/>
    <mergeCell ref="AK87:AN87"/>
    <mergeCell ref="BJ75:BL75"/>
    <mergeCell ref="BM75:BR75"/>
    <mergeCell ref="BT75:BV75"/>
    <mergeCell ref="BM19:BR19"/>
    <mergeCell ref="BO17:BR17"/>
    <mergeCell ref="AK17:AN17"/>
    <mergeCell ref="AP17:AT17"/>
    <mergeCell ref="AU17:AX17"/>
    <mergeCell ref="AZ17:BD17"/>
    <mergeCell ref="BE17:BH17"/>
    <mergeCell ref="BJ17:BN17"/>
    <mergeCell ref="BT87:BX87"/>
    <mergeCell ref="BW75:CB75"/>
    <mergeCell ref="BJ73:BN73"/>
    <mergeCell ref="BO73:BR73"/>
    <mergeCell ref="BE59:BH59"/>
    <mergeCell ref="BJ59:BN59"/>
    <mergeCell ref="BO59:BR59"/>
    <mergeCell ref="BJ48:BR48"/>
    <mergeCell ref="BC47:BH47"/>
    <mergeCell ref="BJ47:BL47"/>
    <mergeCell ref="BM47:BR47"/>
    <mergeCell ref="BJ45:BN45"/>
    <mergeCell ref="BO45:BR45"/>
    <mergeCell ref="AP45:AT45"/>
    <mergeCell ref="AU45:AX45"/>
    <mergeCell ref="AZ45:BD45"/>
    <mergeCell ref="AZ7:BH7"/>
    <mergeCell ref="BJ7:BR7"/>
    <mergeCell ref="AU31:AX31"/>
    <mergeCell ref="AZ31:BD31"/>
    <mergeCell ref="AP19:AR19"/>
    <mergeCell ref="AF89:AH89"/>
    <mergeCell ref="AI89:AN89"/>
    <mergeCell ref="AP89:AR89"/>
    <mergeCell ref="AS89:AX89"/>
    <mergeCell ref="AZ89:BB89"/>
    <mergeCell ref="BC89:BH89"/>
    <mergeCell ref="AP73:AT73"/>
    <mergeCell ref="AU73:AX73"/>
    <mergeCell ref="AZ73:BD73"/>
    <mergeCell ref="BE73:BH73"/>
    <mergeCell ref="AZ76:BH76"/>
    <mergeCell ref="BJ76:BR76"/>
    <mergeCell ref="BJ89:BL89"/>
    <mergeCell ref="BM89:BR89"/>
    <mergeCell ref="BO31:BR31"/>
    <mergeCell ref="AS19:AX19"/>
    <mergeCell ref="AZ19:BB19"/>
    <mergeCell ref="BC19:BH19"/>
    <mergeCell ref="BJ19:BL19"/>
    <mergeCell ref="B72:J72"/>
    <mergeCell ref="L72:T72"/>
    <mergeCell ref="V72:AD72"/>
    <mergeCell ref="B89:D89"/>
    <mergeCell ref="E89:J89"/>
    <mergeCell ref="L89:N89"/>
    <mergeCell ref="O89:T89"/>
    <mergeCell ref="V89:X89"/>
    <mergeCell ref="Y89:AD89"/>
    <mergeCell ref="B73:F73"/>
    <mergeCell ref="G73:J73"/>
    <mergeCell ref="L73:P73"/>
    <mergeCell ref="Q73:T73"/>
    <mergeCell ref="V73:Z73"/>
    <mergeCell ref="AA73:AD73"/>
    <mergeCell ref="B90:J90"/>
    <mergeCell ref="L90:T90"/>
    <mergeCell ref="AF90:AN90"/>
    <mergeCell ref="AP90:AX90"/>
    <mergeCell ref="AZ90:BH90"/>
    <mergeCell ref="BJ90:BR90"/>
    <mergeCell ref="AP101:AT101"/>
    <mergeCell ref="AU101:AX101"/>
    <mergeCell ref="AZ101:BD101"/>
    <mergeCell ref="BE101:BH101"/>
    <mergeCell ref="BJ101:BN101"/>
    <mergeCell ref="BO101:BR101"/>
    <mergeCell ref="B101:F101"/>
    <mergeCell ref="G101:J101"/>
    <mergeCell ref="L101:P101"/>
    <mergeCell ref="Q101:T101"/>
    <mergeCell ref="V101:Z101"/>
    <mergeCell ref="AA101:AD101"/>
    <mergeCell ref="AF101:AJ101"/>
    <mergeCell ref="AK101:AN101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66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Школа1</vt:lpstr>
      <vt:lpstr>Школа2</vt:lpstr>
      <vt:lpstr>Детский сад1</vt:lpstr>
      <vt:lpstr>Детский сад2</vt:lpstr>
      <vt:lpstr>Столы</vt:lpstr>
      <vt:lpstr>Тумбы</vt:lpstr>
      <vt:lpstr>Шкафы</vt:lpstr>
      <vt:lpstr>Библиотека</vt:lpstr>
      <vt:lpstr>Библиотека!Область_печати</vt:lpstr>
      <vt:lpstr>'Детский сад2'!Область_печати</vt:lpstr>
      <vt:lpstr>Столы!Область_печати</vt:lpstr>
      <vt:lpstr>Тумбы!Область_печати</vt:lpstr>
      <vt:lpstr>Шкафы!Область_печати</vt:lpstr>
      <vt:lpstr>Школа1!Область_печати</vt:lpstr>
      <vt:lpstr>Школа2!Область_печати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2023-10-09T17:07:49Z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2023-08-28T14:31:38Z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9860bf2f-48cb-43c1-9c33-1262c1eded13</vt:lpwstr>
  </property>
  <property fmtid="{D5CDD505-2E9C-101B-9397-08002B2CF9AE}" pid="7" name="MSIP_Label_defa4170-0d19-0005-0004-bc88714345d2_ActionId">
    <vt:lpwstr>93e3fd39-454e-407f-b9ef-bf09fd075d76</vt:lpwstr>
  </property>
  <property fmtid="{D5CDD505-2E9C-101B-9397-08002B2CF9AE}" pid="8" name="MSIP_Label_defa4170-0d19-0005-0004-bc88714345d2_ContentBits">
    <vt:lpwstr>0</vt:lpwstr>
  </property>
</Properties>
</file>