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Лист1!$A$1:$AM$42</definedName>
  </definedNames>
  <calcPr calcId="144525"/>
</workbook>
</file>

<file path=xl/calcChain.xml><?xml version="1.0" encoding="utf-8"?>
<calcChain xmlns="http://schemas.openxmlformats.org/spreadsheetml/2006/main">
  <c r="K34" i="1" l="1"/>
  <c r="K11" i="1"/>
  <c r="K12" i="1" s="1"/>
  <c r="F34" i="1"/>
  <c r="F11" i="1"/>
  <c r="F12" i="1" s="1"/>
  <c r="I34" i="1"/>
  <c r="C34" i="1"/>
  <c r="I11" i="1"/>
  <c r="I13" i="1" s="1"/>
  <c r="C11" i="1"/>
  <c r="C13" i="1" s="1"/>
  <c r="K13" i="1" l="1"/>
  <c r="F13" i="1"/>
  <c r="I12" i="1"/>
  <c r="C12" i="1"/>
  <c r="E30" i="1" l="1"/>
  <c r="B30" i="1"/>
  <c r="E32" i="1"/>
  <c r="B32" i="1"/>
  <c r="H26" i="1" l="1"/>
  <c r="H25" i="1"/>
  <c r="H24" i="1"/>
  <c r="J26" i="1"/>
  <c r="J25" i="1"/>
  <c r="J24" i="1"/>
  <c r="E24" i="1"/>
  <c r="E25" i="1"/>
  <c r="E26" i="1"/>
  <c r="B24" i="1"/>
  <c r="B25" i="1"/>
  <c r="B26" i="1"/>
  <c r="I27" i="1" l="1"/>
  <c r="C27" i="1"/>
  <c r="K27" i="1"/>
  <c r="F27" i="1"/>
  <c r="E29" i="1" l="1"/>
  <c r="B29" i="1" l="1"/>
  <c r="P34" i="1" l="1"/>
  <c r="AJ34" i="1"/>
  <c r="AG34" i="1"/>
  <c r="AJ33" i="1"/>
  <c r="AJ27" i="1"/>
  <c r="AC34" i="1"/>
  <c r="Z34" i="1"/>
  <c r="T34" i="1"/>
  <c r="W34" i="1"/>
  <c r="AF24" i="1"/>
  <c r="AG27" i="1" s="1"/>
  <c r="Y24" i="1"/>
  <c r="V24" i="1"/>
  <c r="W27" i="1" s="1"/>
  <c r="S24" i="1"/>
  <c r="T27" i="1" s="1"/>
  <c r="O24" i="1"/>
  <c r="P27" i="1" s="1"/>
  <c r="O31" i="1"/>
  <c r="M34" i="1"/>
  <c r="L24" i="1"/>
  <c r="D18" i="1"/>
  <c r="AL13" i="1"/>
  <c r="AM13" i="1"/>
  <c r="AL17" i="1"/>
  <c r="AM17" i="1"/>
  <c r="D37" i="1"/>
  <c r="AG33" i="1"/>
  <c r="Y15" i="1"/>
  <c r="Y14" i="1"/>
  <c r="Y11" i="1"/>
  <c r="AB15" i="1"/>
  <c r="AB14" i="1"/>
  <c r="AB11" i="1"/>
  <c r="AF15" i="1"/>
  <c r="AJ15" i="1" s="1"/>
  <c r="AF14" i="1"/>
  <c r="AJ14" i="1" s="1"/>
  <c r="AF11" i="1"/>
  <c r="AJ11" i="1" s="1"/>
  <c r="AJ13" i="1" s="1"/>
  <c r="AF10" i="1"/>
  <c r="AI10" i="1"/>
  <c r="AC27" i="1"/>
  <c r="AC33" i="1"/>
  <c r="V15" i="1"/>
  <c r="Z15" i="1" s="1"/>
  <c r="V14" i="1"/>
  <c r="Z14" i="1" s="1"/>
  <c r="V11" i="1"/>
  <c r="AC11" i="1" s="1"/>
  <c r="AC13" i="1" s="1"/>
  <c r="S15" i="1"/>
  <c r="S14" i="1"/>
  <c r="S11" i="1"/>
  <c r="T33" i="1"/>
  <c r="L10" i="1"/>
  <c r="O10" i="1"/>
  <c r="S10" i="1"/>
  <c r="V10" i="1"/>
  <c r="Y10" i="1"/>
  <c r="AB10" i="1"/>
  <c r="W33" i="1"/>
  <c r="Z33" i="1"/>
  <c r="Z27" i="1"/>
  <c r="AB27" i="1"/>
  <c r="E15" i="1"/>
  <c r="E14" i="1"/>
  <c r="E11" i="1"/>
  <c r="H15" i="1"/>
  <c r="H14" i="1"/>
  <c r="H11" i="1"/>
  <c r="L15" i="1"/>
  <c r="L14" i="1"/>
  <c r="L11" i="1"/>
  <c r="O15" i="1"/>
  <c r="T15" i="1" s="1"/>
  <c r="O14" i="1"/>
  <c r="T14" i="1" s="1"/>
  <c r="O11" i="1"/>
  <c r="T11" i="1" s="1"/>
  <c r="T13" i="1" s="1"/>
  <c r="P33" i="1"/>
  <c r="M33" i="1"/>
  <c r="Q27" i="1"/>
  <c r="S27" i="1"/>
  <c r="M27" i="1"/>
  <c r="J15" i="1"/>
  <c r="M15" i="1" s="1"/>
  <c r="J14" i="1"/>
  <c r="M14" i="1" s="1"/>
  <c r="J11" i="1"/>
  <c r="P11" i="1" s="1"/>
  <c r="M7" i="1"/>
  <c r="M6" i="1"/>
  <c r="K33" i="1"/>
  <c r="W14" i="1" l="1"/>
  <c r="AC14" i="1" s="1"/>
  <c r="M17" i="1"/>
  <c r="W15" i="1"/>
  <c r="P13" i="1"/>
  <c r="T17" i="1"/>
  <c r="T18" i="1" s="1"/>
  <c r="Z17" i="1"/>
  <c r="AJ17" i="1"/>
  <c r="AJ18" i="1" s="1"/>
  <c r="AI19" i="1" s="1"/>
  <c r="AG14" i="1"/>
  <c r="AG15" i="1"/>
  <c r="AM18" i="1"/>
  <c r="AL18" i="1"/>
  <c r="M11" i="1"/>
  <c r="M13" i="1" s="1"/>
  <c r="W11" i="1"/>
  <c r="W13" i="1" s="1"/>
  <c r="Z11" i="1"/>
  <c r="Z13" i="1" s="1"/>
  <c r="AG11" i="1"/>
  <c r="AG13" i="1" s="1"/>
  <c r="P14" i="1"/>
  <c r="P15" i="1"/>
  <c r="I33" i="1"/>
  <c r="F33" i="1"/>
  <c r="C33" i="1"/>
  <c r="S19" i="1" l="1"/>
  <c r="T20" i="1" s="1"/>
  <c r="T21" i="1" s="1"/>
  <c r="S22" i="1" s="1"/>
  <c r="T22" i="1" s="1"/>
  <c r="T35" i="1" s="1"/>
  <c r="T36" i="1" s="1"/>
  <c r="W17" i="1"/>
  <c r="W18" i="1" s="1"/>
  <c r="Z18" i="1"/>
  <c r="AC15" i="1"/>
  <c r="AC17" i="1" s="1"/>
  <c r="P17" i="1"/>
  <c r="P18" i="1" s="1"/>
  <c r="O19" i="1" s="1"/>
  <c r="AG17" i="1"/>
  <c r="AG18" i="1" s="1"/>
  <c r="M18" i="1"/>
  <c r="AJ20" i="1"/>
  <c r="B15" i="1"/>
  <c r="B14" i="1"/>
  <c r="B11" i="1"/>
  <c r="V19" i="1" l="1"/>
  <c r="W20" i="1" s="1"/>
  <c r="AF19" i="1"/>
  <c r="AG20" i="1" s="1"/>
  <c r="Y19" i="1"/>
  <c r="Z20" i="1" s="1"/>
  <c r="L19" i="1"/>
  <c r="M19" i="1" s="1"/>
  <c r="M21" i="1" s="1"/>
  <c r="AC18" i="1"/>
  <c r="AC20" i="1" s="1"/>
  <c r="AC35" i="1" s="1"/>
  <c r="AC36" i="1" s="1"/>
  <c r="AC37" i="1" s="1"/>
  <c r="C17" i="1"/>
  <c r="AI22" i="1"/>
  <c r="AJ22" i="1" s="1"/>
  <c r="AJ21" i="1"/>
  <c r="P20" i="1"/>
  <c r="I17" i="1"/>
  <c r="Y22" i="1" l="1"/>
  <c r="Z22" i="1" s="1"/>
  <c r="Z21" i="1"/>
  <c r="AG21" i="1"/>
  <c r="AF22" i="1"/>
  <c r="AG22" i="1" s="1"/>
  <c r="W21" i="1"/>
  <c r="V22" i="1"/>
  <c r="W22" i="1" s="1"/>
  <c r="L22" i="1"/>
  <c r="M22" i="1" s="1"/>
  <c r="M35" i="1" s="1"/>
  <c r="M36" i="1" s="1"/>
  <c r="M37" i="1" s="1"/>
  <c r="I18" i="1"/>
  <c r="I20" i="1" s="1"/>
  <c r="K17" i="1"/>
  <c r="F17" i="1"/>
  <c r="C18" i="1"/>
  <c r="AJ35" i="1"/>
  <c r="AJ36" i="1" s="1"/>
  <c r="AJ37" i="1" s="1"/>
  <c r="O22" i="1"/>
  <c r="P22" i="1" s="1"/>
  <c r="P21" i="1"/>
  <c r="K18" i="1" l="1"/>
  <c r="K20" i="1" s="1"/>
  <c r="W35" i="1"/>
  <c r="W36" i="1" s="1"/>
  <c r="W37" i="1" s="1"/>
  <c r="Z35" i="1"/>
  <c r="Z36" i="1" s="1"/>
  <c r="AG35" i="1"/>
  <c r="AG36" i="1" s="1"/>
  <c r="AG37" i="1" s="1"/>
  <c r="F18" i="1"/>
  <c r="F20" i="1" s="1"/>
  <c r="I21" i="1"/>
  <c r="I35" i="1"/>
  <c r="C20" i="1"/>
  <c r="P35" i="1"/>
  <c r="P36" i="1" s="1"/>
  <c r="P37" i="1" s="1"/>
  <c r="C21" i="1" l="1"/>
  <c r="I36" i="1"/>
  <c r="I37" i="1" s="1"/>
  <c r="I38" i="1" s="1"/>
  <c r="K21" i="1"/>
  <c r="F21" i="1"/>
  <c r="C35" i="1" l="1"/>
  <c r="C36" i="1" s="1"/>
  <c r="C37" i="1" s="1"/>
  <c r="C38" i="1" s="1"/>
  <c r="K35" i="1"/>
  <c r="F35" i="1"/>
  <c r="F36" i="1" s="1"/>
  <c r="F37" i="1" s="1"/>
  <c r="F38" i="1" s="1"/>
  <c r="K36" i="1" l="1"/>
  <c r="K37" i="1" s="1"/>
  <c r="K38" i="1" s="1"/>
</calcChain>
</file>

<file path=xl/sharedStrings.xml><?xml version="1.0" encoding="utf-8"?>
<sst xmlns="http://schemas.openxmlformats.org/spreadsheetml/2006/main" count="187" uniqueCount="71">
  <si>
    <t>3 месяца (12 недель)</t>
  </si>
  <si>
    <t>Время обучения</t>
  </si>
  <si>
    <t>Курс</t>
  </si>
  <si>
    <t>Часы теории</t>
  </si>
  <si>
    <t>Уч. Практика</t>
  </si>
  <si>
    <t>Произв. Практика</t>
  </si>
  <si>
    <t>Консультация</t>
  </si>
  <si>
    <t>Экзамен</t>
  </si>
  <si>
    <t>Итого</t>
  </si>
  <si>
    <t>Зп. Преподав.</t>
  </si>
  <si>
    <t>Зп. Мастер</t>
  </si>
  <si>
    <t>Итого з/п</t>
  </si>
  <si>
    <t>Итого преп. и маст.</t>
  </si>
  <si>
    <t>Услуги банка 0,5%</t>
  </si>
  <si>
    <t>Коммун.услуги:</t>
  </si>
  <si>
    <t>Вода</t>
  </si>
  <si>
    <t>Итого коммун</t>
  </si>
  <si>
    <t>Канц.товары</t>
  </si>
  <si>
    <t>Журнал т/о</t>
  </si>
  <si>
    <t>Журнал п/о</t>
  </si>
  <si>
    <t>Свидетельства</t>
  </si>
  <si>
    <t>Бумага</t>
  </si>
  <si>
    <t>Итого канц.</t>
  </si>
  <si>
    <t>Официант переподготовка</t>
  </si>
  <si>
    <t>2 мес (8 недель)</t>
  </si>
  <si>
    <t>Официант повышение</t>
  </si>
  <si>
    <t>1 месяц</t>
  </si>
  <si>
    <t>2,5 мес (11 недель)</t>
  </si>
  <si>
    <t>Продавец непрод. товаров переподготовка</t>
  </si>
  <si>
    <t>Продавец непрод. товаров проф. обуч.</t>
  </si>
  <si>
    <t>Продавец прод. товаров проф. обучение</t>
  </si>
  <si>
    <t>2.5 мес (11 недель)</t>
  </si>
  <si>
    <t>Продавец прод. товаров переподготовка</t>
  </si>
  <si>
    <t>2 мес(8 едель)</t>
  </si>
  <si>
    <t>Выслуга 30%</t>
  </si>
  <si>
    <t>Всего на группу из 10 человек</t>
  </si>
  <si>
    <t>На 1 человека весь курс</t>
  </si>
  <si>
    <t>На  1 человека в мес</t>
  </si>
  <si>
    <t>Электросварщик ручной сварки переподготовка</t>
  </si>
  <si>
    <t>Директор</t>
  </si>
  <si>
    <t>Вр. и.о. гл. бухгалтера</t>
  </si>
  <si>
    <t>В. О. Гостев</t>
  </si>
  <si>
    <t>И. М. Подлесная</t>
  </si>
  <si>
    <t>Расчет затрат на обучение по профессии Продавец непродовольственных товаров и продавец продовольственных товаров по состоянию на 20.05.2019 г</t>
  </si>
  <si>
    <t>Расчет затрат на обучение по профессии Электросварщик ручной сварки по состоянию на 20.05.2019 г</t>
  </si>
  <si>
    <t>Электросварщик ручной сварки проф. обучение</t>
  </si>
  <si>
    <t>АХЧ (15% от з/п)</t>
  </si>
  <si>
    <t>Начисления на оплату труда  28%</t>
  </si>
  <si>
    <t>Электроэнергия</t>
  </si>
  <si>
    <t>Укрепление материально технической базы</t>
  </si>
  <si>
    <t>2125/850</t>
  </si>
  <si>
    <t>1855,00   /1390,00</t>
  </si>
  <si>
    <t>1855,00  /1390,00</t>
  </si>
  <si>
    <t>Технология продукции общественного питания</t>
  </si>
  <si>
    <t>На базе КРС</t>
  </si>
  <si>
    <t>На базее 11 классов</t>
  </si>
  <si>
    <t>2 года 10 мес</t>
  </si>
  <si>
    <t>3 года 10 мес</t>
  </si>
  <si>
    <t>На  1 человека в год</t>
  </si>
  <si>
    <t>На 1 человека в семестр</t>
  </si>
  <si>
    <t>Технология хлеба, кондитерских и макаронных изделий</t>
  </si>
  <si>
    <t>Расчет затрат на заочное обучение по состоянию на 23.05.2019 г</t>
  </si>
  <si>
    <t xml:space="preserve"> </t>
  </si>
  <si>
    <t>160 в год</t>
  </si>
  <si>
    <t>160  год</t>
  </si>
  <si>
    <t>Диплом</t>
  </si>
  <si>
    <t>Повышение  претижности пед. работника 20%</t>
  </si>
  <si>
    <t>Водоснабжение</t>
  </si>
  <si>
    <t>Теплоснабжение</t>
  </si>
  <si>
    <t xml:space="preserve">Итого </t>
  </si>
  <si>
    <t>Выслуга лет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</si>
</sst>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/>
    <xf numFmtId="2" fontId="1" fillId="0" borderId="1" xfId="0" applyNumberFormat="1" applyFont="1" applyBorder="1"/>
    <xf numFmtId="2" fontId="2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9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0" xfId="0" applyFont="1" applyFill="1"/>
    <xf numFmtId="2" fontId="2" fillId="2" borderId="1" xfId="0" applyNumberFormat="1" applyFont="1" applyFill="1" applyBorder="1" applyAlignment="1">
      <alignment wrapText="1"/>
    </xf>
    <xf numFmtId="2" fontId="2" fillId="2" borderId="0" xfId="0" applyNumberFormat="1" applyFont="1" applyFill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2" fontId="2" fillId="2" borderId="0" xfId="0" applyNumberFormat="1" applyFont="1" applyFill="1" applyBorder="1" applyAlignment="1">
      <alignment wrapText="1"/>
    </xf>
    <xf numFmtId="2" fontId="2" fillId="2" borderId="0" xfId="0" applyNumberFormat="1" applyFont="1" applyFill="1" applyBorder="1"/>
    <xf numFmtId="2" fontId="2" fillId="2" borderId="2" xfId="0" applyNumberFormat="1" applyFont="1" applyFill="1" applyBorder="1" applyAlignment="1">
      <alignment wrapText="1"/>
    </xf>
    <xf numFmtId="4" fontId="1" fillId="3" borderId="1" xfId="0" applyNumberFormat="1" applyFont="1" applyFill="1" applyBorder="1"/>
    <xf numFmtId="2" fontId="1" fillId="3" borderId="1" xfId="0" applyNumberFormat="1" applyFont="1" applyFill="1" applyBorder="1"/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tabSelected="1" view="pageBreakPreview" zoomScale="110" zoomScaleNormal="100" zoomScaleSheetLayoutView="110" workbookViewId="0">
      <selection activeCell="A18" sqref="A18"/>
    </sheetView>
  </sheetViews>
  <sheetFormatPr defaultRowHeight="15.75" x14ac:dyDescent="0.25"/>
  <cols>
    <col min="1" max="1" width="23.28515625" style="1" customWidth="1"/>
    <col min="2" max="2" width="11.42578125" style="1" customWidth="1"/>
    <col min="3" max="3" width="12.7109375" style="1" customWidth="1"/>
    <col min="4" max="4" width="6.42578125" style="1" hidden="1" customWidth="1"/>
    <col min="5" max="5" width="11.42578125" style="1" customWidth="1"/>
    <col min="6" max="6" width="12.28515625" style="1" customWidth="1"/>
    <col min="7" max="7" width="23" style="1" customWidth="1"/>
    <col min="8" max="8" width="10.7109375" style="1" customWidth="1"/>
    <col min="9" max="9" width="11.140625" style="1" customWidth="1"/>
    <col min="10" max="10" width="11" style="1" customWidth="1"/>
    <col min="11" max="11" width="11.85546875" style="1" customWidth="1"/>
    <col min="12" max="12" width="10" style="1" hidden="1" customWidth="1"/>
    <col min="13" max="13" width="13.140625" style="1" hidden="1" customWidth="1"/>
    <col min="14" max="15" width="10" style="1" hidden="1" customWidth="1"/>
    <col min="16" max="16" width="11.140625" style="1" hidden="1" customWidth="1"/>
    <col min="17" max="17" width="10.140625" style="1" hidden="1" customWidth="1"/>
    <col min="18" max="18" width="21.85546875" style="1" hidden="1" customWidth="1"/>
    <col min="19" max="19" width="10" style="1" hidden="1" customWidth="1"/>
    <col min="20" max="20" width="11.85546875" style="1" hidden="1" customWidth="1"/>
    <col min="21" max="21" width="9.140625" style="1" hidden="1" customWidth="1"/>
    <col min="22" max="22" width="11.140625" style="1" hidden="1" customWidth="1"/>
    <col min="23" max="23" width="11.5703125" style="1" hidden="1" customWidth="1"/>
    <col min="24" max="24" width="10" style="1" hidden="1" customWidth="1"/>
    <col min="25" max="25" width="11.140625" style="1" hidden="1" customWidth="1"/>
    <col min="26" max="26" width="12.140625" style="1" hidden="1" customWidth="1"/>
    <col min="27" max="27" width="10.140625" style="1" hidden="1" customWidth="1"/>
    <col min="28" max="28" width="11.140625" style="1" hidden="1" customWidth="1"/>
    <col min="29" max="29" width="11.85546875" style="1" hidden="1" customWidth="1"/>
    <col min="30" max="30" width="10.7109375" style="1" hidden="1" customWidth="1"/>
    <col min="31" max="31" width="19" style="1" hidden="1" customWidth="1"/>
    <col min="32" max="32" width="10.7109375" style="1" hidden="1" customWidth="1"/>
    <col min="33" max="33" width="11.140625" style="1" hidden="1" customWidth="1"/>
    <col min="34" max="34" width="9.140625" style="1" hidden="1" customWidth="1"/>
    <col min="35" max="35" width="11" style="1" hidden="1" customWidth="1"/>
    <col min="36" max="36" width="12.28515625" style="1" hidden="1" customWidth="1"/>
    <col min="37" max="37" width="9.140625" style="1" hidden="1" customWidth="1"/>
    <col min="38" max="39" width="5.28515625" style="1" hidden="1" customWidth="1"/>
    <col min="40" max="16384" width="9.140625" style="1"/>
  </cols>
  <sheetData>
    <row r="1" spans="1:39" x14ac:dyDescent="0.25">
      <c r="A1" s="28" t="s">
        <v>61</v>
      </c>
      <c r="B1" s="28"/>
      <c r="C1" s="28"/>
      <c r="D1" s="28"/>
      <c r="E1" s="28"/>
      <c r="F1" s="28"/>
      <c r="G1" s="28" t="s">
        <v>61</v>
      </c>
      <c r="H1" s="28"/>
      <c r="I1" s="28"/>
      <c r="J1" s="28"/>
      <c r="K1" s="28"/>
      <c r="R1" s="1" t="s">
        <v>43</v>
      </c>
      <c r="AE1" s="28" t="s">
        <v>44</v>
      </c>
      <c r="AF1" s="28"/>
      <c r="AG1" s="28"/>
      <c r="AH1" s="28"/>
      <c r="AI1" s="28"/>
      <c r="AJ1" s="28"/>
      <c r="AK1" s="28"/>
    </row>
    <row r="2" spans="1:39" s="11" customFormat="1" x14ac:dyDescent="0.25">
      <c r="A2" s="5"/>
      <c r="B2" s="32" t="s">
        <v>53</v>
      </c>
      <c r="C2" s="32"/>
      <c r="D2" s="32"/>
      <c r="E2" s="32"/>
      <c r="F2" s="32"/>
      <c r="G2" s="5"/>
      <c r="H2" s="32" t="s">
        <v>60</v>
      </c>
      <c r="I2" s="32"/>
      <c r="J2" s="32"/>
      <c r="K2" s="32"/>
      <c r="AE2" s="22"/>
      <c r="AF2" s="22"/>
      <c r="AG2" s="22"/>
      <c r="AH2" s="22"/>
      <c r="AI2" s="22"/>
      <c r="AJ2" s="22"/>
      <c r="AK2" s="22"/>
    </row>
    <row r="3" spans="1:39" s="21" customFormat="1" x14ac:dyDescent="0.25">
      <c r="A3" s="20" t="s">
        <v>2</v>
      </c>
      <c r="B3" s="29" t="s">
        <v>54</v>
      </c>
      <c r="C3" s="30"/>
      <c r="D3" s="20"/>
      <c r="E3" s="29" t="s">
        <v>55</v>
      </c>
      <c r="F3" s="30"/>
      <c r="G3" s="20" t="s">
        <v>2</v>
      </c>
      <c r="H3" s="29" t="s">
        <v>54</v>
      </c>
      <c r="I3" s="30"/>
      <c r="J3" s="29" t="s">
        <v>55</v>
      </c>
      <c r="K3" s="30"/>
      <c r="L3" s="29" t="s">
        <v>23</v>
      </c>
      <c r="M3" s="30"/>
      <c r="N3" s="31"/>
      <c r="O3" s="29" t="s">
        <v>25</v>
      </c>
      <c r="P3" s="30"/>
      <c r="Q3" s="31"/>
      <c r="R3" s="20" t="s">
        <v>2</v>
      </c>
      <c r="S3" s="29" t="s">
        <v>29</v>
      </c>
      <c r="T3" s="30"/>
      <c r="U3" s="31"/>
      <c r="V3" s="29" t="s">
        <v>28</v>
      </c>
      <c r="W3" s="30"/>
      <c r="X3" s="31"/>
      <c r="Y3" s="29" t="s">
        <v>30</v>
      </c>
      <c r="Z3" s="30"/>
      <c r="AA3" s="31"/>
      <c r="AB3" s="29" t="s">
        <v>32</v>
      </c>
      <c r="AC3" s="30"/>
      <c r="AD3" s="31"/>
      <c r="AE3" s="20" t="s">
        <v>2</v>
      </c>
      <c r="AF3" s="29" t="s">
        <v>45</v>
      </c>
      <c r="AG3" s="30"/>
      <c r="AH3" s="31"/>
      <c r="AI3" s="29" t="s">
        <v>38</v>
      </c>
      <c r="AJ3" s="30"/>
      <c r="AK3" s="31"/>
      <c r="AL3" s="20"/>
      <c r="AM3" s="20"/>
    </row>
    <row r="4" spans="1:39" x14ac:dyDescent="0.25">
      <c r="A4" s="3" t="s">
        <v>1</v>
      </c>
      <c r="B4" s="33" t="s">
        <v>56</v>
      </c>
      <c r="C4" s="34"/>
      <c r="D4" s="2"/>
      <c r="E4" s="33" t="s">
        <v>57</v>
      </c>
      <c r="F4" s="34"/>
      <c r="G4" s="3" t="s">
        <v>1</v>
      </c>
      <c r="H4" s="33" t="s">
        <v>56</v>
      </c>
      <c r="I4" s="34"/>
      <c r="J4" s="33" t="s">
        <v>57</v>
      </c>
      <c r="K4" s="34"/>
      <c r="L4" s="2" t="s">
        <v>24</v>
      </c>
      <c r="M4" s="2"/>
      <c r="N4" s="2"/>
      <c r="O4" s="2" t="s">
        <v>26</v>
      </c>
      <c r="P4" s="2"/>
      <c r="Q4" s="2"/>
      <c r="R4" s="3" t="s">
        <v>1</v>
      </c>
      <c r="S4" s="2" t="s">
        <v>27</v>
      </c>
      <c r="T4" s="2"/>
      <c r="U4" s="2"/>
      <c r="V4" s="2" t="s">
        <v>24</v>
      </c>
      <c r="W4" s="2"/>
      <c r="X4" s="2"/>
      <c r="Y4" s="2" t="s">
        <v>31</v>
      </c>
      <c r="Z4" s="2"/>
      <c r="AA4" s="2"/>
      <c r="AB4" s="2" t="s">
        <v>33</v>
      </c>
      <c r="AC4" s="2"/>
      <c r="AD4" s="2"/>
      <c r="AE4" s="3" t="s">
        <v>1</v>
      </c>
      <c r="AF4" s="2" t="s">
        <v>0</v>
      </c>
      <c r="AG4" s="2"/>
      <c r="AH4" s="2"/>
      <c r="AI4" s="2" t="s">
        <v>24</v>
      </c>
      <c r="AJ4" s="2"/>
      <c r="AK4" s="2"/>
      <c r="AL4" s="2"/>
      <c r="AM4" s="2"/>
    </row>
    <row r="5" spans="1:39" x14ac:dyDescent="0.25">
      <c r="A5" s="3" t="s">
        <v>3</v>
      </c>
      <c r="B5" s="6">
        <v>480</v>
      </c>
      <c r="C5" s="6" t="s">
        <v>63</v>
      </c>
      <c r="D5" s="2"/>
      <c r="E5" s="2">
        <v>640</v>
      </c>
      <c r="F5" s="2" t="s">
        <v>63</v>
      </c>
      <c r="G5" s="3" t="s">
        <v>3</v>
      </c>
      <c r="H5" s="2">
        <v>480</v>
      </c>
      <c r="I5" s="2" t="s">
        <v>64</v>
      </c>
      <c r="J5" s="2">
        <v>640</v>
      </c>
      <c r="K5" s="2" t="s">
        <v>63</v>
      </c>
      <c r="L5" s="2">
        <v>138</v>
      </c>
      <c r="M5" s="2">
        <v>18</v>
      </c>
      <c r="N5" s="2"/>
      <c r="O5" s="2">
        <v>47</v>
      </c>
      <c r="P5" s="2">
        <v>6</v>
      </c>
      <c r="Q5" s="2"/>
      <c r="R5" s="3" t="s">
        <v>3</v>
      </c>
      <c r="S5" s="2">
        <v>180</v>
      </c>
      <c r="T5" s="2">
        <v>23</v>
      </c>
      <c r="U5" s="2"/>
      <c r="V5" s="2">
        <v>138</v>
      </c>
      <c r="W5" s="2">
        <v>18</v>
      </c>
      <c r="X5" s="2"/>
      <c r="Y5" s="2">
        <v>180</v>
      </c>
      <c r="Z5" s="2">
        <v>23</v>
      </c>
      <c r="AA5" s="2"/>
      <c r="AB5" s="2">
        <v>138</v>
      </c>
      <c r="AC5" s="2">
        <v>23</v>
      </c>
      <c r="AD5" s="2"/>
      <c r="AE5" s="3" t="s">
        <v>3</v>
      </c>
      <c r="AF5" s="2">
        <v>210</v>
      </c>
      <c r="AG5" s="2">
        <v>27</v>
      </c>
      <c r="AH5" s="2"/>
      <c r="AI5" s="2">
        <v>138</v>
      </c>
      <c r="AJ5" s="2">
        <v>18</v>
      </c>
      <c r="AK5" s="2"/>
      <c r="AL5" s="2"/>
      <c r="AM5" s="2"/>
    </row>
    <row r="6" spans="1:39" hidden="1" x14ac:dyDescent="0.25">
      <c r="A6" s="3" t="s">
        <v>4</v>
      </c>
      <c r="B6" s="6">
        <v>0</v>
      </c>
      <c r="C6" s="6"/>
      <c r="D6" s="2"/>
      <c r="E6" s="2"/>
      <c r="F6" s="2"/>
      <c r="G6" s="3" t="s">
        <v>4</v>
      </c>
      <c r="H6" s="2"/>
      <c r="I6" s="2"/>
      <c r="J6" s="2"/>
      <c r="K6" s="2"/>
      <c r="L6" s="2">
        <v>42</v>
      </c>
      <c r="M6" s="2">
        <f>L6/6</f>
        <v>7</v>
      </c>
      <c r="N6" s="2"/>
      <c r="O6" s="2">
        <v>24</v>
      </c>
      <c r="P6" s="2">
        <v>4</v>
      </c>
      <c r="Q6" s="2"/>
      <c r="R6" s="3" t="s">
        <v>4</v>
      </c>
      <c r="S6" s="2">
        <v>66</v>
      </c>
      <c r="T6" s="2">
        <v>11</v>
      </c>
      <c r="U6" s="2"/>
      <c r="V6" s="2">
        <v>42</v>
      </c>
      <c r="W6" s="2">
        <v>7</v>
      </c>
      <c r="X6" s="2"/>
      <c r="Y6" s="2">
        <v>66</v>
      </c>
      <c r="Z6" s="2">
        <v>6</v>
      </c>
      <c r="AA6" s="2"/>
      <c r="AB6" s="2">
        <v>42</v>
      </c>
      <c r="AC6" s="2">
        <v>11</v>
      </c>
      <c r="AD6" s="2"/>
      <c r="AE6" s="3" t="s">
        <v>4</v>
      </c>
      <c r="AF6" s="2">
        <v>78</v>
      </c>
      <c r="AG6" s="2">
        <v>13</v>
      </c>
      <c r="AH6" s="2"/>
      <c r="AI6" s="2">
        <v>42</v>
      </c>
      <c r="AJ6" s="2">
        <v>7</v>
      </c>
      <c r="AK6" s="2"/>
      <c r="AL6" s="2"/>
      <c r="AM6" s="2"/>
    </row>
    <row r="7" spans="1:39" hidden="1" x14ac:dyDescent="0.25">
      <c r="A7" s="3" t="s">
        <v>5</v>
      </c>
      <c r="B7" s="6">
        <v>0</v>
      </c>
      <c r="C7" s="6"/>
      <c r="D7" s="2"/>
      <c r="E7" s="2"/>
      <c r="F7" s="2"/>
      <c r="G7" s="3" t="s">
        <v>5</v>
      </c>
      <c r="H7" s="2"/>
      <c r="I7" s="2"/>
      <c r="J7" s="2"/>
      <c r="K7" s="2"/>
      <c r="L7" s="2">
        <v>112</v>
      </c>
      <c r="M7" s="2">
        <f>L7/7</f>
        <v>16</v>
      </c>
      <c r="N7" s="2"/>
      <c r="O7" s="2">
        <v>84</v>
      </c>
      <c r="P7" s="2">
        <v>12</v>
      </c>
      <c r="Q7" s="2"/>
      <c r="R7" s="3" t="s">
        <v>5</v>
      </c>
      <c r="S7" s="2">
        <v>168</v>
      </c>
      <c r="T7" s="2">
        <v>24</v>
      </c>
      <c r="U7" s="2"/>
      <c r="V7" s="2">
        <v>112</v>
      </c>
      <c r="W7" s="2">
        <v>16</v>
      </c>
      <c r="X7" s="2"/>
      <c r="Y7" s="2">
        <v>168</v>
      </c>
      <c r="Z7" s="2">
        <v>24</v>
      </c>
      <c r="AA7" s="2"/>
      <c r="AB7" s="2">
        <v>112</v>
      </c>
      <c r="AC7" s="2">
        <v>24</v>
      </c>
      <c r="AD7" s="2"/>
      <c r="AE7" s="3" t="s">
        <v>5</v>
      </c>
      <c r="AF7" s="2">
        <v>152</v>
      </c>
      <c r="AG7" s="2">
        <v>22</v>
      </c>
      <c r="AH7" s="2"/>
      <c r="AI7" s="2">
        <v>112</v>
      </c>
      <c r="AJ7" s="2">
        <v>16</v>
      </c>
      <c r="AK7" s="2"/>
      <c r="AL7" s="2"/>
      <c r="AM7" s="2"/>
    </row>
    <row r="8" spans="1:39" x14ac:dyDescent="0.25">
      <c r="A8" s="3" t="s">
        <v>6</v>
      </c>
      <c r="B8" s="6">
        <v>40</v>
      </c>
      <c r="C8" s="6"/>
      <c r="D8" s="2"/>
      <c r="E8" s="6">
        <v>40</v>
      </c>
      <c r="F8" s="2"/>
      <c r="G8" s="3" t="s">
        <v>6</v>
      </c>
      <c r="H8" s="6">
        <v>40</v>
      </c>
      <c r="I8" s="2"/>
      <c r="J8" s="6">
        <v>40</v>
      </c>
      <c r="K8" s="2"/>
      <c r="L8" s="2">
        <v>2</v>
      </c>
      <c r="M8" s="2"/>
      <c r="N8" s="2"/>
      <c r="O8" s="2">
        <v>2</v>
      </c>
      <c r="P8" s="2"/>
      <c r="Q8" s="2"/>
      <c r="R8" s="3" t="s">
        <v>6</v>
      </c>
      <c r="S8" s="2">
        <v>2</v>
      </c>
      <c r="T8" s="2"/>
      <c r="U8" s="2"/>
      <c r="V8" s="2">
        <v>2</v>
      </c>
      <c r="W8" s="2"/>
      <c r="X8" s="2"/>
      <c r="Y8" s="2">
        <v>2</v>
      </c>
      <c r="Z8" s="2"/>
      <c r="AA8" s="2"/>
      <c r="AB8" s="2">
        <v>2</v>
      </c>
      <c r="AC8" s="2"/>
      <c r="AD8" s="2"/>
      <c r="AE8" s="3" t="s">
        <v>6</v>
      </c>
      <c r="AF8" s="2">
        <v>2</v>
      </c>
      <c r="AG8" s="2"/>
      <c r="AH8" s="2"/>
      <c r="AI8" s="2">
        <v>2</v>
      </c>
      <c r="AJ8" s="2"/>
      <c r="AK8" s="2"/>
      <c r="AL8" s="2"/>
      <c r="AM8" s="2"/>
    </row>
    <row r="9" spans="1:39" x14ac:dyDescent="0.25">
      <c r="A9" s="3" t="s">
        <v>7</v>
      </c>
      <c r="B9" s="6">
        <v>25</v>
      </c>
      <c r="C9" s="6"/>
      <c r="D9" s="2"/>
      <c r="E9" s="6">
        <v>25</v>
      </c>
      <c r="F9" s="2"/>
      <c r="G9" s="3" t="s">
        <v>7</v>
      </c>
      <c r="H9" s="6">
        <v>25</v>
      </c>
      <c r="I9" s="2"/>
      <c r="J9" s="6">
        <v>25</v>
      </c>
      <c r="K9" s="2"/>
      <c r="L9" s="2">
        <v>2.5</v>
      </c>
      <c r="M9" s="2"/>
      <c r="N9" s="2"/>
      <c r="O9" s="2">
        <v>2.5</v>
      </c>
      <c r="P9" s="2"/>
      <c r="Q9" s="2"/>
      <c r="R9" s="3" t="s">
        <v>7</v>
      </c>
      <c r="S9" s="2">
        <v>2.5</v>
      </c>
      <c r="T9" s="2"/>
      <c r="U9" s="2"/>
      <c r="V9" s="2">
        <v>2.5</v>
      </c>
      <c r="W9" s="2"/>
      <c r="X9" s="2"/>
      <c r="Y9" s="2">
        <v>2.5</v>
      </c>
      <c r="Z9" s="2"/>
      <c r="AA9" s="2"/>
      <c r="AB9" s="2">
        <v>2.5</v>
      </c>
      <c r="AC9" s="2"/>
      <c r="AD9" s="2"/>
      <c r="AE9" s="3" t="s">
        <v>7</v>
      </c>
      <c r="AF9" s="2">
        <v>2.5</v>
      </c>
      <c r="AG9" s="2"/>
      <c r="AH9" s="2"/>
      <c r="AI9" s="2">
        <v>2.5</v>
      </c>
      <c r="AJ9" s="2"/>
      <c r="AK9" s="2"/>
      <c r="AL9" s="2"/>
      <c r="AM9" s="2"/>
    </row>
    <row r="10" spans="1:39" s="11" customFormat="1" x14ac:dyDescent="0.25">
      <c r="A10" s="4" t="s">
        <v>8</v>
      </c>
      <c r="B10" s="5">
        <v>545</v>
      </c>
      <c r="C10" s="5"/>
      <c r="D10" s="5"/>
      <c r="E10" s="5">
        <v>705</v>
      </c>
      <c r="F10" s="5"/>
      <c r="G10" s="4" t="s">
        <v>8</v>
      </c>
      <c r="H10" s="5">
        <v>545</v>
      </c>
      <c r="I10" s="5"/>
      <c r="J10" s="5">
        <v>705</v>
      </c>
      <c r="K10" s="5"/>
      <c r="L10" s="5">
        <f>SUM(L5:L9)</f>
        <v>296.5</v>
      </c>
      <c r="M10" s="5"/>
      <c r="N10" s="5"/>
      <c r="O10" s="5">
        <f>SUM(O5:O9)</f>
        <v>159.5</v>
      </c>
      <c r="P10" s="5"/>
      <c r="Q10" s="5"/>
      <c r="R10" s="4" t="s">
        <v>8</v>
      </c>
      <c r="S10" s="5">
        <f>SUM(S5:S9)</f>
        <v>418.5</v>
      </c>
      <c r="T10" s="5"/>
      <c r="U10" s="5"/>
      <c r="V10" s="5">
        <f>SUM(V5:V9)</f>
        <v>296.5</v>
      </c>
      <c r="W10" s="5"/>
      <c r="X10" s="5"/>
      <c r="Y10" s="5">
        <f>SUM(Y5:Y9)</f>
        <v>418.5</v>
      </c>
      <c r="Z10" s="5"/>
      <c r="AA10" s="5"/>
      <c r="AB10" s="5">
        <f>SUM(AB5:AB9)</f>
        <v>296.5</v>
      </c>
      <c r="AC10" s="5"/>
      <c r="AD10" s="5"/>
      <c r="AE10" s="4" t="s">
        <v>8</v>
      </c>
      <c r="AF10" s="5">
        <f>SUM(AF5:AF9)</f>
        <v>444.5</v>
      </c>
      <c r="AG10" s="5"/>
      <c r="AH10" s="5"/>
      <c r="AI10" s="5">
        <f>SUM(AI5:AI9)</f>
        <v>296.5</v>
      </c>
      <c r="AJ10" s="5"/>
      <c r="AK10" s="5"/>
      <c r="AL10" s="5"/>
      <c r="AM10" s="5"/>
    </row>
    <row r="11" spans="1:39" x14ac:dyDescent="0.25">
      <c r="A11" s="3" t="s">
        <v>9</v>
      </c>
      <c r="B11" s="9">
        <f>5803/72</f>
        <v>80.597222222222229</v>
      </c>
      <c r="C11" s="7">
        <f>108.81*545</f>
        <v>59301.450000000004</v>
      </c>
      <c r="D11" s="7"/>
      <c r="E11" s="9">
        <f>5803/72</f>
        <v>80.597222222222229</v>
      </c>
      <c r="F11" s="7">
        <f>108.81*705</f>
        <v>76711.05</v>
      </c>
      <c r="G11" s="3" t="s">
        <v>9</v>
      </c>
      <c r="H11" s="9">
        <f>5803/72</f>
        <v>80.597222222222229</v>
      </c>
      <c r="I11" s="7">
        <f>108.81*545</f>
        <v>59301.450000000004</v>
      </c>
      <c r="J11" s="9">
        <f>5803/72</f>
        <v>80.597222222222229</v>
      </c>
      <c r="K11" s="7">
        <f>108.81*705</f>
        <v>76711.05</v>
      </c>
      <c r="L11" s="9">
        <f>5803/72</f>
        <v>80.597222222222229</v>
      </c>
      <c r="M11" s="7">
        <f>J11*142.5</f>
        <v>11485.104166666668</v>
      </c>
      <c r="N11" s="7"/>
      <c r="O11" s="9">
        <f>5803/72</f>
        <v>80.597222222222229</v>
      </c>
      <c r="P11" s="7">
        <f>J11*51.5</f>
        <v>4150.7569444444443</v>
      </c>
      <c r="Q11" s="2"/>
      <c r="R11" s="3" t="s">
        <v>9</v>
      </c>
      <c r="S11" s="9">
        <f>5803/72</f>
        <v>80.597222222222229</v>
      </c>
      <c r="T11" s="2">
        <f>O11*184.5</f>
        <v>14870.187500000002</v>
      </c>
      <c r="U11" s="2"/>
      <c r="V11" s="9">
        <f>5803/72</f>
        <v>80.597222222222229</v>
      </c>
      <c r="W11" s="7">
        <f>V11*142.5</f>
        <v>11485.104166666668</v>
      </c>
      <c r="X11" s="2"/>
      <c r="Y11" s="9">
        <f>5803/72</f>
        <v>80.597222222222229</v>
      </c>
      <c r="Z11" s="7">
        <f>V11*184.5</f>
        <v>14870.187500000002</v>
      </c>
      <c r="AA11" s="7"/>
      <c r="AB11" s="9">
        <f>5803/72</f>
        <v>80.597222222222229</v>
      </c>
      <c r="AC11" s="7">
        <f>V11*142.5</f>
        <v>11485.104166666668</v>
      </c>
      <c r="AD11" s="7"/>
      <c r="AE11" s="3" t="s">
        <v>9</v>
      </c>
      <c r="AF11" s="9">
        <f>5803/72</f>
        <v>80.597222222222229</v>
      </c>
      <c r="AG11" s="9">
        <f>AF11*214.5</f>
        <v>17288.104166666668</v>
      </c>
      <c r="AH11" s="9"/>
      <c r="AI11" s="9"/>
      <c r="AJ11" s="9">
        <f>AF11*142.5</f>
        <v>11485.104166666668</v>
      </c>
      <c r="AK11" s="9"/>
      <c r="AL11" s="9"/>
      <c r="AM11" s="2"/>
    </row>
    <row r="12" spans="1:39" ht="47.25" x14ac:dyDescent="0.25">
      <c r="A12" s="12" t="s">
        <v>66</v>
      </c>
      <c r="B12" s="9"/>
      <c r="C12" s="7">
        <f>C11*20/100</f>
        <v>11860.29</v>
      </c>
      <c r="D12" s="7"/>
      <c r="E12" s="9"/>
      <c r="F12" s="7">
        <f>F11*20/100</f>
        <v>15342.21</v>
      </c>
      <c r="G12" s="12" t="s">
        <v>66</v>
      </c>
      <c r="H12" s="9"/>
      <c r="I12" s="7">
        <f>I11*20/100</f>
        <v>11860.29</v>
      </c>
      <c r="J12" s="9"/>
      <c r="K12" s="7">
        <f>K11*20/100</f>
        <v>15342.21</v>
      </c>
      <c r="L12" s="9"/>
      <c r="M12" s="7"/>
      <c r="N12" s="7"/>
      <c r="O12" s="9"/>
      <c r="P12" s="7"/>
      <c r="Q12" s="2"/>
      <c r="R12" s="12">
        <v>0.2</v>
      </c>
      <c r="S12" s="9"/>
      <c r="T12" s="2"/>
      <c r="U12" s="2"/>
      <c r="V12" s="9"/>
      <c r="W12" s="7"/>
      <c r="X12" s="2"/>
      <c r="Y12" s="9"/>
      <c r="Z12" s="7"/>
      <c r="AA12" s="7"/>
      <c r="AB12" s="9"/>
      <c r="AC12" s="7"/>
      <c r="AD12" s="7"/>
      <c r="AE12" s="12">
        <v>0.2</v>
      </c>
      <c r="AF12" s="9"/>
      <c r="AG12" s="9"/>
      <c r="AH12" s="9"/>
      <c r="AI12" s="9"/>
      <c r="AJ12" s="9"/>
      <c r="AK12" s="9"/>
      <c r="AL12" s="9"/>
      <c r="AM12" s="2"/>
    </row>
    <row r="13" spans="1:39" x14ac:dyDescent="0.25">
      <c r="A13" s="3" t="s">
        <v>70</v>
      </c>
      <c r="B13" s="9"/>
      <c r="C13" s="7">
        <f>C11*30/100</f>
        <v>17790.435000000001</v>
      </c>
      <c r="D13" s="7"/>
      <c r="E13" s="9"/>
      <c r="F13" s="7">
        <f>F11*30/100</f>
        <v>23013.314999999999</v>
      </c>
      <c r="G13" s="3" t="s">
        <v>34</v>
      </c>
      <c r="H13" s="9"/>
      <c r="I13" s="7">
        <f>I11*30/100</f>
        <v>17790.435000000001</v>
      </c>
      <c r="J13" s="7"/>
      <c r="K13" s="7">
        <f>K11*30/100</f>
        <v>23013.314999999999</v>
      </c>
      <c r="L13" s="7"/>
      <c r="M13" s="7">
        <f>M11*30/100</f>
        <v>3445.5312500000005</v>
      </c>
      <c r="N13" s="7"/>
      <c r="O13" s="7"/>
      <c r="P13" s="7">
        <f>P11*30/100</f>
        <v>1245.2270833333332</v>
      </c>
      <c r="Q13" s="7"/>
      <c r="R13" s="3" t="s">
        <v>34</v>
      </c>
      <c r="S13" s="7"/>
      <c r="T13" s="7">
        <f>T11*30/100</f>
        <v>4461.0562500000005</v>
      </c>
      <c r="U13" s="7"/>
      <c r="V13" s="7"/>
      <c r="W13" s="7">
        <f>W11*30/100</f>
        <v>3445.5312500000005</v>
      </c>
      <c r="X13" s="7"/>
      <c r="Y13" s="7"/>
      <c r="Z13" s="7">
        <f>Z11*30/100</f>
        <v>4461.0562500000005</v>
      </c>
      <c r="AA13" s="7"/>
      <c r="AB13" s="7"/>
      <c r="AC13" s="7">
        <f>AC11*30/100</f>
        <v>3445.5312500000005</v>
      </c>
      <c r="AD13" s="7"/>
      <c r="AE13" s="3" t="s">
        <v>34</v>
      </c>
      <c r="AF13" s="7"/>
      <c r="AG13" s="7">
        <f>AG11*30/100</f>
        <v>5186.4312500000005</v>
      </c>
      <c r="AH13" s="7"/>
      <c r="AI13" s="7"/>
      <c r="AJ13" s="7">
        <f>AJ11*30/100</f>
        <v>3445.5312500000005</v>
      </c>
      <c r="AK13" s="7"/>
      <c r="AL13" s="7">
        <f>AL11*30/100</f>
        <v>0</v>
      </c>
      <c r="AM13" s="7">
        <f>AM11*30/100</f>
        <v>0</v>
      </c>
    </row>
    <row r="14" spans="1:39" hidden="1" x14ac:dyDescent="0.25">
      <c r="A14" s="3" t="s">
        <v>10</v>
      </c>
      <c r="B14" s="9">
        <f>5803/149.4</f>
        <v>38.842034805890229</v>
      </c>
      <c r="C14" s="9"/>
      <c r="D14" s="7"/>
      <c r="E14" s="9">
        <f>5803/149.4</f>
        <v>38.842034805890229</v>
      </c>
      <c r="F14" s="7"/>
      <c r="G14" s="3" t="s">
        <v>10</v>
      </c>
      <c r="H14" s="9">
        <f>5803/149.4</f>
        <v>38.842034805890229</v>
      </c>
      <c r="I14" s="7"/>
      <c r="J14" s="9">
        <f>5803/149.4</f>
        <v>38.842034805890229</v>
      </c>
      <c r="K14" s="7"/>
      <c r="L14" s="9">
        <f>5803/149.4</f>
        <v>38.842034805890229</v>
      </c>
      <c r="M14" s="7">
        <f>J14*42</f>
        <v>1631.3654618473897</v>
      </c>
      <c r="N14" s="7"/>
      <c r="O14" s="9">
        <f>5803/149.4</f>
        <v>38.842034805890229</v>
      </c>
      <c r="P14" s="2">
        <f>J14*O6</f>
        <v>932.20883534136556</v>
      </c>
      <c r="Q14" s="2"/>
      <c r="R14" s="3" t="s">
        <v>10</v>
      </c>
      <c r="S14" s="9">
        <f>5803/149.4</f>
        <v>38.842034805890229</v>
      </c>
      <c r="T14" s="2">
        <f>O14*66</f>
        <v>2563.5742971887553</v>
      </c>
      <c r="U14" s="2"/>
      <c r="V14" s="9">
        <f>5803/149.4</f>
        <v>38.842034805890229</v>
      </c>
      <c r="W14" s="7">
        <f>V14*42</f>
        <v>1631.3654618473897</v>
      </c>
      <c r="X14" s="2"/>
      <c r="Y14" s="9">
        <f>5803/149.4</f>
        <v>38.842034805890229</v>
      </c>
      <c r="Z14" s="7">
        <f>V14*66</f>
        <v>2563.5742971887553</v>
      </c>
      <c r="AA14" s="7"/>
      <c r="AB14" s="9">
        <f>5803/149.4</f>
        <v>38.842034805890229</v>
      </c>
      <c r="AC14" s="7">
        <f>W14</f>
        <v>1631.3654618473897</v>
      </c>
      <c r="AD14" s="7"/>
      <c r="AE14" s="3" t="s">
        <v>10</v>
      </c>
      <c r="AF14" s="9">
        <f>5803/149.4</f>
        <v>38.842034805890229</v>
      </c>
      <c r="AG14" s="9">
        <f>AF14*78</f>
        <v>3029.6787148594381</v>
      </c>
      <c r="AH14" s="9"/>
      <c r="AI14" s="9"/>
      <c r="AJ14" s="9">
        <f>AF14*42</f>
        <v>1631.3654618473897</v>
      </c>
      <c r="AK14" s="9"/>
      <c r="AL14" s="9"/>
      <c r="AM14" s="2"/>
    </row>
    <row r="15" spans="1:39" hidden="1" x14ac:dyDescent="0.25">
      <c r="A15" s="3"/>
      <c r="B15" s="9">
        <f>5803/165.5</f>
        <v>35.063444108761331</v>
      </c>
      <c r="C15" s="9"/>
      <c r="D15" s="7"/>
      <c r="E15" s="9">
        <f>5803/165.5</f>
        <v>35.063444108761331</v>
      </c>
      <c r="F15" s="7"/>
      <c r="G15" s="3"/>
      <c r="H15" s="9">
        <f>5803/165.5</f>
        <v>35.063444108761331</v>
      </c>
      <c r="I15" s="7"/>
      <c r="J15" s="9">
        <f>5803/165.5</f>
        <v>35.063444108761331</v>
      </c>
      <c r="K15" s="7"/>
      <c r="L15" s="9">
        <f>5803/165.5</f>
        <v>35.063444108761331</v>
      </c>
      <c r="M15" s="7">
        <f>J15*112</f>
        <v>3927.1057401812691</v>
      </c>
      <c r="N15" s="7"/>
      <c r="O15" s="9">
        <f>5803/165.5</f>
        <v>35.063444108761331</v>
      </c>
      <c r="P15" s="2">
        <f>J15*O7</f>
        <v>2945.3293051359519</v>
      </c>
      <c r="Q15" s="2"/>
      <c r="R15" s="3"/>
      <c r="S15" s="9">
        <f>5803/165.5</f>
        <v>35.063444108761331</v>
      </c>
      <c r="T15" s="2">
        <f>O15*168</f>
        <v>5890.6586102719039</v>
      </c>
      <c r="U15" s="2"/>
      <c r="V15" s="9">
        <f>5803/165.5</f>
        <v>35.063444108761331</v>
      </c>
      <c r="W15" s="7">
        <f>V15*112</f>
        <v>3927.1057401812691</v>
      </c>
      <c r="X15" s="2"/>
      <c r="Y15" s="9">
        <f>5803/165.5</f>
        <v>35.063444108761331</v>
      </c>
      <c r="Z15" s="7">
        <f>V15*168</f>
        <v>5890.6586102719039</v>
      </c>
      <c r="AA15" s="7"/>
      <c r="AB15" s="9">
        <f>5803/165.5</f>
        <v>35.063444108761331</v>
      </c>
      <c r="AC15" s="7">
        <f>W15</f>
        <v>3927.1057401812691</v>
      </c>
      <c r="AD15" s="7"/>
      <c r="AE15" s="3"/>
      <c r="AF15" s="9">
        <f>5803/165.5</f>
        <v>35.063444108761331</v>
      </c>
      <c r="AG15" s="9">
        <f>AF15*152</f>
        <v>5329.6435045317221</v>
      </c>
      <c r="AH15" s="9"/>
      <c r="AI15" s="9"/>
      <c r="AJ15" s="9">
        <f>AF15*112</f>
        <v>3927.1057401812691</v>
      </c>
      <c r="AK15" s="9"/>
      <c r="AL15" s="9"/>
      <c r="AM15" s="2"/>
    </row>
    <row r="16" spans="1:39" hidden="1" x14ac:dyDescent="0.25">
      <c r="A16" s="3"/>
      <c r="B16" s="9"/>
      <c r="C16" s="9"/>
      <c r="D16" s="7"/>
      <c r="E16" s="9"/>
      <c r="F16" s="7"/>
      <c r="G16" s="3"/>
      <c r="H16" s="9"/>
      <c r="I16" s="7"/>
      <c r="J16" s="9"/>
      <c r="K16" s="7"/>
      <c r="L16" s="9"/>
      <c r="M16" s="7"/>
      <c r="N16" s="7"/>
      <c r="O16" s="9"/>
      <c r="P16" s="2"/>
      <c r="Q16" s="2"/>
      <c r="R16" s="3"/>
      <c r="S16" s="9"/>
      <c r="T16" s="2"/>
      <c r="U16" s="2"/>
      <c r="V16" s="9"/>
      <c r="W16" s="7"/>
      <c r="X16" s="2"/>
      <c r="Y16" s="9"/>
      <c r="Z16" s="7"/>
      <c r="AA16" s="7"/>
      <c r="AB16" s="9"/>
      <c r="AC16" s="7"/>
      <c r="AD16" s="7"/>
      <c r="AE16" s="3"/>
      <c r="AF16" s="9"/>
      <c r="AG16" s="9"/>
      <c r="AH16" s="9"/>
      <c r="AI16" s="9"/>
      <c r="AJ16" s="9"/>
      <c r="AK16" s="9"/>
      <c r="AL16" s="9"/>
      <c r="AM16" s="2"/>
    </row>
    <row r="17" spans="1:39" hidden="1" x14ac:dyDescent="0.25">
      <c r="A17" s="3" t="s">
        <v>34</v>
      </c>
      <c r="B17" s="9"/>
      <c r="C17" s="9">
        <f>(C15+C14)*30/100</f>
        <v>0</v>
      </c>
      <c r="D17" s="7"/>
      <c r="E17" s="9"/>
      <c r="F17" s="7">
        <f>(F15+F14)*30/100</f>
        <v>0</v>
      </c>
      <c r="G17" s="3" t="s">
        <v>34</v>
      </c>
      <c r="H17" s="7"/>
      <c r="I17" s="7">
        <f>(I15+I14)*30/100</f>
        <v>0</v>
      </c>
      <c r="J17" s="7"/>
      <c r="K17" s="7">
        <f>(K15+K14)*30/100</f>
        <v>0</v>
      </c>
      <c r="L17" s="7"/>
      <c r="M17" s="7">
        <f>(M15+M14)*30/100</f>
        <v>1667.5413606085976</v>
      </c>
      <c r="N17" s="7"/>
      <c r="O17" s="7"/>
      <c r="P17" s="7">
        <f>(P15+P14)*30/100</f>
        <v>1163.2614421431954</v>
      </c>
      <c r="Q17" s="7"/>
      <c r="R17" s="3" t="s">
        <v>34</v>
      </c>
      <c r="S17" s="7"/>
      <c r="T17" s="7">
        <f>(T15+T14)*30/100</f>
        <v>2536.2698722381979</v>
      </c>
      <c r="U17" s="7"/>
      <c r="V17" s="7"/>
      <c r="W17" s="7">
        <f>(W15+W14)*30/100</f>
        <v>1667.5413606085976</v>
      </c>
      <c r="X17" s="7"/>
      <c r="Y17" s="7"/>
      <c r="Z17" s="7">
        <f>(Z15+Z14)*30/100</f>
        <v>2536.2698722381979</v>
      </c>
      <c r="AA17" s="7"/>
      <c r="AB17" s="7"/>
      <c r="AC17" s="7">
        <f>(AC15+AC14)*30/100</f>
        <v>1667.5413606085976</v>
      </c>
      <c r="AD17" s="7"/>
      <c r="AE17" s="3" t="s">
        <v>34</v>
      </c>
      <c r="AF17" s="7"/>
      <c r="AG17" s="7">
        <f>(AG15+AG14)*30/100</f>
        <v>2507.7966658173482</v>
      </c>
      <c r="AH17" s="7"/>
      <c r="AI17" s="7"/>
      <c r="AJ17" s="7">
        <f>(AJ15+AJ14)*30/100</f>
        <v>1667.5413606085976</v>
      </c>
      <c r="AK17" s="7"/>
      <c r="AL17" s="7">
        <f>(AL15+AL14)*30/100</f>
        <v>0</v>
      </c>
      <c r="AM17" s="7">
        <f>(AM15+AM14)*30/100</f>
        <v>0</v>
      </c>
    </row>
    <row r="18" spans="1:39" s="11" customFormat="1" ht="19.5" customHeight="1" x14ac:dyDescent="0.25">
      <c r="A18" s="4" t="s">
        <v>12</v>
      </c>
      <c r="B18" s="10"/>
      <c r="C18" s="10">
        <f>SUM(C11:C17)</f>
        <v>88952.175000000003</v>
      </c>
      <c r="D18" s="10">
        <f>SUM(D11:D17)</f>
        <v>0</v>
      </c>
      <c r="E18" s="10"/>
      <c r="F18" s="10">
        <f>SUM(F11:F17)</f>
        <v>115066.57500000001</v>
      </c>
      <c r="G18" s="4" t="s">
        <v>12</v>
      </c>
      <c r="H18" s="10"/>
      <c r="I18" s="10">
        <f>SUM(I11:I17)</f>
        <v>88952.175000000003</v>
      </c>
      <c r="J18" s="8"/>
      <c r="K18" s="8">
        <f>SUM(K11:K17)</f>
        <v>115066.57500000001</v>
      </c>
      <c r="L18" s="8"/>
      <c r="M18" s="8">
        <f>SUM(M11:M17)</f>
        <v>22156.647979303922</v>
      </c>
      <c r="N18" s="8"/>
      <c r="O18" s="8"/>
      <c r="P18" s="8">
        <f>SUM(P11:P17)</f>
        <v>10436.78361039829</v>
      </c>
      <c r="Q18" s="8"/>
      <c r="R18" s="4" t="s">
        <v>12</v>
      </c>
      <c r="S18" s="8"/>
      <c r="T18" s="8">
        <f>SUM(T11:T17)</f>
        <v>30321.746529698859</v>
      </c>
      <c r="U18" s="8"/>
      <c r="V18" s="8"/>
      <c r="W18" s="8">
        <f>SUM(W11:W17)</f>
        <v>22156.647979303922</v>
      </c>
      <c r="X18" s="8"/>
      <c r="Y18" s="8"/>
      <c r="Z18" s="8">
        <f>SUM(Z11:Z17)</f>
        <v>30321.746529698859</v>
      </c>
      <c r="AA18" s="8"/>
      <c r="AB18" s="8"/>
      <c r="AC18" s="8">
        <f>SUM(AC11:AC17)</f>
        <v>22156.647979303922</v>
      </c>
      <c r="AD18" s="8"/>
      <c r="AE18" s="4" t="s">
        <v>12</v>
      </c>
      <c r="AF18" s="8"/>
      <c r="AG18" s="8">
        <f>SUM(AG11:AG17)</f>
        <v>33341.654301875176</v>
      </c>
      <c r="AH18" s="8"/>
      <c r="AI18" s="8"/>
      <c r="AJ18" s="8">
        <f>SUM(AJ11:AJ17)</f>
        <v>22156.647979303922</v>
      </c>
      <c r="AK18" s="8"/>
      <c r="AL18" s="8">
        <f>SUM(AL11:AL17)</f>
        <v>0</v>
      </c>
      <c r="AM18" s="8">
        <f>SUM(AM11:AM17)</f>
        <v>0</v>
      </c>
    </row>
    <row r="19" spans="1:39" hidden="1" x14ac:dyDescent="0.25">
      <c r="A19" s="3" t="s">
        <v>46</v>
      </c>
      <c r="B19" s="9"/>
      <c r="C19" s="26">
        <v>9883.23</v>
      </c>
      <c r="D19" s="7"/>
      <c r="E19" s="7"/>
      <c r="F19" s="27">
        <v>12784.73</v>
      </c>
      <c r="G19" s="3" t="s">
        <v>46</v>
      </c>
      <c r="H19" s="7"/>
      <c r="I19" s="26">
        <v>9883.23</v>
      </c>
      <c r="J19" s="7"/>
      <c r="K19" s="27">
        <v>12784.73</v>
      </c>
      <c r="L19" s="7">
        <f>M18*15/100</f>
        <v>3323.4971968955883</v>
      </c>
      <c r="M19" s="8">
        <f>M18+L19</f>
        <v>25480.145176199509</v>
      </c>
      <c r="N19" s="7"/>
      <c r="O19" s="2">
        <f>P18*15/100</f>
        <v>1565.5175415597434</v>
      </c>
      <c r="P19" s="2"/>
      <c r="Q19" s="2"/>
      <c r="R19" s="3" t="s">
        <v>46</v>
      </c>
      <c r="S19" s="2">
        <f>T18*15/100</f>
        <v>4548.2619794548291</v>
      </c>
      <c r="T19" s="2"/>
      <c r="U19" s="2"/>
      <c r="V19" s="2">
        <f>W18*15/100</f>
        <v>3323.4971968955883</v>
      </c>
      <c r="W19" s="2"/>
      <c r="X19" s="2"/>
      <c r="Y19" s="2">
        <f>Z18*15/100</f>
        <v>4548.2619794548291</v>
      </c>
      <c r="Z19" s="2"/>
      <c r="AA19" s="2"/>
      <c r="AB19" s="2">
        <v>2571.65</v>
      </c>
      <c r="AC19" s="2"/>
      <c r="AD19" s="2"/>
      <c r="AE19" s="3" t="s">
        <v>46</v>
      </c>
      <c r="AF19" s="9">
        <f>AG18*15/100</f>
        <v>5001.2481452812763</v>
      </c>
      <c r="AG19" s="9"/>
      <c r="AH19" s="9"/>
      <c r="AI19" s="9">
        <f>AJ18*15/100</f>
        <v>3323.4971968955883</v>
      </c>
      <c r="AJ19" s="9"/>
      <c r="AK19" s="9"/>
      <c r="AL19" s="9"/>
      <c r="AM19" s="2"/>
    </row>
    <row r="20" spans="1:39" s="11" customFormat="1" x14ac:dyDescent="0.25">
      <c r="A20" s="4" t="s">
        <v>11</v>
      </c>
      <c r="B20" s="10"/>
      <c r="C20" s="10">
        <f>B19+C18</f>
        <v>88952.175000000003</v>
      </c>
      <c r="D20" s="8"/>
      <c r="E20" s="8"/>
      <c r="F20" s="8">
        <f>F18+E19</f>
        <v>115066.57500000001</v>
      </c>
      <c r="G20" s="4" t="s">
        <v>11</v>
      </c>
      <c r="H20" s="8"/>
      <c r="I20" s="8">
        <f>I18+H19</f>
        <v>88952.175000000003</v>
      </c>
      <c r="J20" s="8"/>
      <c r="K20" s="8">
        <f>K18+J19</f>
        <v>115066.57500000001</v>
      </c>
      <c r="L20" s="5"/>
      <c r="M20" s="8"/>
      <c r="N20" s="8"/>
      <c r="O20" s="5"/>
      <c r="P20" s="8">
        <f>P18+O19</f>
        <v>12002.301151958034</v>
      </c>
      <c r="Q20" s="5"/>
      <c r="R20" s="4" t="s">
        <v>11</v>
      </c>
      <c r="S20" s="5"/>
      <c r="T20" s="8">
        <f>T18+S19</f>
        <v>34870.008509153689</v>
      </c>
      <c r="U20" s="5"/>
      <c r="V20" s="5"/>
      <c r="W20" s="8">
        <f>W18+V19</f>
        <v>25480.145176199509</v>
      </c>
      <c r="X20" s="5"/>
      <c r="Y20" s="5"/>
      <c r="Z20" s="8">
        <f>Z18+Y19</f>
        <v>34870.008509153689</v>
      </c>
      <c r="AA20" s="5"/>
      <c r="AB20" s="5"/>
      <c r="AC20" s="8">
        <f>AC18+AB19</f>
        <v>24728.297979303923</v>
      </c>
      <c r="AD20" s="5"/>
      <c r="AE20" s="4" t="s">
        <v>11</v>
      </c>
      <c r="AF20" s="10"/>
      <c r="AG20" s="10">
        <f>AG18+AF19</f>
        <v>38342.902447156455</v>
      </c>
      <c r="AH20" s="10"/>
      <c r="AI20" s="10"/>
      <c r="AJ20" s="10">
        <f>AJ18+AI19</f>
        <v>25480.145176199509</v>
      </c>
      <c r="AK20" s="10"/>
      <c r="AL20" s="10"/>
      <c r="AM20" s="5"/>
    </row>
    <row r="21" spans="1:39" s="11" customFormat="1" ht="30.75" customHeight="1" x14ac:dyDescent="0.25">
      <c r="A21" s="4" t="s">
        <v>47</v>
      </c>
      <c r="B21" s="8"/>
      <c r="C21" s="8">
        <f>C20*28/100</f>
        <v>24906.609</v>
      </c>
      <c r="D21" s="8"/>
      <c r="E21" s="8"/>
      <c r="F21" s="8">
        <f>F20*28/100</f>
        <v>32218.641000000007</v>
      </c>
      <c r="G21" s="4" t="s">
        <v>47</v>
      </c>
      <c r="H21" s="8"/>
      <c r="I21" s="8">
        <f>I20*28/100</f>
        <v>24906.609</v>
      </c>
      <c r="J21" s="8"/>
      <c r="K21" s="8">
        <f>K20*28/100</f>
        <v>32218.641000000007</v>
      </c>
      <c r="L21" s="5"/>
      <c r="M21" s="8">
        <f>M19*28/100</f>
        <v>7134.4406493358629</v>
      </c>
      <c r="N21" s="8"/>
      <c r="O21" s="8"/>
      <c r="P21" s="8">
        <f>P20*28/100</f>
        <v>3360.6443225482494</v>
      </c>
      <c r="Q21" s="8"/>
      <c r="R21" s="4" t="s">
        <v>47</v>
      </c>
      <c r="S21" s="8"/>
      <c r="T21" s="8">
        <f>T20*28/100</f>
        <v>9763.6023825630327</v>
      </c>
      <c r="U21" s="8"/>
      <c r="V21" s="8"/>
      <c r="W21" s="8">
        <f>W20*28/100</f>
        <v>7134.4406493358629</v>
      </c>
      <c r="X21" s="8"/>
      <c r="Y21" s="8"/>
      <c r="Z21" s="8">
        <f>Z20*28/100</f>
        <v>9763.6023825630327</v>
      </c>
      <c r="AA21" s="8"/>
      <c r="AB21" s="8"/>
      <c r="AC21" s="8">
        <v>5520.47</v>
      </c>
      <c r="AD21" s="5"/>
      <c r="AE21" s="4" t="s">
        <v>47</v>
      </c>
      <c r="AF21" s="10"/>
      <c r="AG21" s="10">
        <f>AG20*28/100</f>
        <v>10736.012685203808</v>
      </c>
      <c r="AH21" s="10"/>
      <c r="AI21" s="10"/>
      <c r="AJ21" s="10">
        <f>AJ20*28/100</f>
        <v>7134.4406493358629</v>
      </c>
      <c r="AK21" s="10"/>
      <c r="AL21" s="10"/>
      <c r="AM21" s="5"/>
    </row>
    <row r="22" spans="1:39" s="11" customFormat="1" ht="21" customHeight="1" x14ac:dyDescent="0.25">
      <c r="A22" s="4" t="s">
        <v>13</v>
      </c>
      <c r="B22" s="8"/>
      <c r="C22" s="8">
        <v>386.94</v>
      </c>
      <c r="D22" s="8"/>
      <c r="E22" s="8"/>
      <c r="F22" s="8">
        <v>500.54</v>
      </c>
      <c r="G22" s="4" t="s">
        <v>13</v>
      </c>
      <c r="H22" s="8"/>
      <c r="I22" s="8">
        <v>386.94</v>
      </c>
      <c r="J22" s="8"/>
      <c r="K22" s="8">
        <v>500.54</v>
      </c>
      <c r="L22" s="8">
        <f>M19*87/100</f>
        <v>22167.726303293573</v>
      </c>
      <c r="M22" s="8">
        <f>L22*0.5/100</f>
        <v>110.83863151646787</v>
      </c>
      <c r="N22" s="8"/>
      <c r="O22" s="8">
        <f>P20*87/100</f>
        <v>10442.00200220349</v>
      </c>
      <c r="P22" s="8">
        <f>O22*0.5/100</f>
        <v>52.210010011017445</v>
      </c>
      <c r="Q22" s="8"/>
      <c r="R22" s="4" t="s">
        <v>13</v>
      </c>
      <c r="S22" s="8">
        <f>T21*87/100</f>
        <v>8494.334072829839</v>
      </c>
      <c r="T22" s="8">
        <f>S22*0.5/100</f>
        <v>42.471670364149197</v>
      </c>
      <c r="U22" s="8"/>
      <c r="V22" s="8">
        <f>W20*87/100</f>
        <v>22167.726303293573</v>
      </c>
      <c r="W22" s="8">
        <f>V22*0.5/100</f>
        <v>110.83863151646787</v>
      </c>
      <c r="X22" s="8"/>
      <c r="Y22" s="8">
        <f>Z20*87/100</f>
        <v>30336.907402963709</v>
      </c>
      <c r="Z22" s="8">
        <f>Y22*0.5/100</f>
        <v>151.68453701481855</v>
      </c>
      <c r="AA22" s="8"/>
      <c r="AB22" s="8">
        <v>17152.89</v>
      </c>
      <c r="AC22" s="8">
        <v>85.76</v>
      </c>
      <c r="AD22" s="5"/>
      <c r="AE22" s="4" t="s">
        <v>13</v>
      </c>
      <c r="AF22" s="10">
        <f>AG20*87/100</f>
        <v>33358.325129026111</v>
      </c>
      <c r="AG22" s="10">
        <f>AF22*0.5/100</f>
        <v>166.79162564513055</v>
      </c>
      <c r="AH22" s="10"/>
      <c r="AI22" s="10">
        <f>AJ20*87/100</f>
        <v>22167.726303293573</v>
      </c>
      <c r="AJ22" s="10">
        <f>AI22*0.5/100</f>
        <v>110.83863151646787</v>
      </c>
      <c r="AK22" s="10"/>
      <c r="AL22" s="10"/>
      <c r="AM22" s="5"/>
    </row>
    <row r="23" spans="1:39" x14ac:dyDescent="0.25">
      <c r="A23" s="3" t="s">
        <v>14</v>
      </c>
      <c r="B23" s="7"/>
      <c r="C23" s="7"/>
      <c r="D23" s="7"/>
      <c r="E23" s="7"/>
      <c r="F23" s="7"/>
      <c r="G23" s="3" t="s">
        <v>14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3" t="s">
        <v>14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2"/>
      <c r="AE23" s="3" t="s">
        <v>14</v>
      </c>
      <c r="AF23" s="9"/>
      <c r="AG23" s="9"/>
      <c r="AH23" s="9"/>
      <c r="AI23" s="9"/>
      <c r="AJ23" s="9"/>
      <c r="AK23" s="9"/>
      <c r="AL23" s="9"/>
      <c r="AM23" s="2"/>
    </row>
    <row r="24" spans="1:39" x14ac:dyDescent="0.25">
      <c r="A24" s="2" t="s">
        <v>67</v>
      </c>
      <c r="B24" s="7">
        <f>66.5*3</f>
        <v>199.5</v>
      </c>
      <c r="C24" s="7"/>
      <c r="D24" s="7"/>
      <c r="E24" s="7">
        <f>66.5*4</f>
        <v>266</v>
      </c>
      <c r="F24" s="7"/>
      <c r="G24" s="2" t="s">
        <v>67</v>
      </c>
      <c r="H24" s="7">
        <f>66.5*3</f>
        <v>199.5</v>
      </c>
      <c r="I24" s="7"/>
      <c r="J24" s="7">
        <f>66.5*4</f>
        <v>266</v>
      </c>
      <c r="K24" s="7"/>
      <c r="L24" s="7">
        <f>90.25/15*10</f>
        <v>60.166666666666664</v>
      </c>
      <c r="M24" s="7"/>
      <c r="N24" s="7"/>
      <c r="O24" s="7">
        <f>57/15*10</f>
        <v>38</v>
      </c>
      <c r="P24" s="7"/>
      <c r="Q24" s="7"/>
      <c r="R24" s="2" t="s">
        <v>15</v>
      </c>
      <c r="S24" s="7">
        <f>114/15*10</f>
        <v>76</v>
      </c>
      <c r="T24" s="7"/>
      <c r="U24" s="7"/>
      <c r="V24" s="7">
        <f>57/15*10</f>
        <v>38</v>
      </c>
      <c r="W24" s="7"/>
      <c r="X24" s="7"/>
      <c r="Y24" s="7">
        <f>114/15*10</f>
        <v>76</v>
      </c>
      <c r="Z24" s="7"/>
      <c r="AA24" s="7"/>
      <c r="AB24" s="7">
        <v>38</v>
      </c>
      <c r="AC24" s="7"/>
      <c r="AD24" s="2"/>
      <c r="AE24" s="2" t="s">
        <v>15</v>
      </c>
      <c r="AF24" s="9">
        <f>104.5/15*10</f>
        <v>69.666666666666671</v>
      </c>
      <c r="AG24" s="9"/>
      <c r="AH24" s="9"/>
      <c r="AI24" s="9">
        <v>69.67</v>
      </c>
      <c r="AJ24" s="9"/>
      <c r="AK24" s="9"/>
      <c r="AL24" s="9"/>
      <c r="AM24" s="2"/>
    </row>
    <row r="25" spans="1:39" x14ac:dyDescent="0.25">
      <c r="A25" s="2" t="s">
        <v>48</v>
      </c>
      <c r="B25" s="7">
        <f>104.4*3</f>
        <v>313.20000000000005</v>
      </c>
      <c r="C25" s="7"/>
      <c r="D25" s="7"/>
      <c r="E25" s="7">
        <f>104.4*4</f>
        <v>417.6</v>
      </c>
      <c r="F25" s="7"/>
      <c r="G25" s="2" t="s">
        <v>48</v>
      </c>
      <c r="H25" s="7">
        <f>104.4*3</f>
        <v>313.20000000000005</v>
      </c>
      <c r="I25" s="7"/>
      <c r="J25" s="7">
        <f>104.4*4</f>
        <v>417.6</v>
      </c>
      <c r="K25" s="7"/>
      <c r="L25" s="7">
        <v>106.06</v>
      </c>
      <c r="M25" s="7"/>
      <c r="N25" s="7"/>
      <c r="O25" s="7">
        <v>106.06</v>
      </c>
      <c r="P25" s="7"/>
      <c r="Q25" s="7"/>
      <c r="R25" s="2" t="s">
        <v>48</v>
      </c>
      <c r="S25" s="7">
        <v>106.06</v>
      </c>
      <c r="T25" s="7"/>
      <c r="U25" s="7"/>
      <c r="V25" s="7">
        <v>106.06</v>
      </c>
      <c r="W25" s="7"/>
      <c r="X25" s="7"/>
      <c r="Y25" s="7">
        <v>106.06</v>
      </c>
      <c r="Z25" s="7"/>
      <c r="AA25" s="7"/>
      <c r="AB25" s="7">
        <v>106.06</v>
      </c>
      <c r="AC25" s="7"/>
      <c r="AD25" s="2"/>
      <c r="AE25" s="2" t="s">
        <v>48</v>
      </c>
      <c r="AF25" s="9">
        <v>315.7</v>
      </c>
      <c r="AG25" s="9"/>
      <c r="AH25" s="9"/>
      <c r="AI25" s="9">
        <v>315.7</v>
      </c>
      <c r="AJ25" s="9"/>
      <c r="AK25" s="9"/>
      <c r="AL25" s="9"/>
      <c r="AM25" s="2"/>
    </row>
    <row r="26" spans="1:39" x14ac:dyDescent="0.25">
      <c r="A26" s="2" t="s">
        <v>68</v>
      </c>
      <c r="B26" s="7">
        <f>1548.8*3</f>
        <v>4646.3999999999996</v>
      </c>
      <c r="C26" s="7"/>
      <c r="D26" s="7"/>
      <c r="E26" s="7">
        <f>1548.8*4</f>
        <v>6195.2</v>
      </c>
      <c r="F26" s="7"/>
      <c r="G26" s="2" t="s">
        <v>68</v>
      </c>
      <c r="H26" s="7">
        <f>1548.8*3</f>
        <v>4646.3999999999996</v>
      </c>
      <c r="I26" s="7"/>
      <c r="J26" s="7">
        <f>1548.8*4</f>
        <v>6195.2</v>
      </c>
      <c r="K26" s="7"/>
      <c r="L26" s="7"/>
      <c r="M26" s="7"/>
      <c r="N26" s="7"/>
      <c r="O26" s="7"/>
      <c r="P26" s="7"/>
      <c r="Q26" s="7"/>
      <c r="R26" s="2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2"/>
      <c r="AE26" s="2"/>
      <c r="AF26" s="9"/>
      <c r="AG26" s="9"/>
      <c r="AH26" s="9"/>
      <c r="AI26" s="9"/>
      <c r="AJ26" s="9"/>
      <c r="AK26" s="9"/>
      <c r="AL26" s="9"/>
      <c r="AM26" s="2"/>
    </row>
    <row r="27" spans="1:39" s="11" customFormat="1" x14ac:dyDescent="0.25">
      <c r="A27" s="5" t="s">
        <v>69</v>
      </c>
      <c r="B27" s="8"/>
      <c r="C27" s="8">
        <f>SUM(B24:B26)</f>
        <v>5159.0999999999995</v>
      </c>
      <c r="D27" s="8"/>
      <c r="E27" s="8"/>
      <c r="F27" s="8">
        <f>SUM(E24:E26)</f>
        <v>6878.8</v>
      </c>
      <c r="G27" s="5" t="s">
        <v>69</v>
      </c>
      <c r="H27" s="8"/>
      <c r="I27" s="8">
        <f>SUM(H24:H26)</f>
        <v>5159.0999999999995</v>
      </c>
      <c r="J27" s="8"/>
      <c r="K27" s="8">
        <f>SUM(J24:J26)</f>
        <v>6878.8</v>
      </c>
      <c r="L27" s="8"/>
      <c r="M27" s="8">
        <f>SUM(L24:L25)</f>
        <v>166.22666666666666</v>
      </c>
      <c r="N27" s="8"/>
      <c r="O27" s="8"/>
      <c r="P27" s="8">
        <f t="shared" ref="P27:AG27" si="0">SUM(O24:O25)</f>
        <v>144.06</v>
      </c>
      <c r="Q27" s="8">
        <f t="shared" si="0"/>
        <v>0</v>
      </c>
      <c r="R27" s="5" t="s">
        <v>16</v>
      </c>
      <c r="S27" s="8">
        <f>SUM(Q24:Q25)</f>
        <v>0</v>
      </c>
      <c r="T27" s="8">
        <f t="shared" si="0"/>
        <v>182.06</v>
      </c>
      <c r="U27" s="8"/>
      <c r="V27" s="8"/>
      <c r="W27" s="8">
        <f t="shared" si="0"/>
        <v>144.06</v>
      </c>
      <c r="X27" s="8"/>
      <c r="Y27" s="8"/>
      <c r="Z27" s="8">
        <f t="shared" si="0"/>
        <v>182.06</v>
      </c>
      <c r="AA27" s="8"/>
      <c r="AB27" s="8">
        <f t="shared" si="0"/>
        <v>0</v>
      </c>
      <c r="AC27" s="8">
        <f t="shared" si="0"/>
        <v>144.06</v>
      </c>
      <c r="AD27" s="8"/>
      <c r="AE27" s="5" t="s">
        <v>16</v>
      </c>
      <c r="AF27" s="8"/>
      <c r="AG27" s="8">
        <f t="shared" si="0"/>
        <v>385.36666666666667</v>
      </c>
      <c r="AH27" s="10"/>
      <c r="AI27" s="10"/>
      <c r="AJ27" s="10">
        <f>AI25+AI24</f>
        <v>385.37</v>
      </c>
      <c r="AK27" s="10"/>
      <c r="AL27" s="10"/>
      <c r="AM27" s="5"/>
    </row>
    <row r="28" spans="1:39" x14ac:dyDescent="0.25">
      <c r="A28" s="5" t="s">
        <v>17</v>
      </c>
      <c r="B28" s="7"/>
      <c r="C28" s="7"/>
      <c r="D28" s="7"/>
      <c r="E28" s="7"/>
      <c r="F28" s="7"/>
      <c r="G28" s="5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2" t="s">
        <v>17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2"/>
      <c r="AE28" s="2" t="s">
        <v>17</v>
      </c>
      <c r="AF28" s="9"/>
      <c r="AG28" s="9"/>
      <c r="AH28" s="9"/>
      <c r="AI28" s="9"/>
      <c r="AJ28" s="9"/>
      <c r="AK28" s="9"/>
      <c r="AL28" s="9"/>
      <c r="AM28" s="2"/>
    </row>
    <row r="29" spans="1:39" x14ac:dyDescent="0.25">
      <c r="A29" s="2" t="s">
        <v>18</v>
      </c>
      <c r="B29" s="7">
        <f>250*3</f>
        <v>750</v>
      </c>
      <c r="C29" s="2"/>
      <c r="D29" s="7"/>
      <c r="E29" s="7">
        <f>250*4</f>
        <v>1000</v>
      </c>
      <c r="F29" s="2"/>
      <c r="G29" s="2" t="s">
        <v>18</v>
      </c>
      <c r="H29" s="7">
        <v>750</v>
      </c>
      <c r="I29" s="2"/>
      <c r="J29" s="7">
        <v>1000</v>
      </c>
      <c r="K29" s="7"/>
      <c r="L29" s="7">
        <v>250</v>
      </c>
      <c r="M29" s="7"/>
      <c r="N29" s="7"/>
      <c r="O29" s="2">
        <v>250</v>
      </c>
      <c r="P29" s="2"/>
      <c r="Q29" s="2"/>
      <c r="R29" s="2" t="s">
        <v>18</v>
      </c>
      <c r="S29" s="2">
        <v>250</v>
      </c>
      <c r="T29" s="2"/>
      <c r="U29" s="2"/>
      <c r="V29" s="2">
        <v>250</v>
      </c>
      <c r="W29" s="7"/>
      <c r="X29" s="7"/>
      <c r="Y29" s="7">
        <v>250</v>
      </c>
      <c r="Z29" s="7"/>
      <c r="AA29" s="7"/>
      <c r="AB29" s="7">
        <v>250</v>
      </c>
      <c r="AC29" s="2"/>
      <c r="AD29" s="2"/>
      <c r="AE29" s="2" t="s">
        <v>18</v>
      </c>
      <c r="AF29" s="9">
        <v>250</v>
      </c>
      <c r="AG29" s="9"/>
      <c r="AH29" s="9"/>
      <c r="AI29" s="9">
        <v>250</v>
      </c>
      <c r="AJ29" s="9"/>
      <c r="AK29" s="9"/>
      <c r="AL29" s="9"/>
      <c r="AM29" s="2"/>
    </row>
    <row r="30" spans="1:39" x14ac:dyDescent="0.25">
      <c r="A30" s="2" t="s">
        <v>19</v>
      </c>
      <c r="B30" s="7">
        <f>62*3</f>
        <v>186</v>
      </c>
      <c r="C30" s="2"/>
      <c r="D30" s="7"/>
      <c r="E30" s="7">
        <f>62*4</f>
        <v>248</v>
      </c>
      <c r="F30" s="2"/>
      <c r="G30" s="2" t="s">
        <v>19</v>
      </c>
      <c r="H30" s="7">
        <v>186</v>
      </c>
      <c r="I30" s="2"/>
      <c r="J30" s="7">
        <v>248</v>
      </c>
      <c r="K30" s="7"/>
      <c r="L30" s="7">
        <v>62</v>
      </c>
      <c r="M30" s="7"/>
      <c r="N30" s="7"/>
      <c r="O30" s="2">
        <v>62</v>
      </c>
      <c r="P30" s="2"/>
      <c r="Q30" s="2"/>
      <c r="R30" s="2" t="s">
        <v>19</v>
      </c>
      <c r="S30" s="2">
        <v>62</v>
      </c>
      <c r="T30" s="2"/>
      <c r="U30" s="2"/>
      <c r="V30" s="2">
        <v>62</v>
      </c>
      <c r="W30" s="7"/>
      <c r="X30" s="7"/>
      <c r="Y30" s="7">
        <v>62</v>
      </c>
      <c r="Z30" s="7"/>
      <c r="AA30" s="7"/>
      <c r="AB30" s="7">
        <v>62</v>
      </c>
      <c r="AC30" s="2"/>
      <c r="AD30" s="2"/>
      <c r="AE30" s="2" t="s">
        <v>19</v>
      </c>
      <c r="AF30" s="9">
        <v>62</v>
      </c>
      <c r="AG30" s="9"/>
      <c r="AH30" s="9"/>
      <c r="AI30" s="9">
        <v>62</v>
      </c>
      <c r="AJ30" s="9"/>
      <c r="AK30" s="9"/>
      <c r="AL30" s="9"/>
      <c r="AM30" s="2"/>
    </row>
    <row r="31" spans="1:39" x14ac:dyDescent="0.25">
      <c r="A31" s="2" t="s">
        <v>65</v>
      </c>
      <c r="B31" s="7">
        <v>750</v>
      </c>
      <c r="C31" s="2"/>
      <c r="D31" s="7"/>
      <c r="E31" s="7">
        <v>750</v>
      </c>
      <c r="F31" s="2"/>
      <c r="G31" s="2" t="s">
        <v>65</v>
      </c>
      <c r="H31" s="7">
        <v>750</v>
      </c>
      <c r="I31" s="2"/>
      <c r="J31" s="7">
        <v>750</v>
      </c>
      <c r="K31" s="7"/>
      <c r="L31" s="7">
        <v>750</v>
      </c>
      <c r="M31" s="7"/>
      <c r="N31" s="7"/>
      <c r="O31" s="2">
        <f>10*15</f>
        <v>150</v>
      </c>
      <c r="P31" s="2"/>
      <c r="Q31" s="2"/>
      <c r="R31" s="2" t="s">
        <v>20</v>
      </c>
      <c r="S31" s="2">
        <v>750</v>
      </c>
      <c r="T31" s="2"/>
      <c r="U31" s="2"/>
      <c r="V31" s="2">
        <v>750</v>
      </c>
      <c r="W31" s="7"/>
      <c r="X31" s="7"/>
      <c r="Y31" s="7">
        <v>750</v>
      </c>
      <c r="Z31" s="7"/>
      <c r="AA31" s="7"/>
      <c r="AB31" s="7">
        <v>750</v>
      </c>
      <c r="AC31" s="2"/>
      <c r="AD31" s="2"/>
      <c r="AE31" s="2" t="s">
        <v>20</v>
      </c>
      <c r="AF31" s="9">
        <v>750</v>
      </c>
      <c r="AG31" s="9"/>
      <c r="AH31" s="9"/>
      <c r="AI31" s="9">
        <v>750</v>
      </c>
      <c r="AJ31" s="9"/>
      <c r="AK31" s="9"/>
      <c r="AL31" s="9"/>
      <c r="AM31" s="2"/>
    </row>
    <row r="32" spans="1:39" x14ac:dyDescent="0.25">
      <c r="A32" s="2" t="s">
        <v>21</v>
      </c>
      <c r="B32" s="7">
        <f>260.83*3</f>
        <v>782.49</v>
      </c>
      <c r="C32" s="2"/>
      <c r="D32" s="7"/>
      <c r="E32" s="7">
        <f>260.83*4</f>
        <v>1043.32</v>
      </c>
      <c r="F32" s="2"/>
      <c r="G32" s="2" t="s">
        <v>21</v>
      </c>
      <c r="H32" s="7">
        <v>782.49</v>
      </c>
      <c r="I32" s="2"/>
      <c r="J32" s="7">
        <v>1043.32</v>
      </c>
      <c r="K32" s="7"/>
      <c r="L32" s="7">
        <v>103</v>
      </c>
      <c r="M32" s="7"/>
      <c r="N32" s="7"/>
      <c r="O32" s="2">
        <v>103</v>
      </c>
      <c r="P32" s="2"/>
      <c r="Q32" s="2"/>
      <c r="R32" s="2" t="s">
        <v>21</v>
      </c>
      <c r="S32" s="2">
        <v>103</v>
      </c>
      <c r="T32" s="2"/>
      <c r="U32" s="2"/>
      <c r="V32" s="2">
        <v>103</v>
      </c>
      <c r="W32" s="7"/>
      <c r="X32" s="7"/>
      <c r="Y32" s="7">
        <v>103</v>
      </c>
      <c r="Z32" s="7"/>
      <c r="AA32" s="7"/>
      <c r="AB32" s="7">
        <v>103</v>
      </c>
      <c r="AC32" s="2"/>
      <c r="AD32" s="2"/>
      <c r="AE32" s="2" t="s">
        <v>21</v>
      </c>
      <c r="AF32" s="9">
        <v>103</v>
      </c>
      <c r="AG32" s="9"/>
      <c r="AH32" s="9"/>
      <c r="AI32" s="9">
        <v>103</v>
      </c>
      <c r="AJ32" s="9"/>
      <c r="AK32" s="9"/>
      <c r="AL32" s="9"/>
      <c r="AM32" s="2"/>
    </row>
    <row r="33" spans="1:39" s="11" customFormat="1" x14ac:dyDescent="0.25">
      <c r="A33" s="5" t="s">
        <v>22</v>
      </c>
      <c r="B33" s="5"/>
      <c r="C33" s="8">
        <f>SUM(B29:B32)</f>
        <v>2468.4899999999998</v>
      </c>
      <c r="D33" s="5"/>
      <c r="E33" s="5"/>
      <c r="F33" s="8">
        <f>SUM(E29:E32)</f>
        <v>3041.3199999999997</v>
      </c>
      <c r="G33" s="5" t="s">
        <v>22</v>
      </c>
      <c r="H33" s="5"/>
      <c r="I33" s="8">
        <f>SUM(H29:H32)</f>
        <v>2468.4899999999998</v>
      </c>
      <c r="J33" s="5"/>
      <c r="K33" s="8">
        <f>SUM(J29:J32)</f>
        <v>3041.3199999999997</v>
      </c>
      <c r="L33" s="8"/>
      <c r="M33" s="8">
        <f>SUM(L29:L32)</f>
        <v>1165</v>
      </c>
      <c r="N33" s="8"/>
      <c r="O33" s="8"/>
      <c r="P33" s="8">
        <f>SUM(O29:O32)</f>
        <v>565</v>
      </c>
      <c r="Q33" s="8"/>
      <c r="R33" s="5" t="s">
        <v>22</v>
      </c>
      <c r="S33" s="8"/>
      <c r="T33" s="8">
        <f>SUM(S29:S32)</f>
        <v>1165</v>
      </c>
      <c r="U33" s="8"/>
      <c r="V33" s="8"/>
      <c r="W33" s="8">
        <f>SUM(V29:V32)</f>
        <v>1165</v>
      </c>
      <c r="X33" s="8"/>
      <c r="Y33" s="8"/>
      <c r="Z33" s="8">
        <f>SUM(Y29:Y32)</f>
        <v>1165</v>
      </c>
      <c r="AA33" s="8"/>
      <c r="AB33" s="8"/>
      <c r="AC33" s="8">
        <f>SUM(AB29:AB32)</f>
        <v>1165</v>
      </c>
      <c r="AD33" s="8"/>
      <c r="AE33" s="5" t="s">
        <v>22</v>
      </c>
      <c r="AF33" s="8"/>
      <c r="AG33" s="8">
        <f>SUM(AF29:AF32)</f>
        <v>1165</v>
      </c>
      <c r="AH33" s="8"/>
      <c r="AI33" s="8"/>
      <c r="AJ33" s="8">
        <f>SUM(AI29:AI32)</f>
        <v>1165</v>
      </c>
      <c r="AK33" s="10"/>
      <c r="AL33" s="10"/>
      <c r="AM33" s="5"/>
    </row>
    <row r="34" spans="1:39" ht="47.25" x14ac:dyDescent="0.25">
      <c r="A34" s="3" t="s">
        <v>49</v>
      </c>
      <c r="B34" s="2"/>
      <c r="C34" s="7">
        <f>39526.96-13.5+13.22</f>
        <v>39526.68</v>
      </c>
      <c r="D34" s="2"/>
      <c r="E34" s="2"/>
      <c r="F34" s="2">
        <f>47311.76-17.64</f>
        <v>47294.12</v>
      </c>
      <c r="G34" s="3" t="s">
        <v>49</v>
      </c>
      <c r="H34" s="2"/>
      <c r="I34" s="7">
        <f>39526.96-13.5+13.22</f>
        <v>39526.68</v>
      </c>
      <c r="J34" s="2"/>
      <c r="K34" s="2">
        <f>47311.76-17.64</f>
        <v>47294.12</v>
      </c>
      <c r="L34" s="2"/>
      <c r="M34" s="2">
        <f>4000-8.52-1500+451.87</f>
        <v>2943.35</v>
      </c>
      <c r="N34" s="2"/>
      <c r="O34" s="2"/>
      <c r="P34" s="7">
        <f>2500+14.44-500-1.3+25+19-31.36</f>
        <v>2025.7800000000004</v>
      </c>
      <c r="Q34" s="2"/>
      <c r="R34" s="3" t="s">
        <v>49</v>
      </c>
      <c r="S34" s="2"/>
      <c r="T34" s="2">
        <f>4000-23.07-54.77+1054.7</f>
        <v>4976.8599999999997</v>
      </c>
      <c r="U34" s="2"/>
      <c r="V34" s="2"/>
      <c r="W34" s="7">
        <f>4000-50.27-700-200-84.21</f>
        <v>2965.52</v>
      </c>
      <c r="X34" s="7"/>
      <c r="Y34" s="7"/>
      <c r="Z34" s="7">
        <f>4976.86-109.22</f>
        <v>4867.6399999999994</v>
      </c>
      <c r="AA34" s="7"/>
      <c r="AB34" s="7"/>
      <c r="AC34" s="2">
        <f>4000-50.26+6.67</f>
        <v>3956.41</v>
      </c>
      <c r="AD34" s="2"/>
      <c r="AE34" s="3" t="s">
        <v>49</v>
      </c>
      <c r="AF34" s="9"/>
      <c r="AG34" s="9">
        <f>5704.74-100.81</f>
        <v>5603.9299999999994</v>
      </c>
      <c r="AH34" s="9"/>
      <c r="AI34" s="9"/>
      <c r="AJ34" s="9">
        <f>4000-475.79-200</f>
        <v>3324.21</v>
      </c>
      <c r="AK34" s="9"/>
      <c r="AL34" s="9"/>
      <c r="AM34" s="2"/>
    </row>
    <row r="35" spans="1:39" s="17" customFormat="1" ht="33.75" customHeight="1" x14ac:dyDescent="0.25">
      <c r="A35" s="13" t="s">
        <v>35</v>
      </c>
      <c r="B35" s="14"/>
      <c r="C35" s="15">
        <f>C18+B19+C21+C22+C27+C33+C34</f>
        <v>161399.99400000001</v>
      </c>
      <c r="D35" s="14"/>
      <c r="E35" s="14"/>
      <c r="F35" s="16">
        <f>F34+F33+F27+F22+F21+F20</f>
        <v>204999.99600000004</v>
      </c>
      <c r="G35" s="13" t="s">
        <v>35</v>
      </c>
      <c r="H35" s="16"/>
      <c r="I35" s="16">
        <f>I34+I33+I27+I22+I21+I20</f>
        <v>161399.99400000001</v>
      </c>
      <c r="J35" s="16"/>
      <c r="K35" s="16">
        <f>K34+K33+K27+K22+K21+K20</f>
        <v>204999.99600000004</v>
      </c>
      <c r="L35" s="16"/>
      <c r="M35" s="16">
        <f>M34+M33+M27+M22+M21+M19</f>
        <v>37000.00112371851</v>
      </c>
      <c r="N35" s="16"/>
      <c r="O35" s="16"/>
      <c r="P35" s="16">
        <f>P34+P33+P27+P22+P21+P20</f>
        <v>18149.995484517302</v>
      </c>
      <c r="Q35" s="16"/>
      <c r="R35" s="13" t="s">
        <v>35</v>
      </c>
      <c r="S35" s="16"/>
      <c r="T35" s="16">
        <f>T34+T33+T27+T22+T21+T20</f>
        <v>51000.002562080874</v>
      </c>
      <c r="U35" s="16"/>
      <c r="V35" s="16"/>
      <c r="W35" s="16">
        <f>W34+W33+W27+W22+W21+W20</f>
        <v>37000.004457051837</v>
      </c>
      <c r="X35" s="16"/>
      <c r="Y35" s="16"/>
      <c r="Z35" s="16">
        <f>Z34+Z33+Z27+Z22+Z21+Z20</f>
        <v>50999.995428731541</v>
      </c>
      <c r="AA35" s="16"/>
      <c r="AB35" s="16"/>
      <c r="AC35" s="16">
        <f>AC34+AC33+AC27+AC22+AC21+AC20</f>
        <v>35599.997979303924</v>
      </c>
      <c r="AD35" s="16"/>
      <c r="AE35" s="13" t="s">
        <v>35</v>
      </c>
      <c r="AF35" s="16"/>
      <c r="AG35" s="16">
        <f>AG34+AG33+AG27+AG22+AG21+AG20</f>
        <v>56400.003424672061</v>
      </c>
      <c r="AH35" s="16"/>
      <c r="AI35" s="16"/>
      <c r="AJ35" s="16">
        <f>AJ34+AJ33+AJ27+AJ22+AJ21+AJ20</f>
        <v>37600.004457051837</v>
      </c>
      <c r="AK35" s="15"/>
      <c r="AL35" s="15"/>
      <c r="AM35" s="14"/>
    </row>
    <row r="36" spans="1:39" s="17" customFormat="1" ht="31.5" x14ac:dyDescent="0.25">
      <c r="A36" s="13" t="s">
        <v>36</v>
      </c>
      <c r="B36" s="14"/>
      <c r="C36" s="16">
        <f>C35/10</f>
        <v>16139.999400000001</v>
      </c>
      <c r="D36" s="15"/>
      <c r="E36" s="14"/>
      <c r="F36" s="16">
        <f>F35/10</f>
        <v>20499.999600000003</v>
      </c>
      <c r="G36" s="13" t="s">
        <v>36</v>
      </c>
      <c r="H36" s="16"/>
      <c r="I36" s="16">
        <f>I35/10</f>
        <v>16139.999400000001</v>
      </c>
      <c r="J36" s="16"/>
      <c r="K36" s="16">
        <f>K35/10</f>
        <v>20499.999600000003</v>
      </c>
      <c r="L36" s="16"/>
      <c r="M36" s="16">
        <f>M35/10</f>
        <v>3700.0001123718512</v>
      </c>
      <c r="N36" s="16"/>
      <c r="O36" s="16"/>
      <c r="P36" s="16">
        <f>P35/10</f>
        <v>1814.9995484517301</v>
      </c>
      <c r="Q36" s="16"/>
      <c r="R36" s="13" t="s">
        <v>36</v>
      </c>
      <c r="S36" s="16"/>
      <c r="T36" s="16">
        <f>T35/10</f>
        <v>5100.0002562080872</v>
      </c>
      <c r="U36" s="16"/>
      <c r="V36" s="16"/>
      <c r="W36" s="16">
        <f>W35/10</f>
        <v>3700.0004457051837</v>
      </c>
      <c r="X36" s="16"/>
      <c r="Y36" s="16"/>
      <c r="Z36" s="16">
        <f>Z35/10</f>
        <v>5099.9995428731545</v>
      </c>
      <c r="AA36" s="16"/>
      <c r="AB36" s="16"/>
      <c r="AC36" s="16">
        <f>AC35/10</f>
        <v>3559.9997979303926</v>
      </c>
      <c r="AD36" s="16"/>
      <c r="AE36" s="13" t="s">
        <v>36</v>
      </c>
      <c r="AF36" s="16"/>
      <c r="AG36" s="16">
        <f>AG35/10</f>
        <v>5640.0003424672059</v>
      </c>
      <c r="AH36" s="16"/>
      <c r="AI36" s="16"/>
      <c r="AJ36" s="16">
        <f>AJ35/10</f>
        <v>3760.0004457051837</v>
      </c>
      <c r="AK36" s="15"/>
      <c r="AL36" s="15"/>
      <c r="AM36" s="14"/>
    </row>
    <row r="37" spans="1:39" s="19" customFormat="1" ht="15" customHeight="1" x14ac:dyDescent="0.25">
      <c r="A37" s="18" t="s">
        <v>58</v>
      </c>
      <c r="B37" s="16"/>
      <c r="C37" s="18">
        <f>C36/3</f>
        <v>5379.9998000000005</v>
      </c>
      <c r="D37" s="16">
        <f>D36/3</f>
        <v>0</v>
      </c>
      <c r="E37" s="16"/>
      <c r="F37" s="16">
        <f>F36/4</f>
        <v>5124.9999000000007</v>
      </c>
      <c r="G37" s="18" t="s">
        <v>58</v>
      </c>
      <c r="H37" s="16"/>
      <c r="I37" s="18">
        <f>I36/3</f>
        <v>5379.9998000000005</v>
      </c>
      <c r="J37" s="16"/>
      <c r="K37" s="16">
        <f>K36/4</f>
        <v>5124.9999000000007</v>
      </c>
      <c r="L37" s="16"/>
      <c r="M37" s="16">
        <f>M36/2</f>
        <v>1850.0000561859256</v>
      </c>
      <c r="N37" s="16"/>
      <c r="O37" s="16"/>
      <c r="P37" s="16">
        <f>P36</f>
        <v>1814.9995484517301</v>
      </c>
      <c r="Q37" s="16"/>
      <c r="R37" s="18" t="s">
        <v>37</v>
      </c>
      <c r="S37" s="16"/>
      <c r="T37" s="18" t="s">
        <v>52</v>
      </c>
      <c r="U37" s="16"/>
      <c r="V37" s="16"/>
      <c r="W37" s="16">
        <f>W36/2</f>
        <v>1850.0002228525918</v>
      </c>
      <c r="X37" s="16"/>
      <c r="Y37" s="16"/>
      <c r="Z37" s="18" t="s">
        <v>51</v>
      </c>
      <c r="AA37" s="16"/>
      <c r="AB37" s="16"/>
      <c r="AC37" s="16">
        <f>AC36/2</f>
        <v>1779.9998989651963</v>
      </c>
      <c r="AD37" s="16"/>
      <c r="AE37" s="18" t="s">
        <v>37</v>
      </c>
      <c r="AF37" s="16"/>
      <c r="AG37" s="16">
        <f>AG36/3</f>
        <v>1880.0001141557352</v>
      </c>
      <c r="AH37" s="16"/>
      <c r="AI37" s="16"/>
      <c r="AJ37" s="16">
        <f>AJ36/2</f>
        <v>1880.0002228525918</v>
      </c>
      <c r="AK37" s="16"/>
    </row>
    <row r="38" spans="1:39" s="19" customFormat="1" ht="31.5" customHeight="1" x14ac:dyDescent="0.25">
      <c r="A38" s="18" t="s">
        <v>59</v>
      </c>
      <c r="B38" s="16"/>
      <c r="C38" s="25">
        <f>C37/2</f>
        <v>2689.9999000000003</v>
      </c>
      <c r="D38" s="16"/>
      <c r="E38" s="16"/>
      <c r="F38" s="25">
        <f>F37/2</f>
        <v>2562.4999500000004</v>
      </c>
      <c r="G38" s="18" t="s">
        <v>59</v>
      </c>
      <c r="H38" s="16"/>
      <c r="I38" s="25">
        <f>I37/2</f>
        <v>2689.9999000000003</v>
      </c>
      <c r="J38" s="16"/>
      <c r="K38" s="25">
        <f>K37/2</f>
        <v>2562.4999500000004</v>
      </c>
      <c r="L38" s="24"/>
      <c r="M38" s="24"/>
      <c r="N38" s="24"/>
      <c r="O38" s="24"/>
      <c r="P38" s="24"/>
      <c r="Q38" s="24"/>
      <c r="R38" s="23"/>
      <c r="S38" s="24"/>
      <c r="T38" s="23"/>
      <c r="U38" s="24"/>
      <c r="V38" s="24"/>
      <c r="W38" s="24"/>
      <c r="X38" s="24"/>
      <c r="Y38" s="24"/>
      <c r="Z38" s="23"/>
      <c r="AA38" s="24"/>
      <c r="AB38" s="24"/>
      <c r="AC38" s="24"/>
      <c r="AD38" s="24"/>
      <c r="AE38" s="23"/>
      <c r="AF38" s="24"/>
      <c r="AG38" s="24"/>
      <c r="AH38" s="24"/>
      <c r="AI38" s="24"/>
      <c r="AJ38" s="24"/>
      <c r="AK38" s="24"/>
    </row>
    <row r="39" spans="1:39" x14ac:dyDescent="0.25">
      <c r="C39" s="1" t="s">
        <v>62</v>
      </c>
    </row>
    <row r="40" spans="1:39" x14ac:dyDescent="0.25">
      <c r="A40" s="1" t="s">
        <v>39</v>
      </c>
      <c r="F40" s="1" t="s">
        <v>42</v>
      </c>
      <c r="G40" s="1" t="s">
        <v>39</v>
      </c>
      <c r="J40" s="1" t="s">
        <v>42</v>
      </c>
      <c r="M40" s="1" t="s">
        <v>42</v>
      </c>
      <c r="R40" s="1" t="s">
        <v>39</v>
      </c>
      <c r="Y40" s="1" t="s">
        <v>42</v>
      </c>
      <c r="AE40" s="1" t="s">
        <v>39</v>
      </c>
      <c r="AI40" s="1" t="s">
        <v>42</v>
      </c>
    </row>
    <row r="42" spans="1:39" x14ac:dyDescent="0.25">
      <c r="A42" s="1" t="s">
        <v>40</v>
      </c>
      <c r="F42" s="1" t="s">
        <v>41</v>
      </c>
      <c r="G42" s="1" t="s">
        <v>40</v>
      </c>
      <c r="J42" s="1" t="s">
        <v>41</v>
      </c>
      <c r="M42" s="1" t="s">
        <v>41</v>
      </c>
      <c r="R42" s="1" t="s">
        <v>40</v>
      </c>
      <c r="Y42" s="1" t="s">
        <v>41</v>
      </c>
      <c r="AE42" s="1" t="s">
        <v>40</v>
      </c>
      <c r="AI42" s="1" t="s">
        <v>41</v>
      </c>
    </row>
    <row r="43" spans="1:39" x14ac:dyDescent="0.25">
      <c r="T43" s="1" t="s">
        <v>50</v>
      </c>
      <c r="Z43" s="1" t="s">
        <v>50</v>
      </c>
    </row>
  </sheetData>
  <mergeCells count="21">
    <mergeCell ref="G1:K1"/>
    <mergeCell ref="B4:C4"/>
    <mergeCell ref="H4:I4"/>
    <mergeCell ref="E4:F4"/>
    <mergeCell ref="J4:K4"/>
    <mergeCell ref="AE1:AK1"/>
    <mergeCell ref="AI3:AK3"/>
    <mergeCell ref="E3:F3"/>
    <mergeCell ref="H3:I3"/>
    <mergeCell ref="J3:K3"/>
    <mergeCell ref="B2:F2"/>
    <mergeCell ref="H2:K2"/>
    <mergeCell ref="B3:C3"/>
    <mergeCell ref="AB3:AD3"/>
    <mergeCell ref="Y3:AA3"/>
    <mergeCell ref="AF3:AH3"/>
    <mergeCell ref="L3:N3"/>
    <mergeCell ref="O3:Q3"/>
    <mergeCell ref="S3:U3"/>
    <mergeCell ref="V3:X3"/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Width="2" orientation="portrait" horizontalDpi="4294967293" r:id="rId1"/>
  <rowBreaks count="1" manualBreakCount="1">
    <brk id="42" max="40" man="1"/>
  </rowBreaks>
  <colBreaks count="1" manualBreakCount="1">
    <brk id="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2020-05-19T13:11:02Z</dcterms:modified>
</cp:coreProperties>
</file>