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5e7cc5734ffc37/Рабочий стол/"/>
    </mc:Choice>
  </mc:AlternateContent>
  <xr:revisionPtr revIDLastSave="0" documentId="8_{0610D6A9-7539-485D-9AC7-62BBBD1D7086}" xr6:coauthVersionLast="37" xr6:coauthVersionMax="37" xr10:uidLastSave="{00000000-0000-0000-0000-000000000000}"/>
  <bookViews>
    <workbookView xWindow="480" yWindow="12" windowWidth="11340" windowHeight="9696" activeTab="1" xr2:uid="{00000000-000D-0000-FFFF-FFFF00000000}"/>
  </bookViews>
  <sheets>
    <sheet name="Лист18" sheetId="23" r:id="rId1"/>
    <sheet name="AWPA пл multi" sheetId="22" r:id="rId2"/>
    <sheet name="AWPA пл standart" sheetId="21" r:id="rId3"/>
    <sheet name="AWPA пл б_э" sheetId="20" r:id="rId4"/>
    <sheet name="AWPA жим multi" sheetId="19" r:id="rId5"/>
    <sheet name="AWPA жим standart" sheetId="18" r:id="rId6"/>
    <sheet name="AWPA жим б_э" sheetId="17" r:id="rId7"/>
    <sheet name="AWPA тяга multi" sheetId="16" r:id="rId8"/>
    <sheet name="AWPA тяга standart" sheetId="15" r:id="rId9"/>
    <sheet name="AWPA тяга б_э" sheetId="14" r:id="rId10"/>
    <sheet name="WPA пл multi" sheetId="13" r:id="rId11"/>
    <sheet name="WPA пл standart" sheetId="12" r:id="rId12"/>
    <sheet name="WPA пл б_э" sheetId="11" r:id="rId13"/>
    <sheet name="WPA жим multi" sheetId="10" r:id="rId14"/>
    <sheet name="WPA жим standart" sheetId="9" r:id="rId15"/>
    <sheet name="WPA жим б_э" sheetId="8" r:id="rId16"/>
    <sheet name="WPA тяга multi" sheetId="7" r:id="rId17"/>
    <sheet name="WPA тяга standart" sheetId="6" r:id="rId18"/>
    <sheet name="WPA тяга б_э" sheetId="5" r:id="rId19"/>
  </sheets>
  <definedNames>
    <definedName name="_FilterDatabase" localSheetId="18" hidden="1">'WPA тяга б_э'!$A$1:$K$3</definedName>
  </definedNames>
  <calcPr calcId="179021" refMode="R1C1"/>
</workbook>
</file>

<file path=xl/calcChain.xml><?xml version="1.0" encoding="utf-8"?>
<calcChain xmlns="http://schemas.openxmlformats.org/spreadsheetml/2006/main">
  <c r="T35" i="20" l="1"/>
  <c r="S35" i="20"/>
  <c r="D35" i="20"/>
  <c r="T34" i="20"/>
  <c r="S34" i="20"/>
  <c r="D34" i="20"/>
  <c r="T31" i="20"/>
  <c r="S31" i="20"/>
  <c r="D31" i="20"/>
  <c r="T28" i="20"/>
  <c r="S28" i="20"/>
  <c r="D28" i="20"/>
  <c r="T27" i="20"/>
  <c r="S27" i="20"/>
  <c r="D27" i="20"/>
  <c r="T24" i="20"/>
  <c r="S24" i="20"/>
  <c r="D24" i="20"/>
  <c r="T21" i="20"/>
  <c r="S21" i="20"/>
  <c r="D21" i="20"/>
  <c r="T20" i="20"/>
  <c r="S20" i="20"/>
  <c r="D20" i="20"/>
  <c r="T19" i="20"/>
  <c r="S19" i="20"/>
  <c r="D19" i="20"/>
  <c r="T16" i="20"/>
  <c r="S16" i="20"/>
  <c r="D16" i="20"/>
  <c r="T13" i="20"/>
  <c r="S13" i="20"/>
  <c r="D13" i="20"/>
  <c r="T12" i="20"/>
  <c r="S12" i="20"/>
  <c r="D12" i="20"/>
  <c r="T9" i="20"/>
  <c r="S9" i="20"/>
  <c r="D9" i="20"/>
  <c r="T6" i="20"/>
  <c r="S6" i="20"/>
  <c r="D6" i="20"/>
  <c r="L22" i="18"/>
  <c r="K22" i="18"/>
  <c r="D22" i="18"/>
  <c r="L19" i="18"/>
  <c r="K19" i="18"/>
  <c r="D19" i="18"/>
  <c r="L18" i="18"/>
  <c r="K18" i="18"/>
  <c r="D18" i="18"/>
  <c r="L15" i="18"/>
  <c r="K15" i="18"/>
  <c r="D15" i="18"/>
  <c r="L12" i="18"/>
  <c r="K12" i="18"/>
  <c r="D12" i="18"/>
  <c r="L9" i="18"/>
  <c r="K9" i="18"/>
  <c r="D9" i="18"/>
  <c r="L6" i="18"/>
  <c r="K6" i="18"/>
  <c r="D6" i="18"/>
  <c r="L67" i="17"/>
  <c r="K67" i="17"/>
  <c r="D67" i="17"/>
  <c r="L64" i="17"/>
  <c r="K64" i="17"/>
  <c r="D64" i="17"/>
  <c r="L61" i="17"/>
  <c r="K61" i="17"/>
  <c r="D61" i="17"/>
  <c r="L60" i="17"/>
  <c r="K60" i="17"/>
  <c r="D60" i="17"/>
  <c r="L59" i="17"/>
  <c r="K59" i="17"/>
  <c r="D59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48" i="17"/>
  <c r="K48" i="17"/>
  <c r="D48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4" i="17"/>
  <c r="K34" i="17"/>
  <c r="D34" i="17"/>
  <c r="L33" i="17"/>
  <c r="K33" i="17"/>
  <c r="D33" i="17"/>
  <c r="L32" i="17"/>
  <c r="K32" i="17"/>
  <c r="D32" i="17"/>
  <c r="L29" i="17"/>
  <c r="K29" i="17"/>
  <c r="D29" i="17"/>
  <c r="L28" i="17"/>
  <c r="K28" i="17"/>
  <c r="D28" i="17"/>
  <c r="L25" i="17"/>
  <c r="K25" i="17"/>
  <c r="D25" i="17"/>
  <c r="L24" i="17"/>
  <c r="K24" i="17"/>
  <c r="D24" i="17"/>
  <c r="L21" i="17"/>
  <c r="K21" i="17"/>
  <c r="D21" i="17"/>
  <c r="L18" i="17"/>
  <c r="K18" i="17"/>
  <c r="D18" i="17"/>
  <c r="L15" i="17"/>
  <c r="K15" i="17"/>
  <c r="D15" i="17"/>
  <c r="L14" i="17"/>
  <c r="K14" i="17"/>
  <c r="D14" i="17"/>
  <c r="L11" i="17"/>
  <c r="K11" i="17"/>
  <c r="D11" i="17"/>
  <c r="L10" i="17"/>
  <c r="K10" i="17"/>
  <c r="D10" i="17"/>
  <c r="L7" i="17"/>
  <c r="K7" i="17"/>
  <c r="D7" i="17"/>
  <c r="L6" i="17"/>
  <c r="K6" i="17"/>
  <c r="D6" i="17"/>
  <c r="L6" i="15"/>
  <c r="K6" i="15"/>
  <c r="D6" i="15"/>
  <c r="L40" i="14"/>
  <c r="K40" i="14"/>
  <c r="D40" i="14"/>
  <c r="L37" i="14"/>
  <c r="K37" i="14"/>
  <c r="D37" i="14"/>
  <c r="L34" i="14"/>
  <c r="K34" i="14"/>
  <c r="D34" i="14"/>
  <c r="L33" i="14"/>
  <c r="K33" i="14"/>
  <c r="D33" i="14"/>
  <c r="L30" i="14"/>
  <c r="K30" i="14"/>
  <c r="D30" i="14"/>
  <c r="L29" i="14"/>
  <c r="K29" i="14"/>
  <c r="D29" i="14"/>
  <c r="L28" i="14"/>
  <c r="K28" i="14"/>
  <c r="D28" i="14"/>
  <c r="L27" i="14"/>
  <c r="K27" i="14"/>
  <c r="D27" i="14"/>
  <c r="L24" i="14"/>
  <c r="K24" i="14"/>
  <c r="D24" i="14"/>
  <c r="L23" i="14"/>
  <c r="K23" i="14"/>
  <c r="D23" i="14"/>
  <c r="L22" i="14"/>
  <c r="K22" i="14"/>
  <c r="D22" i="14"/>
  <c r="L21" i="14"/>
  <c r="K21" i="14"/>
  <c r="D21" i="14"/>
  <c r="L18" i="14"/>
  <c r="K18" i="14"/>
  <c r="D18" i="14"/>
  <c r="L17" i="14"/>
  <c r="K17" i="14"/>
  <c r="D17" i="14"/>
  <c r="L14" i="14"/>
  <c r="K14" i="14"/>
  <c r="D14" i="14"/>
  <c r="L13" i="14"/>
  <c r="K13" i="14"/>
  <c r="D13" i="14"/>
  <c r="L10" i="14"/>
  <c r="K10" i="14"/>
  <c r="D10" i="14"/>
  <c r="L7" i="14"/>
  <c r="K7" i="14"/>
  <c r="D7" i="14"/>
  <c r="L6" i="14"/>
  <c r="K6" i="14"/>
  <c r="D6" i="14"/>
  <c r="T6" i="12"/>
  <c r="S6" i="12"/>
  <c r="D6" i="12"/>
  <c r="T30" i="11"/>
  <c r="S30" i="11"/>
  <c r="D30" i="11"/>
  <c r="T29" i="11"/>
  <c r="S29" i="11"/>
  <c r="D29" i="11"/>
  <c r="T26" i="11"/>
  <c r="S26" i="11"/>
  <c r="D26" i="11"/>
  <c r="T23" i="11"/>
  <c r="S23" i="11"/>
  <c r="D23" i="11"/>
  <c r="T20" i="11"/>
  <c r="S20" i="11"/>
  <c r="D20" i="11"/>
  <c r="T19" i="11"/>
  <c r="S19" i="11"/>
  <c r="D19" i="11"/>
  <c r="T18" i="11"/>
  <c r="S18" i="11"/>
  <c r="D18" i="11"/>
  <c r="T17" i="11"/>
  <c r="S17" i="11"/>
  <c r="D17" i="11"/>
  <c r="T14" i="11"/>
  <c r="S14" i="11"/>
  <c r="D14" i="11"/>
  <c r="T13" i="11"/>
  <c r="S13" i="11"/>
  <c r="D13" i="11"/>
  <c r="T12" i="11"/>
  <c r="S12" i="11"/>
  <c r="D12" i="11"/>
  <c r="T9" i="11"/>
  <c r="S9" i="11"/>
  <c r="D9" i="11"/>
  <c r="T6" i="11"/>
  <c r="S6" i="11"/>
  <c r="D6" i="11"/>
  <c r="L7" i="9"/>
  <c r="K7" i="9"/>
  <c r="D7" i="9"/>
  <c r="L6" i="9"/>
  <c r="K6" i="9"/>
  <c r="D6" i="9"/>
  <c r="L26" i="8"/>
  <c r="K26" i="8"/>
  <c r="D26" i="8"/>
  <c r="L25" i="8"/>
  <c r="K25" i="8"/>
  <c r="D25" i="8"/>
  <c r="L22" i="8"/>
  <c r="K22" i="8"/>
  <c r="D22" i="8"/>
  <c r="L21" i="8"/>
  <c r="K21" i="8"/>
  <c r="D21" i="8"/>
  <c r="L20" i="8"/>
  <c r="K20" i="8"/>
  <c r="D20" i="8"/>
  <c r="L19" i="8"/>
  <c r="K19" i="8"/>
  <c r="D19" i="8"/>
  <c r="L18" i="8"/>
  <c r="K18" i="8"/>
  <c r="D18" i="8"/>
  <c r="L15" i="8"/>
  <c r="K15" i="8"/>
  <c r="D15" i="8"/>
  <c r="L14" i="8"/>
  <c r="K14" i="8"/>
  <c r="D14" i="8"/>
  <c r="L11" i="8"/>
  <c r="K11" i="8"/>
  <c r="D11" i="8"/>
  <c r="L10" i="8"/>
  <c r="K10" i="8"/>
  <c r="D10" i="8"/>
  <c r="L9" i="8"/>
  <c r="K9" i="8"/>
  <c r="D9" i="8"/>
  <c r="L6" i="8"/>
  <c r="K6" i="8"/>
  <c r="D6" i="8"/>
  <c r="L17" i="5"/>
  <c r="K17" i="5"/>
  <c r="D17" i="5"/>
  <c r="L14" i="5"/>
  <c r="K14" i="5"/>
  <c r="D14" i="5"/>
  <c r="L13" i="5"/>
  <c r="K13" i="5"/>
  <c r="D13" i="5"/>
  <c r="L10" i="5"/>
  <c r="K10" i="5"/>
  <c r="D10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<sst xmlns="http://schemas.openxmlformats.org/spreadsheetml/2006/main" count="2373" uniqueCount="702">
  <si>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</si>
  <si>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</si>
  <si>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</si>
  <si>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</si>
  <si>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</si>
  <si>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</si>
  <si>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</si>
  <si>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</si>
  <si>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</si>
  <si>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</si>
  <si>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</si>
  <si>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</si>
  <si>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Asian Cup
WPA тяга становая без экипировки
Владивосток/Приморский край 9 апреля 2022 г.</t>
  </si>
  <si>
    <t>Shv/Mel</t>
  </si>
  <si>
    <t>Становая тяга</t>
  </si>
  <si>
    <t>ВЕСОВАЯ КАТЕГОРИЯ   67.5</t>
  </si>
  <si>
    <t>Шадрин Артём</t>
  </si>
  <si>
    <t>1. Шадрин Артём</t>
  </si>
  <si>
    <t>Юноши 18 - 19 (26.06.2003)/18</t>
  </si>
  <si>
    <t>66,70</t>
  </si>
  <si>
    <t xml:space="preserve">лично </t>
  </si>
  <si>
    <t xml:space="preserve">Владивосток/Приморский край </t>
  </si>
  <si>
    <t>130,0</t>
  </si>
  <si>
    <t>150,0</t>
  </si>
  <si>
    <t>170,0</t>
  </si>
  <si>
    <t xml:space="preserve"> </t>
  </si>
  <si>
    <t>ВЕСОВАЯ КАТЕГОРИЯ   82.5</t>
  </si>
  <si>
    <t>Серебреников Сергей</t>
  </si>
  <si>
    <t>1. Серебреников Сергей</t>
  </si>
  <si>
    <t>Открытая (16.07.1971)/50</t>
  </si>
  <si>
    <t>80,40</t>
  </si>
  <si>
    <t>160,0</t>
  </si>
  <si>
    <t>180,0</t>
  </si>
  <si>
    <t>190,0</t>
  </si>
  <si>
    <t>Новоселов Леонид</t>
  </si>
  <si>
    <t>1. Новоселов Леонид</t>
  </si>
  <si>
    <t>Ветераны 40 - 44 (13.12.1979)/42</t>
  </si>
  <si>
    <t>81,80</t>
  </si>
  <si>
    <t xml:space="preserve">Благовещенск/Амурская область </t>
  </si>
  <si>
    <t>215,0</t>
  </si>
  <si>
    <t>225,0</t>
  </si>
  <si>
    <t>227,5</t>
  </si>
  <si>
    <t>ВЕСОВАЯ КАТЕГОРИЯ   90</t>
  </si>
  <si>
    <t>Колпинец Савелий</t>
  </si>
  <si>
    <t>1. Колпинец Савелий</t>
  </si>
  <si>
    <t>Юноши 18 - 19 (27.06.2002)/19</t>
  </si>
  <si>
    <t>87,90</t>
  </si>
  <si>
    <t>220,0</t>
  </si>
  <si>
    <t>230,0</t>
  </si>
  <si>
    <t>Открытая (27.06.2002)/19</t>
  </si>
  <si>
    <t>ВЕСОВАЯ КАТЕГОРИЯ   100</t>
  </si>
  <si>
    <t>Лабуз Максим</t>
  </si>
  <si>
    <t>1. Лабуз Максим</t>
  </si>
  <si>
    <t>Открытая (06.12.1982)/39</t>
  </si>
  <si>
    <t>94,40</t>
  </si>
  <si>
    <t>240,0</t>
  </si>
  <si>
    <t>245,0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</si>
  <si>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</si>
  <si>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</si>
  <si>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</si>
  <si>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</si>
  <si>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</si>
  <si>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</si>
  <si>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</si>
  <si>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</si>
  <si>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</si>
  <si>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</si>
  <si>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</si>
  <si>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</si>
  <si>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</si>
  <si>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</si>
  <si>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 xml:space="preserve">Юноши 18 - 19 </t>
  </si>
  <si>
    <t>90</t>
  </si>
  <si>
    <t>136,5970</t>
  </si>
  <si>
    <t>67.5</t>
  </si>
  <si>
    <t>124,7290</t>
  </si>
  <si>
    <t xml:space="preserve">Открытая </t>
  </si>
  <si>
    <t>100</t>
  </si>
  <si>
    <t>131,0310</t>
  </si>
  <si>
    <t>82.5</t>
  </si>
  <si>
    <t>119,8330</t>
  </si>
  <si>
    <t xml:space="preserve">Ветераны </t>
  </si>
  <si>
    <t xml:space="preserve">Ветераны 40 - 44 </t>
  </si>
  <si>
    <t>141,4366</t>
  </si>
  <si>
    <t>Результат</t>
  </si>
  <si>
    <t>Asian Cup
WPA тяга становая в экипировке standart
Владивосток/Приморский край 9 апреля 2022 г.</t>
  </si>
  <si>
    <t>Asian Cup
WPA тяга в экипировке multi
Владивосток/Приморский край 9 апреля 2022 г.</t>
  </si>
  <si>
    <t>Asian Cup
WPA жим лежа без экипировки
Владивосток/Приморский край 9 апреля 2022 г.</t>
  </si>
  <si>
    <t>Жим лёжа</t>
  </si>
  <si>
    <t>ВЕСОВАЯ КАТЕГОРИЯ   75</t>
  </si>
  <si>
    <t>Тимбал Егор</t>
  </si>
  <si>
    <t>1. Тимбал Егор</t>
  </si>
  <si>
    <t>Открытая (25.06.1992)/29</t>
  </si>
  <si>
    <t>75,00</t>
  </si>
  <si>
    <t>165,0</t>
  </si>
  <si>
    <t>Коняхин Иван</t>
  </si>
  <si>
    <t>1. Коняхин Иван</t>
  </si>
  <si>
    <t>Открытая (13.04.1974)/47</t>
  </si>
  <si>
    <t>78,50</t>
  </si>
  <si>
    <t xml:space="preserve">Находка/Приморский край </t>
  </si>
  <si>
    <t>157,5</t>
  </si>
  <si>
    <t>2. Серебреников Сергей</t>
  </si>
  <si>
    <t>115,0</t>
  </si>
  <si>
    <t>120,0</t>
  </si>
  <si>
    <t>125,0</t>
  </si>
  <si>
    <t>Ветераны 45 - 49 (13.04.1974)/47</t>
  </si>
  <si>
    <t>Рычков Константин</t>
  </si>
  <si>
    <t>1. Рычков Константин</t>
  </si>
  <si>
    <t>Открытая (03.11.1979)/42</t>
  </si>
  <si>
    <t>89,40</t>
  </si>
  <si>
    <t>185,0</t>
  </si>
  <si>
    <t>195,0</t>
  </si>
  <si>
    <t>Ветераны 40 - 44 (03.11.1979)/42</t>
  </si>
  <si>
    <t>Приходько Павел</t>
  </si>
  <si>
    <t>1. Приходько Павел</t>
  </si>
  <si>
    <t>Открытая (23.05.1980)/41</t>
  </si>
  <si>
    <t>99,40</t>
  </si>
  <si>
    <t>235,0</t>
  </si>
  <si>
    <t>252,5</t>
  </si>
  <si>
    <t>Белец Елисей</t>
  </si>
  <si>
    <t>2. Белец Елисей</t>
  </si>
  <si>
    <t>Открытая (02.06.1986)/35</t>
  </si>
  <si>
    <t>99,90</t>
  </si>
  <si>
    <t xml:space="preserve">Хабаровск/Хабаровский край </t>
  </si>
  <si>
    <t>200,0</t>
  </si>
  <si>
    <t>205,0</t>
  </si>
  <si>
    <t>Долгов Виталий</t>
  </si>
  <si>
    <t>3. Долгов Виталий</t>
  </si>
  <si>
    <t>Открытая (22.05.1984)/37</t>
  </si>
  <si>
    <t>93,50</t>
  </si>
  <si>
    <t>175,0</t>
  </si>
  <si>
    <t>Свитечев Кирилл</t>
  </si>
  <si>
    <t>4. Свитечев Кирилл</t>
  </si>
  <si>
    <t>Открытая (16.11.1988)/33</t>
  </si>
  <si>
    <t>98,70</t>
  </si>
  <si>
    <t>155,0</t>
  </si>
  <si>
    <t>Ветераны 40 - 44 (23.05.1980)/41</t>
  </si>
  <si>
    <t>ВЕСОВАЯ КАТЕГОРИЯ   110</t>
  </si>
  <si>
    <t>Молитвинов Алексей</t>
  </si>
  <si>
    <t>1. Молитвинов Алексей</t>
  </si>
  <si>
    <t>Открытая (16.07.1996)/25</t>
  </si>
  <si>
    <t>105,40</t>
  </si>
  <si>
    <t>162,5</t>
  </si>
  <si>
    <t>172,5</t>
  </si>
  <si>
    <t>-. Казаков Роман</t>
  </si>
  <si>
    <t>Открытая (13.11.1981)/40</t>
  </si>
  <si>
    <t>109,00</t>
  </si>
  <si>
    <t>136,0975</t>
  </si>
  <si>
    <t>111,6630</t>
  </si>
  <si>
    <t>110,8600</t>
  </si>
  <si>
    <t>75</t>
  </si>
  <si>
    <t>106,3200</t>
  </si>
  <si>
    <t>105,9495</t>
  </si>
  <si>
    <t>101,0835</t>
  </si>
  <si>
    <t>91,9545</t>
  </si>
  <si>
    <t>110</t>
  </si>
  <si>
    <t>88,2537</t>
  </si>
  <si>
    <t>78,8375</t>
  </si>
  <si>
    <t>136,5058</t>
  </si>
  <si>
    <t>112,6680</t>
  </si>
  <si>
    <t xml:space="preserve">Ветераны 45 - 49 </t>
  </si>
  <si>
    <t>110,3832</t>
  </si>
  <si>
    <t>Asian Cup
WPA жим лежа в экипировке standart
Владивосток/Приморский край 9 апреля 2022 г.</t>
  </si>
  <si>
    <t>Щур Андрей</t>
  </si>
  <si>
    <t>1. Щур Андрей</t>
  </si>
  <si>
    <t>Открытая (04.06.1973)/48</t>
  </si>
  <si>
    <t>80,90</t>
  </si>
  <si>
    <t>270,0</t>
  </si>
  <si>
    <t>280,0</t>
  </si>
  <si>
    <t>Ветераны 45 - 49 (04.06.1973)/48</t>
  </si>
  <si>
    <t>175,8120</t>
  </si>
  <si>
    <t>196,3820</t>
  </si>
  <si>
    <t>Asian Cup
WPA жим лежа в экипировке multi
Владивосток/Приморский край 9 апреля 2022 г.</t>
  </si>
  <si>
    <t>Asian Cup
WPA пауэрлифтинг без экипировки
Владивосток/Приморский край 9 апреля 2022 г.</t>
  </si>
  <si>
    <t>Приседание</t>
  </si>
  <si>
    <t>ВЕСОВАЯ КАТЕГОРИЯ   60</t>
  </si>
  <si>
    <t>Крук Виолетта</t>
  </si>
  <si>
    <t>1. Крук Виолетта</t>
  </si>
  <si>
    <t>Открытая (26.07.1989)/32</t>
  </si>
  <si>
    <t>59,00</t>
  </si>
  <si>
    <t>140,0</t>
  </si>
  <si>
    <t>145,0</t>
  </si>
  <si>
    <t>147,5</t>
  </si>
  <si>
    <t>90,0</t>
  </si>
  <si>
    <t>95,0</t>
  </si>
  <si>
    <t>97,5</t>
  </si>
  <si>
    <t>182,5</t>
  </si>
  <si>
    <t>Красильников Андрей</t>
  </si>
  <si>
    <t>1. Красильников Андрей</t>
  </si>
  <si>
    <t>Юноши 16 - 17 (18.10.2004)/17</t>
  </si>
  <si>
    <t>59,80</t>
  </si>
  <si>
    <t xml:space="preserve">Чугуевка/Приморский край </t>
  </si>
  <si>
    <t>102,5</t>
  </si>
  <si>
    <t>107,5</t>
  </si>
  <si>
    <t>75,0</t>
  </si>
  <si>
    <t>80,0</t>
  </si>
  <si>
    <t>85,0</t>
  </si>
  <si>
    <t>Поздняк Ярослав</t>
  </si>
  <si>
    <t>1. Поздняк Ярослав</t>
  </si>
  <si>
    <t>Юноши 16 - 17 (15.10.2004)/17</t>
  </si>
  <si>
    <t>65,10</t>
  </si>
  <si>
    <t>65,0</t>
  </si>
  <si>
    <t>70,0</t>
  </si>
  <si>
    <t>55,0</t>
  </si>
  <si>
    <t>110,0</t>
  </si>
  <si>
    <t>Мыльников Александр</t>
  </si>
  <si>
    <t>1. Мыльников Александр</t>
  </si>
  <si>
    <t>Открытая (08.09.1966)/55</t>
  </si>
  <si>
    <t>63,70</t>
  </si>
  <si>
    <t xml:space="preserve">Уссурийск/Приморский край </t>
  </si>
  <si>
    <t>77,5</t>
  </si>
  <si>
    <t>Ветераны 55 - 59 (08.09.1966)/55</t>
  </si>
  <si>
    <t>Плетюшкин Алексей</t>
  </si>
  <si>
    <t>1. Плетюшкин Алексей</t>
  </si>
  <si>
    <t>Юноши 16 - 17 (17.07.2004)/17</t>
  </si>
  <si>
    <t>74,60</t>
  </si>
  <si>
    <t>82,5</t>
  </si>
  <si>
    <t>Цой Сергей</t>
  </si>
  <si>
    <t>1. Цой Сергей</t>
  </si>
  <si>
    <t>Открытая (26.08.1982)/39</t>
  </si>
  <si>
    <t>73,70</t>
  </si>
  <si>
    <t>105,0</t>
  </si>
  <si>
    <t>Иванов Александр</t>
  </si>
  <si>
    <t>2. Иванов Александр</t>
  </si>
  <si>
    <t>Открытая (24.04.1964)/57</t>
  </si>
  <si>
    <t>71,00</t>
  </si>
  <si>
    <t>132,5</t>
  </si>
  <si>
    <t>1. Иванов Александр</t>
  </si>
  <si>
    <t>Ветераны 55 - 59 (24.04.1964)/57</t>
  </si>
  <si>
    <t>Рахимов Максим</t>
  </si>
  <si>
    <t>1. Рахимов Максим</t>
  </si>
  <si>
    <t>Юноши 16 - 17 (12.06.2005)/16</t>
  </si>
  <si>
    <t>135,0</t>
  </si>
  <si>
    <t>Литвиненко Юрий</t>
  </si>
  <si>
    <t>1. Литвиненко Юрий</t>
  </si>
  <si>
    <t>Открытая (09.03.1983)/39</t>
  </si>
  <si>
    <t>99,30</t>
  </si>
  <si>
    <t>Швец Максим</t>
  </si>
  <si>
    <t>1. Швец Максим</t>
  </si>
  <si>
    <t>Юниоры 20 - 23 (28.10.1998)/23</t>
  </si>
  <si>
    <t>106,70</t>
  </si>
  <si>
    <t>290,0</t>
  </si>
  <si>
    <t>300,0</t>
  </si>
  <si>
    <t>320,0</t>
  </si>
  <si>
    <t>Акишин Александр</t>
  </si>
  <si>
    <t>2. Акишин Александр</t>
  </si>
  <si>
    <t>Юниоры 20 - 23 (18.04.1999)/22</t>
  </si>
  <si>
    <t>106,00</t>
  </si>
  <si>
    <t xml:space="preserve">Женщины </t>
  </si>
  <si>
    <t>60</t>
  </si>
  <si>
    <t>422,5</t>
  </si>
  <si>
    <t>368,6313</t>
  </si>
  <si>
    <t xml:space="preserve">Юноши 16 - 17 </t>
  </si>
  <si>
    <t>347,5</t>
  </si>
  <si>
    <t>318,1710</t>
  </si>
  <si>
    <t>450,0</t>
  </si>
  <si>
    <t>267,2550</t>
  </si>
  <si>
    <t>310,0</t>
  </si>
  <si>
    <t>206,8630</t>
  </si>
  <si>
    <t>260,0</t>
  </si>
  <si>
    <t>195,0780</t>
  </si>
  <si>
    <t xml:space="preserve">Юниоры </t>
  </si>
  <si>
    <t xml:space="preserve">Юниоры 20 - 23 </t>
  </si>
  <si>
    <t>830,0</t>
  </si>
  <si>
    <t>449,0300</t>
  </si>
  <si>
    <t>662,5</t>
  </si>
  <si>
    <t>359,1413</t>
  </si>
  <si>
    <t>605,0</t>
  </si>
  <si>
    <t>336,2590</t>
  </si>
  <si>
    <t>385,0</t>
  </si>
  <si>
    <t>294,8715</t>
  </si>
  <si>
    <t>420,0</t>
  </si>
  <si>
    <t>282,9540</t>
  </si>
  <si>
    <t>330,0</t>
  </si>
  <si>
    <t>229,2510</t>
  </si>
  <si>
    <t xml:space="preserve">Ветераны 55 - 59 </t>
  </si>
  <si>
    <t>406,9227</t>
  </si>
  <si>
    <t>339,2915</t>
  </si>
  <si>
    <t>Asian Cup
WPA пауэрлифтинг в экипировке standart
Владивосток/Приморский край 9 апреля 2022 г.</t>
  </si>
  <si>
    <t>Смолин Антон</t>
  </si>
  <si>
    <t>1. Смолин Антон</t>
  </si>
  <si>
    <t>Ветераны 40 - 44 (05.06.1980)/41</t>
  </si>
  <si>
    <t>97,00</t>
  </si>
  <si>
    <t>730,0</t>
  </si>
  <si>
    <t>411,4176</t>
  </si>
  <si>
    <t>Asian Cup
WPA пауэрлифтинг в экипировке multi
Владивосток/Приморский край 9 апреля 2022 г.</t>
  </si>
  <si>
    <t>Asian Cup
AWPA тяга становая без экипировки
Владивосток/Приморский край 9 апреля 2022 г.</t>
  </si>
  <si>
    <t>ВЕСОВАЯ КАТЕГОРИЯ   56</t>
  </si>
  <si>
    <t>Ли Анна</t>
  </si>
  <si>
    <t>1. Ли Анна</t>
  </si>
  <si>
    <t>Открытая (11.04.1990)/31</t>
  </si>
  <si>
    <t>54,50</t>
  </si>
  <si>
    <t>Прижигалинская Татьяна</t>
  </si>
  <si>
    <t>2. Прижигалинская Татьяна</t>
  </si>
  <si>
    <t>Открытая (12.11.1990)/31</t>
  </si>
  <si>
    <t>55,10</t>
  </si>
  <si>
    <t>100,0</t>
  </si>
  <si>
    <t>-. Шарова Дарья</t>
  </si>
  <si>
    <t>Открытая (17.03.1993)/29</t>
  </si>
  <si>
    <t>66,10</t>
  </si>
  <si>
    <t>Корчевская Алёна</t>
  </si>
  <si>
    <t>1. Корчевская Алёна</t>
  </si>
  <si>
    <t>Девушки 16 - 17 (02.08.2004)/17</t>
  </si>
  <si>
    <t>74,20</t>
  </si>
  <si>
    <t>Сошникова Татьяна</t>
  </si>
  <si>
    <t>1. Сошникова Татьяна</t>
  </si>
  <si>
    <t>Открытая (18.06.1987)/34</t>
  </si>
  <si>
    <t>73,10</t>
  </si>
  <si>
    <t>Котов Алексей</t>
  </si>
  <si>
    <t>1. Котов Алексей</t>
  </si>
  <si>
    <t>Открытая (19.09.1987)/34</t>
  </si>
  <si>
    <t>Масимов Эльдар</t>
  </si>
  <si>
    <t>2. Масимов Эльдар</t>
  </si>
  <si>
    <t>Открытая (21.10.1994)/27</t>
  </si>
  <si>
    <t>70,90</t>
  </si>
  <si>
    <t>202,5</t>
  </si>
  <si>
    <t>-. Кузнецов Никита</t>
  </si>
  <si>
    <t>Юноши 18 - 19 (29.09.2003)/18</t>
  </si>
  <si>
    <t>81,90</t>
  </si>
  <si>
    <t>Денисов Николай</t>
  </si>
  <si>
    <t>1. Денисов Николай</t>
  </si>
  <si>
    <t>Юниоры 20 - 23 (29.03.2002)/20</t>
  </si>
  <si>
    <t>79,00</t>
  </si>
  <si>
    <t>Колюхов Андрей</t>
  </si>
  <si>
    <t>1. Колюхов Андрей</t>
  </si>
  <si>
    <t>Ветераны 40 - 44 (25.04.1979)/42</t>
  </si>
  <si>
    <t>Изгагин Александр</t>
  </si>
  <si>
    <t>1. Изгагин Александр</t>
  </si>
  <si>
    <t>Ветераны 65 - 69 (21.06.1953)/68</t>
  </si>
  <si>
    <t>76,00</t>
  </si>
  <si>
    <t>Туник Сергей</t>
  </si>
  <si>
    <t>1. Туник Сергей</t>
  </si>
  <si>
    <t>Юноши 18 - 19 (26.11.2002)/19</t>
  </si>
  <si>
    <t>83,50</t>
  </si>
  <si>
    <t>Михалев Александр</t>
  </si>
  <si>
    <t>1. Михалев Александр</t>
  </si>
  <si>
    <t>Открытая (10.10.1990)/31</t>
  </si>
  <si>
    <t>90,00</t>
  </si>
  <si>
    <t>222,5</t>
  </si>
  <si>
    <t>Смирнов Кирилл</t>
  </si>
  <si>
    <t>2. Смирнов Кирилл</t>
  </si>
  <si>
    <t>Открытая (11.08.1991)/30</t>
  </si>
  <si>
    <t>89,20</t>
  </si>
  <si>
    <t>Кадзилов Сослан</t>
  </si>
  <si>
    <t>3. Кадзилов Сослан</t>
  </si>
  <si>
    <t>Открытая (09.10.1991)/30</t>
  </si>
  <si>
    <t>87,60</t>
  </si>
  <si>
    <t>210,0</t>
  </si>
  <si>
    <t>Шацков Александр</t>
  </si>
  <si>
    <t>1. Шацков Александр</t>
  </si>
  <si>
    <t>Открытая (21.04.1985)/36</t>
  </si>
  <si>
    <t>95,30</t>
  </si>
  <si>
    <t>Шанцын Юрий</t>
  </si>
  <si>
    <t>1. Шанцын Юрий</t>
  </si>
  <si>
    <t>Ветераны 70 - 74 (21.02.1949)/73</t>
  </si>
  <si>
    <t>98,20</t>
  </si>
  <si>
    <t xml:space="preserve">Артём/Приморский край </t>
  </si>
  <si>
    <t>ВЕСОВАЯ КАТЕГОРИЯ   125</t>
  </si>
  <si>
    <t>Югай Антон</t>
  </si>
  <si>
    <t>1. Югай Антон</t>
  </si>
  <si>
    <t>Открытая (28.09.1989)/32</t>
  </si>
  <si>
    <t>111,50</t>
  </si>
  <si>
    <t>ВЕСОВАЯ КАТЕГОРИЯ   140</t>
  </si>
  <si>
    <t>Романенко Александр</t>
  </si>
  <si>
    <t>1. Романенко Александр</t>
  </si>
  <si>
    <t>Юниоры 20 - 23 (17.07.1998)/23</t>
  </si>
  <si>
    <t>136,70</t>
  </si>
  <si>
    <t>232,5</t>
  </si>
  <si>
    <t xml:space="preserve">Девушки </t>
  </si>
  <si>
    <t>78,1740</t>
  </si>
  <si>
    <t>56</t>
  </si>
  <si>
    <t>130,4660</t>
  </si>
  <si>
    <t>117,6160</t>
  </si>
  <si>
    <t>96,9675</t>
  </si>
  <si>
    <t>119,7690</t>
  </si>
  <si>
    <t>124,5660</t>
  </si>
  <si>
    <t>140</t>
  </si>
  <si>
    <t>121,6800</t>
  </si>
  <si>
    <t>156,1575</t>
  </si>
  <si>
    <t>130,2293</t>
  </si>
  <si>
    <t>126,5275</t>
  </si>
  <si>
    <t>125,1900</t>
  </si>
  <si>
    <t>124,9920</t>
  </si>
  <si>
    <t>121,8835</t>
  </si>
  <si>
    <t>125</t>
  </si>
  <si>
    <t>117,6560</t>
  </si>
  <si>
    <t xml:space="preserve">Ветераны 70 - 74 </t>
  </si>
  <si>
    <t>197,5210</t>
  </si>
  <si>
    <t xml:space="preserve">Ветераны 65 - 69 </t>
  </si>
  <si>
    <t>173,5670</t>
  </si>
  <si>
    <t>122,4603</t>
  </si>
  <si>
    <t>Asian Cup
AWPA тяга становая в экипировке standart
Владивосток/Приморский край 9 апреля 2022 г.</t>
  </si>
  <si>
    <t>250,0</t>
  </si>
  <si>
    <t>153,4790</t>
  </si>
  <si>
    <t>Asian Cup
AWPA тяга становая в экипировке multi
Владивосток/Приморский край 9 апреля 2022 г.</t>
  </si>
  <si>
    <t>Asian Cup
AWPA жим лежа без экипировки
Владивосток/Приморский край 9 апреля 2022 г.</t>
  </si>
  <si>
    <t>ВЕСОВАЯ КАТЕГОРИЯ   52</t>
  </si>
  <si>
    <t>Демина Анна</t>
  </si>
  <si>
    <t>1. Демина Анна</t>
  </si>
  <si>
    <t>Открытая (28.05.1987)/34</t>
  </si>
  <si>
    <t>51,40</t>
  </si>
  <si>
    <t>62,5</t>
  </si>
  <si>
    <t>67,5</t>
  </si>
  <si>
    <t>Рябец Марина</t>
  </si>
  <si>
    <t>2. Рябец Марина</t>
  </si>
  <si>
    <t>Открытая (06.04.1991)/31</t>
  </si>
  <si>
    <t>50,40</t>
  </si>
  <si>
    <t>45,0</t>
  </si>
  <si>
    <t>50,0</t>
  </si>
  <si>
    <t>-. Батищева Эльёра</t>
  </si>
  <si>
    <t>Открытая (03.08.1989)/32</t>
  </si>
  <si>
    <t>58,30</t>
  </si>
  <si>
    <t xml:space="preserve">Дальнегорск/Приморский край </t>
  </si>
  <si>
    <t>Манина Наталья</t>
  </si>
  <si>
    <t>1. Манина Наталья</t>
  </si>
  <si>
    <t>Ветераны 40 - 44 (08.01.1980)/42</t>
  </si>
  <si>
    <t>59,10</t>
  </si>
  <si>
    <t>Усанова Ангелина</t>
  </si>
  <si>
    <t>1. Усанова Ангелина</t>
  </si>
  <si>
    <t>Дети 11-12 (08.05.2009)/12</t>
  </si>
  <si>
    <t>65,60</t>
  </si>
  <si>
    <t>60,0</t>
  </si>
  <si>
    <t>Фёдорова Татьяна</t>
  </si>
  <si>
    <t>1. Фёдорова Татьяна</t>
  </si>
  <si>
    <t>Ветераны 55 - 59 (12.02.1965)/57</t>
  </si>
  <si>
    <t>66,60</t>
  </si>
  <si>
    <t>Усанова Юлия</t>
  </si>
  <si>
    <t>1. Усанова Юлия</t>
  </si>
  <si>
    <t>Открытая (22.07.1984)/37</t>
  </si>
  <si>
    <t>69,20</t>
  </si>
  <si>
    <t>72,5</t>
  </si>
  <si>
    <t>Терещенко Кирилл</t>
  </si>
  <si>
    <t>1. Терещенко Кирилл</t>
  </si>
  <si>
    <t>Юноши 13 - 15 (02.01.2007)/15</t>
  </si>
  <si>
    <t>Андреев Анатолий</t>
  </si>
  <si>
    <t>1. Андреев Анатолий</t>
  </si>
  <si>
    <t>Юноши 13 - 15 (08.08.2008)/13</t>
  </si>
  <si>
    <t>65,30</t>
  </si>
  <si>
    <t>Калашницын Антон</t>
  </si>
  <si>
    <t>1. Калашницын Антон</t>
  </si>
  <si>
    <t>Ветераны 40 - 44 (13.09.1980)/41</t>
  </si>
  <si>
    <t>67,10</t>
  </si>
  <si>
    <t>Хазыгалиев Артемий</t>
  </si>
  <si>
    <t>1. Хазыгалиев Артемий</t>
  </si>
  <si>
    <t>Юноши 16 - 17 (28.04.2004)/17</t>
  </si>
  <si>
    <t>72,90</t>
  </si>
  <si>
    <t>117,5</t>
  </si>
  <si>
    <t>Крикунов Юрий</t>
  </si>
  <si>
    <t>1. Крикунов Юрий</t>
  </si>
  <si>
    <t>Ветераны 60 - 64 (25.05.1957)/64</t>
  </si>
  <si>
    <t>Махонин Данила</t>
  </si>
  <si>
    <t>1. Махонин Данила</t>
  </si>
  <si>
    <t>Юноши 18 - 19 (13.08.2003)/18</t>
  </si>
  <si>
    <t>81,10</t>
  </si>
  <si>
    <t xml:space="preserve">Братск/Иркутская область </t>
  </si>
  <si>
    <t>127,5</t>
  </si>
  <si>
    <t>Баканин Захар</t>
  </si>
  <si>
    <t>2. Баканин Захар</t>
  </si>
  <si>
    <t>Юноши 18 - 19 (18.12.2003)/18</t>
  </si>
  <si>
    <t>77,20</t>
  </si>
  <si>
    <t>Тяжлов Владислав</t>
  </si>
  <si>
    <t>1. Тяжлов Владислав</t>
  </si>
  <si>
    <t>Открытая (10.09.1989)/32</t>
  </si>
  <si>
    <t>79,60</t>
  </si>
  <si>
    <t>Кошеватый Дмитрий</t>
  </si>
  <si>
    <t>2. Кошеватый Дмитрий</t>
  </si>
  <si>
    <t>Открытая (27.02.1995)/27</t>
  </si>
  <si>
    <t>81,30</t>
  </si>
  <si>
    <t>Войнов Роман</t>
  </si>
  <si>
    <t>3. Войнов Роман</t>
  </si>
  <si>
    <t>Открытая (18.11.1988)/33</t>
  </si>
  <si>
    <t>Хачатрян Гарегин</t>
  </si>
  <si>
    <t>1. Хачатрян Гарегин</t>
  </si>
  <si>
    <t>Ветераны 45 - 49 (23.08.1974)/47</t>
  </si>
  <si>
    <t>80,70</t>
  </si>
  <si>
    <t>Алтухов Андрей</t>
  </si>
  <si>
    <t>2. Алтухов Андрей</t>
  </si>
  <si>
    <t>Ветераны 45 - 49 (07.12.1974)/47</t>
  </si>
  <si>
    <t>76,30</t>
  </si>
  <si>
    <t>112,5</t>
  </si>
  <si>
    <t>Кабанченко Анатолий</t>
  </si>
  <si>
    <t>1. Кабанченко Анатолий</t>
  </si>
  <si>
    <t>Ветераны 65 - 69 (10.11.1953)/68</t>
  </si>
  <si>
    <t>Азаров Юрий</t>
  </si>
  <si>
    <t>1. Азаров Юрий</t>
  </si>
  <si>
    <t>Ветераны 80+ (18.01.1942)/80</t>
  </si>
  <si>
    <t>80,50</t>
  </si>
  <si>
    <t>Гладков Илья</t>
  </si>
  <si>
    <t>1. Гладков Илья</t>
  </si>
  <si>
    <t>Юниоры 20 - 23 (25.02.2002)/20</t>
  </si>
  <si>
    <t>86,70</t>
  </si>
  <si>
    <t>Лопарёв Денис</t>
  </si>
  <si>
    <t>1. Лопарёв Денис</t>
  </si>
  <si>
    <t>Открытая (24.07.1986)/35</t>
  </si>
  <si>
    <t>2. Кадзилов Сослан</t>
  </si>
  <si>
    <t>Соболев Андрей</t>
  </si>
  <si>
    <t>1. Соболев Андрей</t>
  </si>
  <si>
    <t>Ветераны 40 - 44 (15.10.1981)/40</t>
  </si>
  <si>
    <t>87,40</t>
  </si>
  <si>
    <t xml:space="preserve">Партизанск/Приморский край </t>
  </si>
  <si>
    <t>Асадов Александр</t>
  </si>
  <si>
    <t>2. Асадов Александр</t>
  </si>
  <si>
    <t>Ветераны 40 - 44 (15.07.1981)/40</t>
  </si>
  <si>
    <t>88,30</t>
  </si>
  <si>
    <t>Скворцов Виталий</t>
  </si>
  <si>
    <t>1. Скворцов Виталий</t>
  </si>
  <si>
    <t>Ветераны 55 - 59 (07.03.1967)/55</t>
  </si>
  <si>
    <t>84,70</t>
  </si>
  <si>
    <t>Береженцев Артём</t>
  </si>
  <si>
    <t>1. Береженцев Артём</t>
  </si>
  <si>
    <t>Юноши 13 - 15 (20.11.2006)/15</t>
  </si>
  <si>
    <t>94,20</t>
  </si>
  <si>
    <t>Страчков Евгений</t>
  </si>
  <si>
    <t>1. Страчков Евгений</t>
  </si>
  <si>
    <t>Открытая (22.12.1985)/36</t>
  </si>
  <si>
    <t>96,30</t>
  </si>
  <si>
    <t>Нелюбин Иван</t>
  </si>
  <si>
    <t>2. Нелюбин Иван</t>
  </si>
  <si>
    <t>Открытая (11.04.1987)/34</t>
  </si>
  <si>
    <t>97,90</t>
  </si>
  <si>
    <t>-. Ракитов Сергей</t>
  </si>
  <si>
    <t>Открытая (20.02.1992)/30</t>
  </si>
  <si>
    <t>95,50</t>
  </si>
  <si>
    <t>Ступаченко Андрей</t>
  </si>
  <si>
    <t>1. Ступаченко Андрей</t>
  </si>
  <si>
    <t>Ветераны 40 - 44 (02.07.1978)/43</t>
  </si>
  <si>
    <t>98,90</t>
  </si>
  <si>
    <t xml:space="preserve">Большой Камень/Приморский край </t>
  </si>
  <si>
    <t>Путилин Юрий</t>
  </si>
  <si>
    <t>1. Путилин Юрий</t>
  </si>
  <si>
    <t>Ветераны 45 - 49 (17.12.1974)/47</t>
  </si>
  <si>
    <t>93,00</t>
  </si>
  <si>
    <t>Рогалёв Алексей</t>
  </si>
  <si>
    <t>1. Рогалёв Алексей</t>
  </si>
  <si>
    <t>Ветераны 40 - 44 (26.04.1977)/44</t>
  </si>
  <si>
    <t>100,50</t>
  </si>
  <si>
    <t>152,5</t>
  </si>
  <si>
    <t>Шваров Вячеслав</t>
  </si>
  <si>
    <t>1. Шваров Вячеслав</t>
  </si>
  <si>
    <t>Ветераны 45 - 49 (14.10.1973)/48</t>
  </si>
  <si>
    <t>105,90</t>
  </si>
  <si>
    <t>167,5</t>
  </si>
  <si>
    <t>Ерохин Алексей</t>
  </si>
  <si>
    <t>1. Ерохин Алексей</t>
  </si>
  <si>
    <t>Ветераны 50 - 54 (11.10.1971)/50</t>
  </si>
  <si>
    <t>Пинчук Захар</t>
  </si>
  <si>
    <t>1. Пинчук Захар</t>
  </si>
  <si>
    <t>Юноши 13 - 15 (23.06.2006)/15</t>
  </si>
  <si>
    <t>129,40</t>
  </si>
  <si>
    <t xml:space="preserve">Дети </t>
  </si>
  <si>
    <t xml:space="preserve">Дети 11-12 </t>
  </si>
  <si>
    <t>47,8740</t>
  </si>
  <si>
    <t>52</t>
  </si>
  <si>
    <t>61,1125</t>
  </si>
  <si>
    <t>55,4045</t>
  </si>
  <si>
    <t>49,6750</t>
  </si>
  <si>
    <t>69,9478</t>
  </si>
  <si>
    <t>61,5399</t>
  </si>
  <si>
    <t>79,9170</t>
  </si>
  <si>
    <t>71,3685</t>
  </si>
  <si>
    <t xml:space="preserve">Юноши 13 - 15 </t>
  </si>
  <si>
    <t>59,5140</t>
  </si>
  <si>
    <t>58,4820</t>
  </si>
  <si>
    <t>52,8592</t>
  </si>
  <si>
    <t>48,6265</t>
  </si>
  <si>
    <t>42,7800</t>
  </si>
  <si>
    <t>79,3807</t>
  </si>
  <si>
    <t>101,6120</t>
  </si>
  <si>
    <t>96,5745</t>
  </si>
  <si>
    <t>93,0435</t>
  </si>
  <si>
    <t>92,1040</t>
  </si>
  <si>
    <t>90,7265</t>
  </si>
  <si>
    <t>88,1055</t>
  </si>
  <si>
    <t>83,3280</t>
  </si>
  <si>
    <t>81,4840</t>
  </si>
  <si>
    <t>151,6166</t>
  </si>
  <si>
    <t>138,5099</t>
  </si>
  <si>
    <t xml:space="preserve">Ветераны 60 - 64 </t>
  </si>
  <si>
    <t>112,0063</t>
  </si>
  <si>
    <t>103,0302</t>
  </si>
  <si>
    <t>98,3400</t>
  </si>
  <si>
    <t>93,8738</t>
  </si>
  <si>
    <t xml:space="preserve">Ветераны 50 - 54 </t>
  </si>
  <si>
    <t>93,0315</t>
  </si>
  <si>
    <t xml:space="preserve">Ветераны 80+ </t>
  </si>
  <si>
    <t>92,0954</t>
  </si>
  <si>
    <t>86,9311</t>
  </si>
  <si>
    <t>82,1892</t>
  </si>
  <si>
    <t>81,5418</t>
  </si>
  <si>
    <t>80,5527</t>
  </si>
  <si>
    <t>78,4665</t>
  </si>
  <si>
    <t>65,8700</t>
  </si>
  <si>
    <t>Asian Cup
AWPA жим лежа в экипировке standart
Владивосток/Приморский край 9 апреля 2022 г.</t>
  </si>
  <si>
    <t>207,5</t>
  </si>
  <si>
    <t>217,5</t>
  </si>
  <si>
    <t>Килко Александр</t>
  </si>
  <si>
    <t>1. Килко Александр</t>
  </si>
  <si>
    <t>Открытая (06.06.1987)/34</t>
  </si>
  <si>
    <t>95,40</t>
  </si>
  <si>
    <t>267,5</t>
  </si>
  <si>
    <t>Паска Сергей</t>
  </si>
  <si>
    <t>1. Паска Сергей</t>
  </si>
  <si>
    <t>Открытая (05.06.1984)/37</t>
  </si>
  <si>
    <t>109,90</t>
  </si>
  <si>
    <t>Терещенко Владимир</t>
  </si>
  <si>
    <t>1. Терещенко Владимир</t>
  </si>
  <si>
    <t>Ветераны 50 - 54 (20.11.1970)/51</t>
  </si>
  <si>
    <t>109,60</t>
  </si>
  <si>
    <t>247,5</t>
  </si>
  <si>
    <t>80,8610</t>
  </si>
  <si>
    <t>79,2115</t>
  </si>
  <si>
    <t>131,8200</t>
  </si>
  <si>
    <t>150,2480</t>
  </si>
  <si>
    <t>133,1510</t>
  </si>
  <si>
    <t>139,7304</t>
  </si>
  <si>
    <t>139,0078</t>
  </si>
  <si>
    <t>Asian Cup
AWPA жим лежа в экипировке multi
Владивосток/Приморский край 9 апреля 2022 г.</t>
  </si>
  <si>
    <t>Asian Cup
AWPA пауэрлифтинг без экипировки
Владивосток/Приморский край 9 апреля 2022 г.</t>
  </si>
  <si>
    <t>ВЕСОВАЯ КАТЕГОРИЯ   44</t>
  </si>
  <si>
    <t>Ульшина Варвара</t>
  </si>
  <si>
    <t>1. Ульшина Варвара</t>
  </si>
  <si>
    <t>Дети 11-12 (17.07.2009)/12</t>
  </si>
  <si>
    <t>40,75</t>
  </si>
  <si>
    <t>27,5</t>
  </si>
  <si>
    <t>32,5</t>
  </si>
  <si>
    <t>37,5</t>
  </si>
  <si>
    <t>25,0</t>
  </si>
  <si>
    <t>30,0</t>
  </si>
  <si>
    <t>52,5</t>
  </si>
  <si>
    <t>Стрелец Елена</t>
  </si>
  <si>
    <t>1. Стрелец Елена</t>
  </si>
  <si>
    <t>Ветераны 40 - 44 (04.11.1979)/42</t>
  </si>
  <si>
    <t>51,70</t>
  </si>
  <si>
    <t>47,5</t>
  </si>
  <si>
    <t>-. Ялина Вероника</t>
  </si>
  <si>
    <t>Открытая (14.11.1996)/25</t>
  </si>
  <si>
    <t>56,00</t>
  </si>
  <si>
    <t>Воронина Елена</t>
  </si>
  <si>
    <t>1. Воронина Елена</t>
  </si>
  <si>
    <t>Ветераны 55 - 59 (22.12.1963)/58</t>
  </si>
  <si>
    <t>55,30</t>
  </si>
  <si>
    <t>35,0</t>
  </si>
  <si>
    <t>40,0</t>
  </si>
  <si>
    <t>Дегтярёва Анна</t>
  </si>
  <si>
    <t>1. Дегтярёва Анна</t>
  </si>
  <si>
    <t>Юниорки 20 - 23 (18.10.1998)/23</t>
  </si>
  <si>
    <t>59,70</t>
  </si>
  <si>
    <t>Епанчинцева Юлия</t>
  </si>
  <si>
    <t>1. Епанчинцева Юлия</t>
  </si>
  <si>
    <t>Девушки 16 - 17 (08.12.2004)/17</t>
  </si>
  <si>
    <t>66,50</t>
  </si>
  <si>
    <t>Дмитриева Тамара</t>
  </si>
  <si>
    <t>1. Дмитриева Тамара</t>
  </si>
  <si>
    <t>Открытая (11.02.1983)/39</t>
  </si>
  <si>
    <t>67,40</t>
  </si>
  <si>
    <t>57,5</t>
  </si>
  <si>
    <t>Кузнецова Наталья</t>
  </si>
  <si>
    <t>2. Кузнецова Наталья</t>
  </si>
  <si>
    <t>Открытая (27.02.1986)/36</t>
  </si>
  <si>
    <t>66,90</t>
  </si>
  <si>
    <t>42,5</t>
  </si>
  <si>
    <t>Киселева Виктория</t>
  </si>
  <si>
    <t>1. Киселева Виктория</t>
  </si>
  <si>
    <t>Девушки 16 - 17 (15.07.2005)/16</t>
  </si>
  <si>
    <t>78,40</t>
  </si>
  <si>
    <t>Зиновьев Сергей</t>
  </si>
  <si>
    <t>1. Зиновьев Сергей</t>
  </si>
  <si>
    <t>Открытая (25.07.1992)/29</t>
  </si>
  <si>
    <t>82,20</t>
  </si>
  <si>
    <t>137,5</t>
  </si>
  <si>
    <t>Choinkhor Altangerel</t>
  </si>
  <si>
    <t>1. Choinkhor Altangerel</t>
  </si>
  <si>
    <t>Открытая (11.02.1996)/26</t>
  </si>
  <si>
    <t>86,80</t>
  </si>
  <si>
    <t xml:space="preserve">Улан-Батор/ </t>
  </si>
  <si>
    <t>Назаров Артём</t>
  </si>
  <si>
    <t>1. Назаров Артём</t>
  </si>
  <si>
    <t>Юноши 13 - 15 (03.10.2007)/14</t>
  </si>
  <si>
    <t>192,5</t>
  </si>
  <si>
    <t>-. Андрианов Алексей</t>
  </si>
  <si>
    <t>Ветераны 45 - 49 (16.09.1976)/45</t>
  </si>
  <si>
    <t>93,10</t>
  </si>
  <si>
    <t>44</t>
  </si>
  <si>
    <t>140,2715</t>
  </si>
  <si>
    <t>150,2420</t>
  </si>
  <si>
    <t>187,5</t>
  </si>
  <si>
    <t>147,8812</t>
  </si>
  <si>
    <t xml:space="preserve">Юниорки </t>
  </si>
  <si>
    <t>192,2400</t>
  </si>
  <si>
    <t>208,5965</t>
  </si>
  <si>
    <t>176,5575</t>
  </si>
  <si>
    <t>177,5</t>
  </si>
  <si>
    <t>250,8835</t>
  </si>
  <si>
    <t>211,0994</t>
  </si>
  <si>
    <t>239,2740</t>
  </si>
  <si>
    <t>562,5</t>
  </si>
  <si>
    <t>349,2562</t>
  </si>
  <si>
    <t>515,0</t>
  </si>
  <si>
    <t>308,2790</t>
  </si>
  <si>
    <t>427,2419</t>
  </si>
  <si>
    <t>Asian Cup
AWPA пауэрлифтинг в экипировке standart
Владивосток/Приморский край 9 апреля 2022 г.</t>
  </si>
  <si>
    <t>Asian Cup
AWPA пауэрлифтинг в экипировке multi
Владивосток/Приморский край 9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</si>
</sst>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DD00-11E7-4DE2-925B-D6B591EF60C7}">
  <dimension ref="A1:Y5"/>
  <sheetViews>
    <sheetView workbookViewId="0">
      <selection sqref="A1:XFD1048576"/>
    </sheetView>
  </sheetViews>
  <sheetFormatPr defaultColWidth="9.109375" defaultRowHeight="13.2" x14ac:dyDescent="0.25"/>
  <cols>
    <col min="1" max="1" width="25.88671875" style="4" bestFit="1" customWidth="1"/>
    <col min="2" max="2" width="27.88671875" style="4" customWidth="1"/>
    <col min="3" max="3" width="16.44140625" style="4" customWidth="1"/>
    <col min="4" max="4" width="6.5546875" style="5" bestFit="1" customWidth="1"/>
    <col min="5" max="5" width="23.6640625" style="4" bestFit="1" customWidth="1"/>
    <col min="6" max="6" width="21.109375" style="4" bestFit="1" customWidth="1"/>
    <col min="7" max="7" width="6.5546875" style="3" bestFit="1" customWidth="1"/>
    <col min="8" max="9" width="2.109375" style="3" bestFit="1" customWidth="1"/>
    <col min="10" max="10" width="4.88671875" style="3" bestFit="1" customWidth="1"/>
    <col min="11" max="13" width="2.109375" style="3" bestFit="1" customWidth="1"/>
    <col min="14" max="14" width="4.88671875" style="3" bestFit="1" customWidth="1"/>
    <col min="15" max="17" width="2.109375" style="3" bestFit="1" customWidth="1"/>
    <col min="18" max="18" width="4.88671875" style="3" bestFit="1" customWidth="1"/>
    <col min="19" max="19" width="5" style="3" bestFit="1" customWidth="1"/>
    <col min="20" max="20" width="10.44140625" style="3" bestFit="1" customWidth="1"/>
    <col min="21" max="21" width="5" style="3" bestFit="1" customWidth="1"/>
    <col min="22" max="22" width="10.44140625" style="3" bestFit="1" customWidth="1"/>
    <col min="23" max="23" width="7.88671875" style="7" bestFit="1" customWidth="1"/>
    <col min="24" max="24" width="8.5546875" style="8" bestFit="1" customWidth="1"/>
    <col min="25" max="25" width="23" style="4" bestFit="1" customWidth="1"/>
    <col min="26" max="16384" width="9.109375" style="3"/>
  </cols>
  <sheetData>
    <row r="1" spans="1:25" s="2" customFormat="1" ht="1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</row>
    <row r="2" spans="1:25" s="2" customFormat="1" ht="66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 spans="1:25" s="1" customFormat="1" ht="12.75" customHeight="1" x14ac:dyDescent="0.25">
      <c r="A3" s="19" t="s">
        <v>0</v>
      </c>
      <c r="B3" s="21" t="s">
        <v>7</v>
      </c>
      <c r="C3" s="21" t="s">
        <v>11</v>
      </c>
      <c r="D3" s="10" t="s">
        <v>6</v>
      </c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0" t="s">
        <v>1</v>
      </c>
      <c r="X3" s="10" t="s">
        <v>3</v>
      </c>
      <c r="Y3" s="23" t="s">
        <v>2</v>
      </c>
    </row>
    <row r="4" spans="1:25" s="1" customFormat="1" ht="21" customHeight="1" thickBot="1" x14ac:dyDescent="0.3">
      <c r="A4" s="20"/>
      <c r="B4" s="22"/>
      <c r="C4" s="22"/>
      <c r="D4" s="11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11"/>
      <c r="X4" s="11"/>
      <c r="Y4" s="24"/>
    </row>
    <row r="5" spans="1:25" x14ac:dyDescent="0.25">
      <c r="G5" s="6"/>
    </row>
  </sheetData>
  <mergeCells count="15">
    <mergeCell ref="S3:T3"/>
    <mergeCell ref="U3:V3"/>
    <mergeCell ref="W3:W4"/>
    <mergeCell ref="X3:X4"/>
    <mergeCell ref="Y3:Y4"/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B8FD-0ED5-4336-A05E-2204E96F458A}">
  <dimension ref="A1:M87"/>
  <sheetViews>
    <sheetView workbookViewId="0">
      <selection sqref="A1:Y2"/>
    </sheetView>
  </sheetViews>
  <sheetFormatPr defaultColWidth="9.109375" defaultRowHeight="13.2" x14ac:dyDescent="0.25"/>
  <cols>
    <col min="1" max="1" width="24.8867187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286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14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287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31" t="s">
        <v>289</v>
      </c>
      <c r="B6" s="31" t="s">
        <v>290</v>
      </c>
      <c r="C6" s="31" t="s">
        <v>291</v>
      </c>
      <c r="D6" s="31" t="str">
        <f>"0,9319"</f>
        <v>0,9319</v>
      </c>
      <c r="E6" s="31" t="s">
        <v>20</v>
      </c>
      <c r="F6" s="31" t="s">
        <v>123</v>
      </c>
      <c r="G6" s="33" t="s">
        <v>104</v>
      </c>
      <c r="H6" s="33" t="s">
        <v>232</v>
      </c>
      <c r="I6" s="33" t="s">
        <v>180</v>
      </c>
      <c r="J6" s="32"/>
      <c r="K6" s="43" t="str">
        <f>"140,0"</f>
        <v>140,0</v>
      </c>
      <c r="L6" s="44" t="str">
        <f>"130,4660"</f>
        <v>130,4660</v>
      </c>
      <c r="M6" s="31" t="s">
        <v>25</v>
      </c>
    </row>
    <row r="7" spans="1:13" x14ac:dyDescent="0.25">
      <c r="A7" s="34" t="s">
        <v>293</v>
      </c>
      <c r="B7" s="34" t="s">
        <v>294</v>
      </c>
      <c r="C7" s="34" t="s">
        <v>295</v>
      </c>
      <c r="D7" s="34" t="str">
        <f>"0,9235"</f>
        <v>0,9235</v>
      </c>
      <c r="E7" s="34" t="s">
        <v>20</v>
      </c>
      <c r="F7" s="34" t="s">
        <v>21</v>
      </c>
      <c r="G7" s="35" t="s">
        <v>296</v>
      </c>
      <c r="H7" s="36" t="s">
        <v>221</v>
      </c>
      <c r="I7" s="35"/>
      <c r="J7" s="35"/>
      <c r="K7" s="45" t="str">
        <f>"105,0"</f>
        <v>105,0</v>
      </c>
      <c r="L7" s="46" t="str">
        <f>"96,9675"</f>
        <v>96,9675</v>
      </c>
      <c r="M7" s="34" t="s">
        <v>25</v>
      </c>
    </row>
    <row r="9" spans="1:13" ht="15.6" x14ac:dyDescent="0.3">
      <c r="A9" s="30" t="s">
        <v>15</v>
      </c>
      <c r="B9" s="42"/>
      <c r="C9" s="42"/>
      <c r="D9" s="42"/>
      <c r="E9" s="42"/>
      <c r="F9" s="42"/>
      <c r="G9" s="42"/>
      <c r="H9" s="42"/>
      <c r="I9" s="42"/>
      <c r="J9" s="42"/>
    </row>
    <row r="10" spans="1:13" x14ac:dyDescent="0.25">
      <c r="A10" s="27" t="s">
        <v>297</v>
      </c>
      <c r="B10" s="27" t="s">
        <v>298</v>
      </c>
      <c r="C10" s="27" t="s">
        <v>299</v>
      </c>
      <c r="D10" s="27" t="str">
        <f>"0,7928"</f>
        <v>0,7928</v>
      </c>
      <c r="E10" s="27" t="s">
        <v>20</v>
      </c>
      <c r="F10" s="27" t="s">
        <v>123</v>
      </c>
      <c r="G10" s="28" t="s">
        <v>181</v>
      </c>
      <c r="H10" s="28" t="s">
        <v>181</v>
      </c>
      <c r="I10" s="28" t="s">
        <v>181</v>
      </c>
      <c r="J10" s="28"/>
      <c r="K10" s="40" t="str">
        <f>"0.00"</f>
        <v>0.00</v>
      </c>
      <c r="L10" s="41" t="str">
        <f>"0,0000"</f>
        <v>0,0000</v>
      </c>
      <c r="M10" s="27" t="s">
        <v>25</v>
      </c>
    </row>
    <row r="12" spans="1:13" ht="15.6" x14ac:dyDescent="0.3">
      <c r="A12" s="30" t="s">
        <v>89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3" x14ac:dyDescent="0.25">
      <c r="A13" s="31" t="s">
        <v>301</v>
      </c>
      <c r="B13" s="31" t="s">
        <v>302</v>
      </c>
      <c r="C13" s="31" t="s">
        <v>303</v>
      </c>
      <c r="D13" s="31" t="str">
        <f>"0,7272"</f>
        <v>0,7272</v>
      </c>
      <c r="E13" s="31" t="s">
        <v>20</v>
      </c>
      <c r="F13" s="31" t="s">
        <v>21</v>
      </c>
      <c r="G13" s="33" t="s">
        <v>184</v>
      </c>
      <c r="H13" s="33" t="s">
        <v>192</v>
      </c>
      <c r="I13" s="33" t="s">
        <v>193</v>
      </c>
      <c r="J13" s="32"/>
      <c r="K13" s="43" t="str">
        <f>"107,5"</f>
        <v>107,5</v>
      </c>
      <c r="L13" s="44" t="str">
        <f>"78,1740"</f>
        <v>78,1740</v>
      </c>
      <c r="M13" s="31" t="s">
        <v>25</v>
      </c>
    </row>
    <row r="14" spans="1:13" x14ac:dyDescent="0.25">
      <c r="A14" s="34" t="s">
        <v>305</v>
      </c>
      <c r="B14" s="34" t="s">
        <v>306</v>
      </c>
      <c r="C14" s="34" t="s">
        <v>307</v>
      </c>
      <c r="D14" s="34" t="str">
        <f>"0,7351"</f>
        <v>0,7351</v>
      </c>
      <c r="E14" s="34" t="s">
        <v>20</v>
      </c>
      <c r="F14" s="34" t="s">
        <v>123</v>
      </c>
      <c r="G14" s="36" t="s">
        <v>31</v>
      </c>
      <c r="H14" s="35" t="s">
        <v>24</v>
      </c>
      <c r="I14" s="35"/>
      <c r="J14" s="35"/>
      <c r="K14" s="45" t="str">
        <f>"160,0"</f>
        <v>160,0</v>
      </c>
      <c r="L14" s="46" t="str">
        <f>"117,6160"</f>
        <v>117,6160</v>
      </c>
      <c r="M14" s="34" t="s">
        <v>25</v>
      </c>
    </row>
    <row r="16" spans="1:13" ht="15.6" x14ac:dyDescent="0.3">
      <c r="A16" s="30" t="s">
        <v>89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3" x14ac:dyDescent="0.25">
      <c r="A17" s="31" t="s">
        <v>309</v>
      </c>
      <c r="B17" s="31" t="s">
        <v>310</v>
      </c>
      <c r="C17" s="31" t="s">
        <v>93</v>
      </c>
      <c r="D17" s="31" t="str">
        <f>"0,6645"</f>
        <v>0,6645</v>
      </c>
      <c r="E17" s="31" t="s">
        <v>20</v>
      </c>
      <c r="F17" s="31" t="s">
        <v>21</v>
      </c>
      <c r="G17" s="33" t="s">
        <v>47</v>
      </c>
      <c r="H17" s="33" t="s">
        <v>41</v>
      </c>
      <c r="I17" s="33" t="s">
        <v>117</v>
      </c>
      <c r="J17" s="32"/>
      <c r="K17" s="43" t="str">
        <f>"235,0"</f>
        <v>235,0</v>
      </c>
      <c r="L17" s="44" t="str">
        <f>"156,1575"</f>
        <v>156,1575</v>
      </c>
      <c r="M17" s="31" t="s">
        <v>25</v>
      </c>
    </row>
    <row r="18" spans="1:13" x14ac:dyDescent="0.25">
      <c r="A18" s="34" t="s">
        <v>312</v>
      </c>
      <c r="B18" s="34" t="s">
        <v>313</v>
      </c>
      <c r="C18" s="34" t="s">
        <v>314</v>
      </c>
      <c r="D18" s="34" t="str">
        <f>"0,6955"</f>
        <v>0,6955</v>
      </c>
      <c r="E18" s="34" t="s">
        <v>20</v>
      </c>
      <c r="F18" s="34" t="s">
        <v>21</v>
      </c>
      <c r="G18" s="35" t="s">
        <v>32</v>
      </c>
      <c r="H18" s="36" t="s">
        <v>32</v>
      </c>
      <c r="I18" s="35" t="s">
        <v>315</v>
      </c>
      <c r="J18" s="35"/>
      <c r="K18" s="45" t="str">
        <f>"180,0"</f>
        <v>180,0</v>
      </c>
      <c r="L18" s="46" t="str">
        <f>"125,1900"</f>
        <v>125,1900</v>
      </c>
      <c r="M18" s="34" t="s">
        <v>25</v>
      </c>
    </row>
    <row r="20" spans="1:13" ht="15.6" x14ac:dyDescent="0.3">
      <c r="A20" s="30" t="s">
        <v>26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3" x14ac:dyDescent="0.25">
      <c r="A21" s="31" t="s">
        <v>316</v>
      </c>
      <c r="B21" s="31" t="s">
        <v>317</v>
      </c>
      <c r="C21" s="31" t="s">
        <v>318</v>
      </c>
      <c r="D21" s="31" t="str">
        <f>"0,6224"</f>
        <v>0,6224</v>
      </c>
      <c r="E21" s="31" t="s">
        <v>20</v>
      </c>
      <c r="F21" s="31" t="s">
        <v>99</v>
      </c>
      <c r="G21" s="32" t="s">
        <v>39</v>
      </c>
      <c r="H21" s="32" t="s">
        <v>39</v>
      </c>
      <c r="I21" s="32"/>
      <c r="J21" s="32"/>
      <c r="K21" s="43" t="str">
        <f>"0.00"</f>
        <v>0.00</v>
      </c>
      <c r="L21" s="44" t="str">
        <f>"0,0000"</f>
        <v>0,0000</v>
      </c>
      <c r="M21" s="31" t="s">
        <v>25</v>
      </c>
    </row>
    <row r="22" spans="1:13" x14ac:dyDescent="0.25">
      <c r="A22" s="53" t="s">
        <v>320</v>
      </c>
      <c r="B22" s="53" t="s">
        <v>321</v>
      </c>
      <c r="C22" s="53" t="s">
        <v>322</v>
      </c>
      <c r="D22" s="53" t="str">
        <f>"0,6388"</f>
        <v>0,6388</v>
      </c>
      <c r="E22" s="53" t="s">
        <v>20</v>
      </c>
      <c r="F22" s="53" t="s">
        <v>21</v>
      </c>
      <c r="G22" s="55" t="s">
        <v>111</v>
      </c>
      <c r="H22" s="54" t="s">
        <v>39</v>
      </c>
      <c r="I22" s="54" t="s">
        <v>39</v>
      </c>
      <c r="J22" s="54"/>
      <c r="K22" s="56" t="str">
        <f>"195,0"</f>
        <v>195,0</v>
      </c>
      <c r="L22" s="57" t="str">
        <f>"124,5660"</f>
        <v>124,5660</v>
      </c>
      <c r="M22" s="53" t="s">
        <v>25</v>
      </c>
    </row>
    <row r="23" spans="1:13" x14ac:dyDescent="0.25">
      <c r="A23" s="53" t="s">
        <v>324</v>
      </c>
      <c r="B23" s="53" t="s">
        <v>325</v>
      </c>
      <c r="C23" s="53" t="s">
        <v>318</v>
      </c>
      <c r="D23" s="53" t="str">
        <f>"0,6224"</f>
        <v>0,6224</v>
      </c>
      <c r="E23" s="53" t="s">
        <v>20</v>
      </c>
      <c r="F23" s="53" t="s">
        <v>21</v>
      </c>
      <c r="G23" s="55" t="s">
        <v>110</v>
      </c>
      <c r="H23" s="55" t="s">
        <v>111</v>
      </c>
      <c r="I23" s="54" t="s">
        <v>125</v>
      </c>
      <c r="J23" s="54"/>
      <c r="K23" s="56" t="str">
        <f>"195,0"</f>
        <v>195,0</v>
      </c>
      <c r="L23" s="57" t="str">
        <f>"122,4603"</f>
        <v>122,4603</v>
      </c>
      <c r="M23" s="53" t="s">
        <v>25</v>
      </c>
    </row>
    <row r="24" spans="1:13" x14ac:dyDescent="0.25">
      <c r="A24" s="34" t="s">
        <v>327</v>
      </c>
      <c r="B24" s="34" t="s">
        <v>328</v>
      </c>
      <c r="C24" s="34" t="s">
        <v>329</v>
      </c>
      <c r="D24" s="34" t="str">
        <f>"0,6577"</f>
        <v>0,6577</v>
      </c>
      <c r="E24" s="34" t="s">
        <v>20</v>
      </c>
      <c r="F24" s="34" t="s">
        <v>21</v>
      </c>
      <c r="G24" s="36" t="s">
        <v>103</v>
      </c>
      <c r="H24" s="36" t="s">
        <v>22</v>
      </c>
      <c r="I24" s="35"/>
      <c r="J24" s="35"/>
      <c r="K24" s="45" t="str">
        <f>"130,0"</f>
        <v>130,0</v>
      </c>
      <c r="L24" s="46" t="str">
        <f>"173,5670"</f>
        <v>173,5670</v>
      </c>
      <c r="M24" s="34" t="s">
        <v>25</v>
      </c>
    </row>
    <row r="26" spans="1:13" ht="15.6" x14ac:dyDescent="0.3">
      <c r="A26" s="30" t="s">
        <v>42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3" x14ac:dyDescent="0.25">
      <c r="A27" s="31" t="s">
        <v>331</v>
      </c>
      <c r="B27" s="31" t="s">
        <v>332</v>
      </c>
      <c r="C27" s="31" t="s">
        <v>333</v>
      </c>
      <c r="D27" s="31" t="str">
        <f>"0,6142"</f>
        <v>0,6142</v>
      </c>
      <c r="E27" s="31" t="s">
        <v>20</v>
      </c>
      <c r="F27" s="31" t="s">
        <v>21</v>
      </c>
      <c r="G27" s="33" t="s">
        <v>110</v>
      </c>
      <c r="H27" s="33" t="s">
        <v>111</v>
      </c>
      <c r="I27" s="32" t="s">
        <v>315</v>
      </c>
      <c r="J27" s="32"/>
      <c r="K27" s="43" t="str">
        <f>"195,0"</f>
        <v>195,0</v>
      </c>
      <c r="L27" s="44" t="str">
        <f>"119,7690"</f>
        <v>119,7690</v>
      </c>
      <c r="M27" s="31" t="s">
        <v>25</v>
      </c>
    </row>
    <row r="28" spans="1:13" x14ac:dyDescent="0.25">
      <c r="A28" s="53" t="s">
        <v>335</v>
      </c>
      <c r="B28" s="53" t="s">
        <v>336</v>
      </c>
      <c r="C28" s="53" t="s">
        <v>337</v>
      </c>
      <c r="D28" s="53" t="str">
        <f>"0,5853"</f>
        <v>0,5853</v>
      </c>
      <c r="E28" s="53" t="s">
        <v>20</v>
      </c>
      <c r="F28" s="53" t="s">
        <v>21</v>
      </c>
      <c r="G28" s="55" t="s">
        <v>124</v>
      </c>
      <c r="H28" s="54" t="s">
        <v>338</v>
      </c>
      <c r="I28" s="55" t="s">
        <v>338</v>
      </c>
      <c r="J28" s="54"/>
      <c r="K28" s="56" t="str">
        <f>"222,5"</f>
        <v>222,5</v>
      </c>
      <c r="L28" s="57" t="str">
        <f>"130,2293"</f>
        <v>130,2293</v>
      </c>
      <c r="M28" s="53" t="s">
        <v>25</v>
      </c>
    </row>
    <row r="29" spans="1:13" x14ac:dyDescent="0.25">
      <c r="A29" s="53" t="s">
        <v>340</v>
      </c>
      <c r="B29" s="53" t="s">
        <v>341</v>
      </c>
      <c r="C29" s="53" t="s">
        <v>342</v>
      </c>
      <c r="D29" s="53" t="str">
        <f>"0,5885"</f>
        <v>0,5885</v>
      </c>
      <c r="E29" s="53" t="s">
        <v>20</v>
      </c>
      <c r="F29" s="53" t="s">
        <v>21</v>
      </c>
      <c r="G29" s="55" t="s">
        <v>39</v>
      </c>
      <c r="H29" s="54" t="s">
        <v>338</v>
      </c>
      <c r="I29" s="54" t="s">
        <v>338</v>
      </c>
      <c r="J29" s="54"/>
      <c r="K29" s="56" t="str">
        <f>"215,0"</f>
        <v>215,0</v>
      </c>
      <c r="L29" s="57" t="str">
        <f>"126,5275"</f>
        <v>126,5275</v>
      </c>
      <c r="M29" s="53" t="s">
        <v>25</v>
      </c>
    </row>
    <row r="30" spans="1:13" x14ac:dyDescent="0.25">
      <c r="A30" s="34" t="s">
        <v>344</v>
      </c>
      <c r="B30" s="34" t="s">
        <v>345</v>
      </c>
      <c r="C30" s="34" t="s">
        <v>346</v>
      </c>
      <c r="D30" s="34" t="str">
        <f>"0,5952"</f>
        <v>0,5952</v>
      </c>
      <c r="E30" s="34" t="s">
        <v>20</v>
      </c>
      <c r="F30" s="34" t="s">
        <v>21</v>
      </c>
      <c r="G30" s="36" t="s">
        <v>347</v>
      </c>
      <c r="H30" s="35" t="s">
        <v>39</v>
      </c>
      <c r="I30" s="35" t="s">
        <v>39</v>
      </c>
      <c r="J30" s="35"/>
      <c r="K30" s="45" t="str">
        <f>"210,0"</f>
        <v>210,0</v>
      </c>
      <c r="L30" s="46" t="str">
        <f>"124,9920"</f>
        <v>124,9920</v>
      </c>
      <c r="M30" s="34" t="s">
        <v>25</v>
      </c>
    </row>
    <row r="32" spans="1:13" ht="15.6" x14ac:dyDescent="0.3">
      <c r="A32" s="30" t="s">
        <v>50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3" x14ac:dyDescent="0.25">
      <c r="A33" s="31" t="s">
        <v>349</v>
      </c>
      <c r="B33" s="31" t="s">
        <v>350</v>
      </c>
      <c r="C33" s="31" t="s">
        <v>351</v>
      </c>
      <c r="D33" s="31" t="str">
        <f>"0,5669"</f>
        <v>0,5669</v>
      </c>
      <c r="E33" s="31" t="s">
        <v>20</v>
      </c>
      <c r="F33" s="31" t="s">
        <v>21</v>
      </c>
      <c r="G33" s="33" t="s">
        <v>33</v>
      </c>
      <c r="H33" s="33" t="s">
        <v>315</v>
      </c>
      <c r="I33" s="33" t="s">
        <v>39</v>
      </c>
      <c r="J33" s="32"/>
      <c r="K33" s="43" t="str">
        <f>"215,0"</f>
        <v>215,0</v>
      </c>
      <c r="L33" s="44" t="str">
        <f>"121,8835"</f>
        <v>121,8835</v>
      </c>
      <c r="M33" s="31" t="s">
        <v>25</v>
      </c>
    </row>
    <row r="34" spans="1:13" x14ac:dyDescent="0.25">
      <c r="A34" s="34" t="s">
        <v>353</v>
      </c>
      <c r="B34" s="34" t="s">
        <v>354</v>
      </c>
      <c r="C34" s="34" t="s">
        <v>355</v>
      </c>
      <c r="D34" s="34" t="str">
        <f>"0,5586"</f>
        <v>0,5586</v>
      </c>
      <c r="E34" s="34" t="s">
        <v>20</v>
      </c>
      <c r="F34" s="34" t="s">
        <v>356</v>
      </c>
      <c r="G34" s="36" t="s">
        <v>135</v>
      </c>
      <c r="H34" s="36" t="s">
        <v>24</v>
      </c>
      <c r="I34" s="35"/>
      <c r="J34" s="35"/>
      <c r="K34" s="45" t="str">
        <f>"170,0"</f>
        <v>170,0</v>
      </c>
      <c r="L34" s="46" t="str">
        <f>"197,5210"</f>
        <v>197,5210</v>
      </c>
      <c r="M34" s="34" t="s">
        <v>25</v>
      </c>
    </row>
    <row r="36" spans="1:13" ht="15.6" x14ac:dyDescent="0.3">
      <c r="A36" s="30" t="s">
        <v>357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3" x14ac:dyDescent="0.25">
      <c r="A37" s="27" t="s">
        <v>359</v>
      </c>
      <c r="B37" s="27" t="s">
        <v>360</v>
      </c>
      <c r="C37" s="27" t="s">
        <v>361</v>
      </c>
      <c r="D37" s="27" t="str">
        <f>"0,5348"</f>
        <v>0,5348</v>
      </c>
      <c r="E37" s="27" t="s">
        <v>20</v>
      </c>
      <c r="F37" s="27" t="s">
        <v>99</v>
      </c>
      <c r="G37" s="29" t="s">
        <v>347</v>
      </c>
      <c r="H37" s="28" t="s">
        <v>39</v>
      </c>
      <c r="I37" s="29" t="s">
        <v>47</v>
      </c>
      <c r="J37" s="28"/>
      <c r="K37" s="40" t="str">
        <f>"220,0"</f>
        <v>220,0</v>
      </c>
      <c r="L37" s="41" t="str">
        <f>"117,6560"</f>
        <v>117,6560</v>
      </c>
      <c r="M37" s="27" t="s">
        <v>25</v>
      </c>
    </row>
    <row r="39" spans="1:13" ht="15.6" x14ac:dyDescent="0.3">
      <c r="A39" s="30" t="s">
        <v>362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3" x14ac:dyDescent="0.25">
      <c r="A40" s="27" t="s">
        <v>364</v>
      </c>
      <c r="B40" s="27" t="s">
        <v>365</v>
      </c>
      <c r="C40" s="27" t="s">
        <v>366</v>
      </c>
      <c r="D40" s="27" t="str">
        <f>"0,5070"</f>
        <v>0,5070</v>
      </c>
      <c r="E40" s="27" t="s">
        <v>20</v>
      </c>
      <c r="F40" s="27" t="s">
        <v>21</v>
      </c>
      <c r="G40" s="29" t="s">
        <v>338</v>
      </c>
      <c r="H40" s="29" t="s">
        <v>367</v>
      </c>
      <c r="I40" s="29" t="s">
        <v>55</v>
      </c>
      <c r="J40" s="28"/>
      <c r="K40" s="40" t="str">
        <f>"240,0"</f>
        <v>240,0</v>
      </c>
      <c r="L40" s="41" t="str">
        <f>"121,6800"</f>
        <v>121,6800</v>
      </c>
      <c r="M40" s="27" t="s">
        <v>25</v>
      </c>
    </row>
    <row r="42" spans="1:13" ht="15" x14ac:dyDescent="0.25">
      <c r="E42" s="37" t="s">
        <v>57</v>
      </c>
    </row>
    <row r="43" spans="1:13" ht="15" x14ac:dyDescent="0.25">
      <c r="E43" s="37" t="s">
        <v>58</v>
      </c>
    </row>
    <row r="44" spans="1:13" ht="15" x14ac:dyDescent="0.25">
      <c r="E44" s="37" t="s">
        <v>59</v>
      </c>
    </row>
    <row r="45" spans="1:13" ht="15" x14ac:dyDescent="0.25">
      <c r="E45" s="37" t="s">
        <v>60</v>
      </c>
    </row>
    <row r="46" spans="1:13" ht="15" x14ac:dyDescent="0.25">
      <c r="E46" s="37" t="s">
        <v>60</v>
      </c>
    </row>
    <row r="47" spans="1:13" ht="15" x14ac:dyDescent="0.25">
      <c r="E47" s="37" t="s">
        <v>61</v>
      </c>
    </row>
    <row r="48" spans="1:13" ht="15" x14ac:dyDescent="0.25">
      <c r="E48" s="37"/>
    </row>
    <row r="50" spans="1:5" ht="17.399999999999999" x14ac:dyDescent="0.3">
      <c r="A50" s="47" t="s">
        <v>62</v>
      </c>
      <c r="B50" s="47"/>
    </row>
    <row r="51" spans="1:5" ht="15.6" x14ac:dyDescent="0.3">
      <c r="A51" s="48" t="s">
        <v>248</v>
      </c>
      <c r="B51" s="48"/>
    </row>
    <row r="52" spans="1:5" ht="14.4" x14ac:dyDescent="0.3">
      <c r="A52" s="50"/>
      <c r="B52" s="51" t="s">
        <v>368</v>
      </c>
    </row>
    <row r="53" spans="1:5" ht="13.8" x14ac:dyDescent="0.25">
      <c r="A53" s="52" t="s">
        <v>65</v>
      </c>
      <c r="B53" s="52" t="s">
        <v>66</v>
      </c>
      <c r="C53" s="52" t="s">
        <v>67</v>
      </c>
      <c r="D53" s="52" t="s">
        <v>69</v>
      </c>
      <c r="E53" s="52" t="s">
        <v>70</v>
      </c>
    </row>
    <row r="54" spans="1:5" x14ac:dyDescent="0.25">
      <c r="A54" s="49" t="s">
        <v>300</v>
      </c>
      <c r="B54" s="4" t="s">
        <v>252</v>
      </c>
      <c r="C54" s="4" t="s">
        <v>150</v>
      </c>
      <c r="D54" s="4" t="s">
        <v>193</v>
      </c>
      <c r="E54" s="39" t="s">
        <v>369</v>
      </c>
    </row>
    <row r="56" spans="1:5" ht="14.4" x14ac:dyDescent="0.3">
      <c r="A56" s="50"/>
      <c r="B56" s="51" t="s">
        <v>76</v>
      </c>
    </row>
    <row r="57" spans="1:5" ht="13.8" x14ac:dyDescent="0.25">
      <c r="A57" s="52" t="s">
        <v>65</v>
      </c>
      <c r="B57" s="52" t="s">
        <v>66</v>
      </c>
      <c r="C57" s="52" t="s">
        <v>67</v>
      </c>
      <c r="D57" s="52" t="s">
        <v>69</v>
      </c>
      <c r="E57" s="52" t="s">
        <v>70</v>
      </c>
    </row>
    <row r="58" spans="1:5" x14ac:dyDescent="0.25">
      <c r="A58" s="49" t="s">
        <v>288</v>
      </c>
      <c r="B58" s="4" t="s">
        <v>76</v>
      </c>
      <c r="C58" s="4" t="s">
        <v>370</v>
      </c>
      <c r="D58" s="4" t="s">
        <v>180</v>
      </c>
      <c r="E58" s="39" t="s">
        <v>371</v>
      </c>
    </row>
    <row r="59" spans="1:5" x14ac:dyDescent="0.25">
      <c r="A59" s="49" t="s">
        <v>304</v>
      </c>
      <c r="B59" s="4" t="s">
        <v>76</v>
      </c>
      <c r="C59" s="4" t="s">
        <v>150</v>
      </c>
      <c r="D59" s="4" t="s">
        <v>31</v>
      </c>
      <c r="E59" s="39" t="s">
        <v>372</v>
      </c>
    </row>
    <row r="60" spans="1:5" x14ac:dyDescent="0.25">
      <c r="A60" s="49" t="s">
        <v>292</v>
      </c>
      <c r="B60" s="4" t="s">
        <v>76</v>
      </c>
      <c r="C60" s="4" t="s">
        <v>370</v>
      </c>
      <c r="D60" s="4" t="s">
        <v>221</v>
      </c>
      <c r="E60" s="39" t="s">
        <v>373</v>
      </c>
    </row>
    <row r="63" spans="1:5" ht="15.6" x14ac:dyDescent="0.3">
      <c r="A63" s="48" t="s">
        <v>63</v>
      </c>
      <c r="B63" s="48"/>
    </row>
    <row r="64" spans="1:5" ht="14.4" x14ac:dyDescent="0.3">
      <c r="A64" s="50"/>
      <c r="B64" s="51" t="s">
        <v>64</v>
      </c>
    </row>
    <row r="65" spans="1:5" ht="13.8" x14ac:dyDescent="0.25">
      <c r="A65" s="52" t="s">
        <v>65</v>
      </c>
      <c r="B65" s="52" t="s">
        <v>66</v>
      </c>
      <c r="C65" s="52" t="s">
        <v>67</v>
      </c>
      <c r="D65" s="52" t="s">
        <v>69</v>
      </c>
      <c r="E65" s="52" t="s">
        <v>70</v>
      </c>
    </row>
    <row r="66" spans="1:5" x14ac:dyDescent="0.25">
      <c r="A66" s="49" t="s">
        <v>330</v>
      </c>
      <c r="B66" s="4" t="s">
        <v>71</v>
      </c>
      <c r="C66" s="4" t="s">
        <v>72</v>
      </c>
      <c r="D66" s="4" t="s">
        <v>111</v>
      </c>
      <c r="E66" s="39" t="s">
        <v>374</v>
      </c>
    </row>
    <row r="68" spans="1:5" ht="14.4" x14ac:dyDescent="0.3">
      <c r="A68" s="50"/>
      <c r="B68" s="51" t="s">
        <v>261</v>
      </c>
    </row>
    <row r="69" spans="1:5" ht="13.8" x14ac:dyDescent="0.25">
      <c r="A69" s="52" t="s">
        <v>65</v>
      </c>
      <c r="B69" s="52" t="s">
        <v>66</v>
      </c>
      <c r="C69" s="52" t="s">
        <v>67</v>
      </c>
      <c r="D69" s="52" t="s">
        <v>69</v>
      </c>
      <c r="E69" s="52" t="s">
        <v>70</v>
      </c>
    </row>
    <row r="70" spans="1:5" x14ac:dyDescent="0.25">
      <c r="A70" s="49" t="s">
        <v>319</v>
      </c>
      <c r="B70" s="4" t="s">
        <v>262</v>
      </c>
      <c r="C70" s="4" t="s">
        <v>79</v>
      </c>
      <c r="D70" s="4" t="s">
        <v>111</v>
      </c>
      <c r="E70" s="39" t="s">
        <v>375</v>
      </c>
    </row>
    <row r="71" spans="1:5" x14ac:dyDescent="0.25">
      <c r="A71" s="49" t="s">
        <v>363</v>
      </c>
      <c r="B71" s="4" t="s">
        <v>262</v>
      </c>
      <c r="C71" s="4" t="s">
        <v>376</v>
      </c>
      <c r="D71" s="4" t="s">
        <v>55</v>
      </c>
      <c r="E71" s="39" t="s">
        <v>377</v>
      </c>
    </row>
    <row r="73" spans="1:5" ht="14.4" x14ac:dyDescent="0.3">
      <c r="A73" s="50"/>
      <c r="B73" s="51" t="s">
        <v>76</v>
      </c>
    </row>
    <row r="74" spans="1:5" ht="13.8" x14ac:dyDescent="0.25">
      <c r="A74" s="52" t="s">
        <v>65</v>
      </c>
      <c r="B74" s="52" t="s">
        <v>66</v>
      </c>
      <c r="C74" s="52" t="s">
        <v>67</v>
      </c>
      <c r="D74" s="52" t="s">
        <v>69</v>
      </c>
      <c r="E74" s="52" t="s">
        <v>70</v>
      </c>
    </row>
    <row r="75" spans="1:5" x14ac:dyDescent="0.25">
      <c r="A75" s="49" t="s">
        <v>308</v>
      </c>
      <c r="B75" s="4" t="s">
        <v>76</v>
      </c>
      <c r="C75" s="4" t="s">
        <v>150</v>
      </c>
      <c r="D75" s="4" t="s">
        <v>117</v>
      </c>
      <c r="E75" s="39" t="s">
        <v>378</v>
      </c>
    </row>
    <row r="76" spans="1:5" x14ac:dyDescent="0.25">
      <c r="A76" s="49" t="s">
        <v>334</v>
      </c>
      <c r="B76" s="4" t="s">
        <v>76</v>
      </c>
      <c r="C76" s="4" t="s">
        <v>72</v>
      </c>
      <c r="D76" s="4" t="s">
        <v>338</v>
      </c>
      <c r="E76" s="39" t="s">
        <v>379</v>
      </c>
    </row>
    <row r="77" spans="1:5" x14ac:dyDescent="0.25">
      <c r="A77" s="49" t="s">
        <v>339</v>
      </c>
      <c r="B77" s="4" t="s">
        <v>76</v>
      </c>
      <c r="C77" s="4" t="s">
        <v>72</v>
      </c>
      <c r="D77" s="4" t="s">
        <v>39</v>
      </c>
      <c r="E77" s="39" t="s">
        <v>380</v>
      </c>
    </row>
    <row r="78" spans="1:5" x14ac:dyDescent="0.25">
      <c r="A78" s="49" t="s">
        <v>311</v>
      </c>
      <c r="B78" s="4" t="s">
        <v>76</v>
      </c>
      <c r="C78" s="4" t="s">
        <v>150</v>
      </c>
      <c r="D78" s="4" t="s">
        <v>32</v>
      </c>
      <c r="E78" s="39" t="s">
        <v>381</v>
      </c>
    </row>
    <row r="79" spans="1:5" x14ac:dyDescent="0.25">
      <c r="A79" s="49" t="s">
        <v>343</v>
      </c>
      <c r="B79" s="4" t="s">
        <v>76</v>
      </c>
      <c r="C79" s="4" t="s">
        <v>72</v>
      </c>
      <c r="D79" s="4" t="s">
        <v>347</v>
      </c>
      <c r="E79" s="39" t="s">
        <v>382</v>
      </c>
    </row>
    <row r="80" spans="1:5" x14ac:dyDescent="0.25">
      <c r="A80" s="49" t="s">
        <v>348</v>
      </c>
      <c r="B80" s="4" t="s">
        <v>76</v>
      </c>
      <c r="C80" s="4" t="s">
        <v>77</v>
      </c>
      <c r="D80" s="4" t="s">
        <v>39</v>
      </c>
      <c r="E80" s="39" t="s">
        <v>383</v>
      </c>
    </row>
    <row r="81" spans="1:5" x14ac:dyDescent="0.25">
      <c r="A81" s="49" t="s">
        <v>358</v>
      </c>
      <c r="B81" s="4" t="s">
        <v>76</v>
      </c>
      <c r="C81" s="4" t="s">
        <v>384</v>
      </c>
      <c r="D81" s="4" t="s">
        <v>47</v>
      </c>
      <c r="E81" s="39" t="s">
        <v>385</v>
      </c>
    </row>
    <row r="83" spans="1:5" ht="14.4" x14ac:dyDescent="0.3">
      <c r="A83" s="50"/>
      <c r="B83" s="51" t="s">
        <v>81</v>
      </c>
    </row>
    <row r="84" spans="1:5" ht="13.8" x14ac:dyDescent="0.25">
      <c r="A84" s="52" t="s">
        <v>65</v>
      </c>
      <c r="B84" s="52" t="s">
        <v>66</v>
      </c>
      <c r="C84" s="52" t="s">
        <v>67</v>
      </c>
      <c r="D84" s="52" t="s">
        <v>69</v>
      </c>
      <c r="E84" s="52" t="s">
        <v>70</v>
      </c>
    </row>
    <row r="85" spans="1:5" x14ac:dyDescent="0.25">
      <c r="A85" s="49" t="s">
        <v>352</v>
      </c>
      <c r="B85" s="4" t="s">
        <v>386</v>
      </c>
      <c r="C85" s="4" t="s">
        <v>77</v>
      </c>
      <c r="D85" s="4" t="s">
        <v>24</v>
      </c>
      <c r="E85" s="39" t="s">
        <v>387</v>
      </c>
    </row>
    <row r="86" spans="1:5" x14ac:dyDescent="0.25">
      <c r="A86" s="49" t="s">
        <v>326</v>
      </c>
      <c r="B86" s="4" t="s">
        <v>388</v>
      </c>
      <c r="C86" s="4" t="s">
        <v>79</v>
      </c>
      <c r="D86" s="4" t="s">
        <v>22</v>
      </c>
      <c r="E86" s="39" t="s">
        <v>389</v>
      </c>
    </row>
    <row r="87" spans="1:5" x14ac:dyDescent="0.25">
      <c r="A87" s="49" t="s">
        <v>323</v>
      </c>
      <c r="B87" s="4" t="s">
        <v>82</v>
      </c>
      <c r="C87" s="4" t="s">
        <v>79</v>
      </c>
      <c r="D87" s="4" t="s">
        <v>111</v>
      </c>
      <c r="E87" s="39" t="s">
        <v>390</v>
      </c>
    </row>
  </sheetData>
  <mergeCells count="20">
    <mergeCell ref="A36:J36"/>
    <mergeCell ref="A39:J39"/>
    <mergeCell ref="A9:J9"/>
    <mergeCell ref="A12:J12"/>
    <mergeCell ref="A16:J16"/>
    <mergeCell ref="A20:J20"/>
    <mergeCell ref="A26:J26"/>
    <mergeCell ref="A32:J3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FD8D-EEF3-41BB-94EA-09C2BBB57DB6}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39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285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37" t="s">
        <v>57</v>
      </c>
    </row>
    <row r="7" spans="1:21" ht="15" x14ac:dyDescent="0.25">
      <c r="E7" s="37" t="s">
        <v>58</v>
      </c>
    </row>
    <row r="8" spans="1:21" ht="15" x14ac:dyDescent="0.25">
      <c r="E8" s="37" t="s">
        <v>59</v>
      </c>
    </row>
    <row r="9" spans="1:21" ht="15" x14ac:dyDescent="0.25">
      <c r="E9" s="37" t="s">
        <v>60</v>
      </c>
    </row>
    <row r="10" spans="1:21" ht="15" x14ac:dyDescent="0.25">
      <c r="E10" s="37" t="s">
        <v>60</v>
      </c>
    </row>
    <row r="11" spans="1:21" ht="15" x14ac:dyDescent="0.25">
      <c r="E11" s="37" t="s">
        <v>61</v>
      </c>
    </row>
    <row r="12" spans="1:21" ht="15" x14ac:dyDescent="0.25">
      <c r="E12" s="37"/>
    </row>
    <row r="14" spans="1:21" ht="17.399999999999999" x14ac:dyDescent="0.3">
      <c r="A14" s="47" t="s">
        <v>62</v>
      </c>
      <c r="B14" s="47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B552-7671-421B-AE5E-4EEE68FD05D8}">
  <dimension ref="A1:U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77734375" style="4" bestFit="1" customWidth="1"/>
    <col min="5" max="5" width="21.77734375" style="4" bestFit="1" customWidth="1"/>
    <col min="6" max="6" width="26.1093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39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278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174</v>
      </c>
      <c r="H3" s="18"/>
      <c r="I3" s="18"/>
      <c r="J3" s="18"/>
      <c r="K3" s="18" t="s">
        <v>88</v>
      </c>
      <c r="L3" s="18"/>
      <c r="M3" s="18"/>
      <c r="N3" s="18"/>
      <c r="O3" s="18" t="s">
        <v>14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6" t="s">
        <v>50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27" t="s">
        <v>280</v>
      </c>
      <c r="B6" s="27" t="s">
        <v>281</v>
      </c>
      <c r="C6" s="27" t="s">
        <v>282</v>
      </c>
      <c r="D6" s="27" t="str">
        <f>"0,5619"</f>
        <v>0,5619</v>
      </c>
      <c r="E6" s="27" t="s">
        <v>20</v>
      </c>
      <c r="F6" s="27" t="s">
        <v>209</v>
      </c>
      <c r="G6" s="28" t="s">
        <v>168</v>
      </c>
      <c r="H6" s="29" t="s">
        <v>168</v>
      </c>
      <c r="I6" s="28" t="s">
        <v>257</v>
      </c>
      <c r="J6" s="28"/>
      <c r="K6" s="29" t="s">
        <v>32</v>
      </c>
      <c r="L6" s="29" t="s">
        <v>124</v>
      </c>
      <c r="M6" s="29" t="s">
        <v>47</v>
      </c>
      <c r="N6" s="28"/>
      <c r="O6" s="28" t="s">
        <v>48</v>
      </c>
      <c r="P6" s="29" t="s">
        <v>48</v>
      </c>
      <c r="Q6" s="28" t="s">
        <v>259</v>
      </c>
      <c r="R6" s="28"/>
      <c r="S6" s="40" t="str">
        <f>"730,0"</f>
        <v>730,0</v>
      </c>
      <c r="T6" s="41" t="str">
        <f>"411,4176"</f>
        <v>411,4176</v>
      </c>
      <c r="U6" s="27" t="s">
        <v>25</v>
      </c>
    </row>
    <row r="8" spans="1:21" ht="15" x14ac:dyDescent="0.25">
      <c r="E8" s="37" t="s">
        <v>57</v>
      </c>
    </row>
    <row r="9" spans="1:21" ht="15" x14ac:dyDescent="0.25">
      <c r="E9" s="37" t="s">
        <v>58</v>
      </c>
    </row>
    <row r="10" spans="1:21" ht="15" x14ac:dyDescent="0.25">
      <c r="E10" s="37" t="s">
        <v>59</v>
      </c>
    </row>
    <row r="11" spans="1:21" ht="15" x14ac:dyDescent="0.25">
      <c r="E11" s="37" t="s">
        <v>60</v>
      </c>
    </row>
    <row r="12" spans="1:21" ht="15" x14ac:dyDescent="0.25">
      <c r="E12" s="37" t="s">
        <v>60</v>
      </c>
    </row>
    <row r="13" spans="1:21" ht="15" x14ac:dyDescent="0.25">
      <c r="E13" s="37" t="s">
        <v>61</v>
      </c>
    </row>
    <row r="14" spans="1:21" ht="15" x14ac:dyDescent="0.25">
      <c r="E14" s="37"/>
    </row>
    <row r="16" spans="1:21" ht="17.399999999999999" x14ac:dyDescent="0.3">
      <c r="A16" s="47" t="s">
        <v>62</v>
      </c>
      <c r="B16" s="47"/>
    </row>
    <row r="17" spans="1:5" ht="15.6" x14ac:dyDescent="0.3">
      <c r="A17" s="48" t="s">
        <v>63</v>
      </c>
      <c r="B17" s="48"/>
    </row>
    <row r="18" spans="1:5" ht="14.4" x14ac:dyDescent="0.3">
      <c r="A18" s="50"/>
      <c r="B18" s="51" t="s">
        <v>81</v>
      </c>
    </row>
    <row r="19" spans="1:5" ht="13.8" x14ac:dyDescent="0.25">
      <c r="A19" s="52" t="s">
        <v>65</v>
      </c>
      <c r="B19" s="52" t="s">
        <v>66</v>
      </c>
      <c r="C19" s="52" t="s">
        <v>67</v>
      </c>
      <c r="D19" s="52" t="s">
        <v>68</v>
      </c>
      <c r="E19" s="52" t="s">
        <v>70</v>
      </c>
    </row>
    <row r="20" spans="1:5" x14ac:dyDescent="0.25">
      <c r="A20" s="49" t="s">
        <v>279</v>
      </c>
      <c r="B20" s="4" t="s">
        <v>82</v>
      </c>
      <c r="C20" s="4" t="s">
        <v>77</v>
      </c>
      <c r="D20" s="4" t="s">
        <v>283</v>
      </c>
      <c r="E20" s="39" t="s">
        <v>284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C4C1-4BBE-4C2F-9EE7-45E284B57D7C}">
  <dimension ref="A1:U7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77734375" style="4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39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174</v>
      </c>
      <c r="H3" s="18"/>
      <c r="I3" s="18"/>
      <c r="J3" s="18"/>
      <c r="K3" s="18" t="s">
        <v>88</v>
      </c>
      <c r="L3" s="18"/>
      <c r="M3" s="18"/>
      <c r="N3" s="18"/>
      <c r="O3" s="18" t="s">
        <v>14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6" t="s">
        <v>175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27" t="s">
        <v>177</v>
      </c>
      <c r="B6" s="27" t="s">
        <v>178</v>
      </c>
      <c r="C6" s="27" t="s">
        <v>179</v>
      </c>
      <c r="D6" s="27" t="str">
        <f>"0,8725"</f>
        <v>0,8725</v>
      </c>
      <c r="E6" s="27" t="s">
        <v>20</v>
      </c>
      <c r="F6" s="27" t="s">
        <v>123</v>
      </c>
      <c r="G6" s="29" t="s">
        <v>180</v>
      </c>
      <c r="H6" s="29" t="s">
        <v>181</v>
      </c>
      <c r="I6" s="28" t="s">
        <v>182</v>
      </c>
      <c r="J6" s="28"/>
      <c r="K6" s="29" t="s">
        <v>183</v>
      </c>
      <c r="L6" s="29" t="s">
        <v>184</v>
      </c>
      <c r="M6" s="29" t="s">
        <v>185</v>
      </c>
      <c r="N6" s="28"/>
      <c r="O6" s="29" t="s">
        <v>24</v>
      </c>
      <c r="P6" s="29" t="s">
        <v>32</v>
      </c>
      <c r="Q6" s="28" t="s">
        <v>186</v>
      </c>
      <c r="R6" s="28"/>
      <c r="S6" s="40" t="str">
        <f>"422,5"</f>
        <v>422,5</v>
      </c>
      <c r="T6" s="41" t="str">
        <f>"368,6313"</f>
        <v>368,6313</v>
      </c>
      <c r="U6" s="27" t="s">
        <v>25</v>
      </c>
    </row>
    <row r="8" spans="1:21" ht="15.6" x14ac:dyDescent="0.3">
      <c r="A8" s="30" t="s">
        <v>175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 x14ac:dyDescent="0.25">
      <c r="A9" s="27" t="s">
        <v>188</v>
      </c>
      <c r="B9" s="27" t="s">
        <v>189</v>
      </c>
      <c r="C9" s="27" t="s">
        <v>190</v>
      </c>
      <c r="D9" s="27" t="str">
        <f>"0,9156"</f>
        <v>0,9156</v>
      </c>
      <c r="E9" s="27" t="s">
        <v>20</v>
      </c>
      <c r="F9" s="27" t="s">
        <v>191</v>
      </c>
      <c r="G9" s="29" t="s">
        <v>185</v>
      </c>
      <c r="H9" s="29" t="s">
        <v>192</v>
      </c>
      <c r="I9" s="29" t="s">
        <v>193</v>
      </c>
      <c r="J9" s="28"/>
      <c r="K9" s="29" t="s">
        <v>194</v>
      </c>
      <c r="L9" s="29" t="s">
        <v>195</v>
      </c>
      <c r="M9" s="29" t="s">
        <v>196</v>
      </c>
      <c r="N9" s="28"/>
      <c r="O9" s="29" t="s">
        <v>181</v>
      </c>
      <c r="P9" s="29" t="s">
        <v>23</v>
      </c>
      <c r="Q9" s="29" t="s">
        <v>135</v>
      </c>
      <c r="R9" s="28"/>
      <c r="S9" s="40" t="str">
        <f>"347,5"</f>
        <v>347,5</v>
      </c>
      <c r="T9" s="41" t="str">
        <f>"318,1710"</f>
        <v>318,1710</v>
      </c>
      <c r="U9" s="27" t="s">
        <v>25</v>
      </c>
    </row>
    <row r="11" spans="1:21" ht="15.6" x14ac:dyDescent="0.3">
      <c r="A11" s="30" t="s">
        <v>15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 x14ac:dyDescent="0.25">
      <c r="A12" s="31" t="s">
        <v>198</v>
      </c>
      <c r="B12" s="31" t="s">
        <v>199</v>
      </c>
      <c r="C12" s="31" t="s">
        <v>200</v>
      </c>
      <c r="D12" s="31" t="str">
        <f>"0,7503"</f>
        <v>0,7503</v>
      </c>
      <c r="E12" s="31" t="s">
        <v>20</v>
      </c>
      <c r="F12" s="31" t="s">
        <v>191</v>
      </c>
      <c r="G12" s="32" t="s">
        <v>201</v>
      </c>
      <c r="H12" s="33" t="s">
        <v>201</v>
      </c>
      <c r="I12" s="33" t="s">
        <v>202</v>
      </c>
      <c r="J12" s="32"/>
      <c r="K12" s="33" t="s">
        <v>203</v>
      </c>
      <c r="L12" s="33" t="s">
        <v>201</v>
      </c>
      <c r="M12" s="32" t="s">
        <v>202</v>
      </c>
      <c r="N12" s="32"/>
      <c r="O12" s="33" t="s">
        <v>204</v>
      </c>
      <c r="P12" s="33" t="s">
        <v>103</v>
      </c>
      <c r="Q12" s="33" t="s">
        <v>104</v>
      </c>
      <c r="R12" s="32"/>
      <c r="S12" s="43" t="str">
        <f>"260,0"</f>
        <v>260,0</v>
      </c>
      <c r="T12" s="44" t="str">
        <f>"195,0780"</f>
        <v>195,0780</v>
      </c>
      <c r="U12" s="31" t="s">
        <v>25</v>
      </c>
    </row>
    <row r="13" spans="1:21" x14ac:dyDescent="0.25">
      <c r="A13" s="53" t="s">
        <v>206</v>
      </c>
      <c r="B13" s="53" t="s">
        <v>207</v>
      </c>
      <c r="C13" s="53" t="s">
        <v>208</v>
      </c>
      <c r="D13" s="53" t="str">
        <f>"0,7659"</f>
        <v>0,7659</v>
      </c>
      <c r="E13" s="53" t="s">
        <v>20</v>
      </c>
      <c r="F13" s="53" t="s">
        <v>209</v>
      </c>
      <c r="G13" s="55" t="s">
        <v>180</v>
      </c>
      <c r="H13" s="55" t="s">
        <v>23</v>
      </c>
      <c r="I13" s="55" t="s">
        <v>135</v>
      </c>
      <c r="J13" s="54"/>
      <c r="K13" s="55" t="s">
        <v>202</v>
      </c>
      <c r="L13" s="55" t="s">
        <v>194</v>
      </c>
      <c r="M13" s="54" t="s">
        <v>210</v>
      </c>
      <c r="N13" s="54"/>
      <c r="O13" s="55" t="s">
        <v>180</v>
      </c>
      <c r="P13" s="55" t="s">
        <v>23</v>
      </c>
      <c r="Q13" s="55" t="s">
        <v>135</v>
      </c>
      <c r="R13" s="54"/>
      <c r="S13" s="56" t="str">
        <f>"385,0"</f>
        <v>385,0</v>
      </c>
      <c r="T13" s="57" t="str">
        <f>"294,8715"</f>
        <v>294,8715</v>
      </c>
      <c r="U13" s="53" t="s">
        <v>25</v>
      </c>
    </row>
    <row r="14" spans="1:21" x14ac:dyDescent="0.25">
      <c r="A14" s="34" t="s">
        <v>206</v>
      </c>
      <c r="B14" s="34" t="s">
        <v>211</v>
      </c>
      <c r="C14" s="34" t="s">
        <v>208</v>
      </c>
      <c r="D14" s="34" t="str">
        <f>"0,7659"</f>
        <v>0,7659</v>
      </c>
      <c r="E14" s="34" t="s">
        <v>20</v>
      </c>
      <c r="F14" s="34" t="s">
        <v>209</v>
      </c>
      <c r="G14" s="36" t="s">
        <v>180</v>
      </c>
      <c r="H14" s="36" t="s">
        <v>23</v>
      </c>
      <c r="I14" s="36" t="s">
        <v>135</v>
      </c>
      <c r="J14" s="35"/>
      <c r="K14" s="36" t="s">
        <v>202</v>
      </c>
      <c r="L14" s="36" t="s">
        <v>194</v>
      </c>
      <c r="M14" s="35" t="s">
        <v>210</v>
      </c>
      <c r="N14" s="35"/>
      <c r="O14" s="36" t="s">
        <v>180</v>
      </c>
      <c r="P14" s="36" t="s">
        <v>23</v>
      </c>
      <c r="Q14" s="36" t="s">
        <v>135</v>
      </c>
      <c r="R14" s="35"/>
      <c r="S14" s="45" t="str">
        <f>"385,0"</f>
        <v>385,0</v>
      </c>
      <c r="T14" s="46" t="str">
        <f>"406,9227"</f>
        <v>406,9227</v>
      </c>
      <c r="U14" s="34" t="s">
        <v>25</v>
      </c>
    </row>
    <row r="16" spans="1:21" ht="15.6" x14ac:dyDescent="0.3">
      <c r="A16" s="30" t="s">
        <v>89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21" x14ac:dyDescent="0.25">
      <c r="A17" s="31" t="s">
        <v>213</v>
      </c>
      <c r="B17" s="31" t="s">
        <v>214</v>
      </c>
      <c r="C17" s="31" t="s">
        <v>215</v>
      </c>
      <c r="D17" s="31" t="str">
        <f>"0,6673"</f>
        <v>0,6673</v>
      </c>
      <c r="E17" s="31" t="s">
        <v>20</v>
      </c>
      <c r="F17" s="31" t="s">
        <v>191</v>
      </c>
      <c r="G17" s="33" t="s">
        <v>183</v>
      </c>
      <c r="H17" s="33" t="s">
        <v>184</v>
      </c>
      <c r="I17" s="33" t="s">
        <v>192</v>
      </c>
      <c r="J17" s="32"/>
      <c r="K17" s="33" t="s">
        <v>194</v>
      </c>
      <c r="L17" s="33" t="s">
        <v>195</v>
      </c>
      <c r="M17" s="33" t="s">
        <v>216</v>
      </c>
      <c r="N17" s="32"/>
      <c r="O17" s="32" t="s">
        <v>102</v>
      </c>
      <c r="P17" s="33" t="s">
        <v>102</v>
      </c>
      <c r="Q17" s="33" t="s">
        <v>104</v>
      </c>
      <c r="R17" s="32"/>
      <c r="S17" s="43" t="str">
        <f>"310,0"</f>
        <v>310,0</v>
      </c>
      <c r="T17" s="44" t="str">
        <f>"206,8630"</f>
        <v>206,8630</v>
      </c>
      <c r="U17" s="31" t="s">
        <v>25</v>
      </c>
    </row>
    <row r="18" spans="1:21" x14ac:dyDescent="0.25">
      <c r="A18" s="53" t="s">
        <v>218</v>
      </c>
      <c r="B18" s="53" t="s">
        <v>219</v>
      </c>
      <c r="C18" s="53" t="s">
        <v>220</v>
      </c>
      <c r="D18" s="53" t="str">
        <f>"0,6737"</f>
        <v>0,6737</v>
      </c>
      <c r="E18" s="53" t="s">
        <v>20</v>
      </c>
      <c r="F18" s="53" t="s">
        <v>209</v>
      </c>
      <c r="G18" s="54" t="s">
        <v>180</v>
      </c>
      <c r="H18" s="55" t="s">
        <v>180</v>
      </c>
      <c r="I18" s="54" t="s">
        <v>23</v>
      </c>
      <c r="J18" s="54"/>
      <c r="K18" s="55" t="s">
        <v>221</v>
      </c>
      <c r="L18" s="55" t="s">
        <v>204</v>
      </c>
      <c r="M18" s="54" t="s">
        <v>102</v>
      </c>
      <c r="N18" s="54"/>
      <c r="O18" s="54" t="s">
        <v>23</v>
      </c>
      <c r="P18" s="55" t="s">
        <v>23</v>
      </c>
      <c r="Q18" s="55" t="s">
        <v>24</v>
      </c>
      <c r="R18" s="54"/>
      <c r="S18" s="56" t="str">
        <f>"420,0"</f>
        <v>420,0</v>
      </c>
      <c r="T18" s="57" t="str">
        <f>"282,9540"</f>
        <v>282,9540</v>
      </c>
      <c r="U18" s="53" t="s">
        <v>25</v>
      </c>
    </row>
    <row r="19" spans="1:21" x14ac:dyDescent="0.25">
      <c r="A19" s="53" t="s">
        <v>223</v>
      </c>
      <c r="B19" s="53" t="s">
        <v>224</v>
      </c>
      <c r="C19" s="53" t="s">
        <v>225</v>
      </c>
      <c r="D19" s="53" t="str">
        <f>"0,6947"</f>
        <v>0,6947</v>
      </c>
      <c r="E19" s="53" t="s">
        <v>20</v>
      </c>
      <c r="F19" s="53" t="s">
        <v>209</v>
      </c>
      <c r="G19" s="55" t="s">
        <v>102</v>
      </c>
      <c r="H19" s="55" t="s">
        <v>104</v>
      </c>
      <c r="I19" s="54" t="s">
        <v>226</v>
      </c>
      <c r="J19" s="54"/>
      <c r="K19" s="55" t="s">
        <v>201</v>
      </c>
      <c r="L19" s="54" t="s">
        <v>202</v>
      </c>
      <c r="M19" s="54"/>
      <c r="N19" s="54"/>
      <c r="O19" s="55" t="s">
        <v>103</v>
      </c>
      <c r="P19" s="55" t="s">
        <v>22</v>
      </c>
      <c r="Q19" s="55" t="s">
        <v>180</v>
      </c>
      <c r="R19" s="54"/>
      <c r="S19" s="56" t="str">
        <f>"330,0"</f>
        <v>330,0</v>
      </c>
      <c r="T19" s="57" t="str">
        <f>"229,2510"</f>
        <v>229,2510</v>
      </c>
      <c r="U19" s="53" t="s">
        <v>25</v>
      </c>
    </row>
    <row r="20" spans="1:21" x14ac:dyDescent="0.25">
      <c r="A20" s="34" t="s">
        <v>227</v>
      </c>
      <c r="B20" s="34" t="s">
        <v>228</v>
      </c>
      <c r="C20" s="34" t="s">
        <v>225</v>
      </c>
      <c r="D20" s="34" t="str">
        <f>"0,6947"</f>
        <v>0,6947</v>
      </c>
      <c r="E20" s="34" t="s">
        <v>20</v>
      </c>
      <c r="F20" s="34" t="s">
        <v>209</v>
      </c>
      <c r="G20" s="36" t="s">
        <v>102</v>
      </c>
      <c r="H20" s="36" t="s">
        <v>104</v>
      </c>
      <c r="I20" s="35" t="s">
        <v>226</v>
      </c>
      <c r="J20" s="35"/>
      <c r="K20" s="36" t="s">
        <v>201</v>
      </c>
      <c r="L20" s="35" t="s">
        <v>202</v>
      </c>
      <c r="M20" s="35"/>
      <c r="N20" s="35"/>
      <c r="O20" s="36" t="s">
        <v>103</v>
      </c>
      <c r="P20" s="36" t="s">
        <v>22</v>
      </c>
      <c r="Q20" s="36" t="s">
        <v>180</v>
      </c>
      <c r="R20" s="35"/>
      <c r="S20" s="45" t="str">
        <f>"330,0"</f>
        <v>330,0</v>
      </c>
      <c r="T20" s="46" t="str">
        <f>"339,2915"</f>
        <v>339,2915</v>
      </c>
      <c r="U20" s="34" t="s">
        <v>25</v>
      </c>
    </row>
    <row r="22" spans="1:21" ht="15.6" x14ac:dyDescent="0.3">
      <c r="A22" s="30" t="s">
        <v>42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21" x14ac:dyDescent="0.25">
      <c r="A23" s="27" t="s">
        <v>230</v>
      </c>
      <c r="B23" s="27" t="s">
        <v>231</v>
      </c>
      <c r="C23" s="27" t="s">
        <v>46</v>
      </c>
      <c r="D23" s="27" t="str">
        <f>"0,5939"</f>
        <v>0,5939</v>
      </c>
      <c r="E23" s="27" t="s">
        <v>20</v>
      </c>
      <c r="F23" s="27" t="s">
        <v>21</v>
      </c>
      <c r="G23" s="29" t="s">
        <v>232</v>
      </c>
      <c r="H23" s="29" t="s">
        <v>181</v>
      </c>
      <c r="I23" s="29" t="s">
        <v>135</v>
      </c>
      <c r="J23" s="28"/>
      <c r="K23" s="29" t="s">
        <v>184</v>
      </c>
      <c r="L23" s="29" t="s">
        <v>221</v>
      </c>
      <c r="M23" s="28" t="s">
        <v>204</v>
      </c>
      <c r="N23" s="28"/>
      <c r="O23" s="29" t="s">
        <v>24</v>
      </c>
      <c r="P23" s="28" t="s">
        <v>110</v>
      </c>
      <c r="Q23" s="29" t="s">
        <v>33</v>
      </c>
      <c r="R23" s="28"/>
      <c r="S23" s="40" t="str">
        <f>"450,0"</f>
        <v>450,0</v>
      </c>
      <c r="T23" s="41" t="str">
        <f>"267,2550"</f>
        <v>267,2550</v>
      </c>
      <c r="U23" s="27" t="s">
        <v>25</v>
      </c>
    </row>
    <row r="25" spans="1:21" ht="15.6" x14ac:dyDescent="0.3">
      <c r="A25" s="30" t="s">
        <v>50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21" x14ac:dyDescent="0.25">
      <c r="A26" s="27" t="s">
        <v>234</v>
      </c>
      <c r="B26" s="27" t="s">
        <v>235</v>
      </c>
      <c r="C26" s="27" t="s">
        <v>236</v>
      </c>
      <c r="D26" s="27" t="str">
        <f>"0,5558"</f>
        <v>0,5558</v>
      </c>
      <c r="E26" s="27" t="s">
        <v>20</v>
      </c>
      <c r="F26" s="27" t="s">
        <v>21</v>
      </c>
      <c r="G26" s="29" t="s">
        <v>124</v>
      </c>
      <c r="H26" s="29" t="s">
        <v>47</v>
      </c>
      <c r="I26" s="28" t="s">
        <v>117</v>
      </c>
      <c r="J26" s="28"/>
      <c r="K26" s="29" t="s">
        <v>23</v>
      </c>
      <c r="L26" s="29" t="s">
        <v>31</v>
      </c>
      <c r="M26" s="29" t="s">
        <v>94</v>
      </c>
      <c r="N26" s="28"/>
      <c r="O26" s="29" t="s">
        <v>124</v>
      </c>
      <c r="P26" s="29" t="s">
        <v>47</v>
      </c>
      <c r="Q26" s="28" t="s">
        <v>55</v>
      </c>
      <c r="R26" s="28"/>
      <c r="S26" s="40" t="str">
        <f>"605,0"</f>
        <v>605,0</v>
      </c>
      <c r="T26" s="41" t="str">
        <f>"336,2590"</f>
        <v>336,2590</v>
      </c>
      <c r="U26" s="27" t="s">
        <v>25</v>
      </c>
    </row>
    <row r="28" spans="1:21" ht="15.6" x14ac:dyDescent="0.3">
      <c r="A28" s="30" t="s">
        <v>137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21" x14ac:dyDescent="0.25">
      <c r="A29" s="31" t="s">
        <v>238</v>
      </c>
      <c r="B29" s="31" t="s">
        <v>239</v>
      </c>
      <c r="C29" s="31" t="s">
        <v>240</v>
      </c>
      <c r="D29" s="31" t="str">
        <f>"0,5410"</f>
        <v>0,5410</v>
      </c>
      <c r="E29" s="31" t="s">
        <v>20</v>
      </c>
      <c r="F29" s="31" t="s">
        <v>21</v>
      </c>
      <c r="G29" s="33" t="s">
        <v>167</v>
      </c>
      <c r="H29" s="33" t="s">
        <v>241</v>
      </c>
      <c r="I29" s="32"/>
      <c r="J29" s="32"/>
      <c r="K29" s="33" t="s">
        <v>39</v>
      </c>
      <c r="L29" s="33" t="s">
        <v>47</v>
      </c>
      <c r="M29" s="32"/>
      <c r="N29" s="32"/>
      <c r="O29" s="33" t="s">
        <v>242</v>
      </c>
      <c r="P29" s="33" t="s">
        <v>243</v>
      </c>
      <c r="Q29" s="32"/>
      <c r="R29" s="32"/>
      <c r="S29" s="43" t="str">
        <f>"830,0"</f>
        <v>830,0</v>
      </c>
      <c r="T29" s="44" t="str">
        <f>"449,0300"</f>
        <v>449,0300</v>
      </c>
      <c r="U29" s="31" t="s">
        <v>25</v>
      </c>
    </row>
    <row r="30" spans="1:21" x14ac:dyDescent="0.25">
      <c r="A30" s="34" t="s">
        <v>245</v>
      </c>
      <c r="B30" s="34" t="s">
        <v>246</v>
      </c>
      <c r="C30" s="34" t="s">
        <v>247</v>
      </c>
      <c r="D30" s="34" t="str">
        <f>"0,5421"</f>
        <v>0,5421</v>
      </c>
      <c r="E30" s="34" t="s">
        <v>20</v>
      </c>
      <c r="F30" s="34" t="s">
        <v>21</v>
      </c>
      <c r="G30" s="35" t="s">
        <v>48</v>
      </c>
      <c r="H30" s="36" t="s">
        <v>48</v>
      </c>
      <c r="I30" s="36" t="s">
        <v>55</v>
      </c>
      <c r="J30" s="35"/>
      <c r="K30" s="36" t="s">
        <v>24</v>
      </c>
      <c r="L30" s="35" t="s">
        <v>32</v>
      </c>
      <c r="M30" s="35" t="s">
        <v>32</v>
      </c>
      <c r="N30" s="35"/>
      <c r="O30" s="35" t="s">
        <v>55</v>
      </c>
      <c r="P30" s="36" t="s">
        <v>118</v>
      </c>
      <c r="Q30" s="35"/>
      <c r="R30" s="35"/>
      <c r="S30" s="45" t="str">
        <f>"662,5"</f>
        <v>662,5</v>
      </c>
      <c r="T30" s="46" t="str">
        <f>"359,1413"</f>
        <v>359,1413</v>
      </c>
      <c r="U30" s="34" t="s">
        <v>25</v>
      </c>
    </row>
    <row r="32" spans="1:21" ht="15" x14ac:dyDescent="0.25">
      <c r="E32" s="37" t="s">
        <v>57</v>
      </c>
    </row>
    <row r="33" spans="1:5" ht="15" x14ac:dyDescent="0.25">
      <c r="E33" s="37" t="s">
        <v>58</v>
      </c>
    </row>
    <row r="34" spans="1:5" ht="15" x14ac:dyDescent="0.25">
      <c r="E34" s="37" t="s">
        <v>59</v>
      </c>
    </row>
    <row r="35" spans="1:5" ht="15" x14ac:dyDescent="0.25">
      <c r="E35" s="37" t="s">
        <v>60</v>
      </c>
    </row>
    <row r="36" spans="1:5" ht="15" x14ac:dyDescent="0.25">
      <c r="E36" s="37" t="s">
        <v>60</v>
      </c>
    </row>
    <row r="37" spans="1:5" ht="15" x14ac:dyDescent="0.25">
      <c r="E37" s="37" t="s">
        <v>61</v>
      </c>
    </row>
    <row r="38" spans="1:5" ht="15" x14ac:dyDescent="0.25">
      <c r="E38" s="37"/>
    </row>
    <row r="40" spans="1:5" ht="17.399999999999999" x14ac:dyDescent="0.3">
      <c r="A40" s="47" t="s">
        <v>62</v>
      </c>
      <c r="B40" s="47"/>
    </row>
    <row r="41" spans="1:5" ht="15.6" x14ac:dyDescent="0.3">
      <c r="A41" s="48" t="s">
        <v>248</v>
      </c>
      <c r="B41" s="48"/>
    </row>
    <row r="42" spans="1:5" ht="14.4" x14ac:dyDescent="0.3">
      <c r="A42" s="50"/>
      <c r="B42" s="51" t="s">
        <v>76</v>
      </c>
    </row>
    <row r="43" spans="1:5" ht="13.8" x14ac:dyDescent="0.25">
      <c r="A43" s="52" t="s">
        <v>65</v>
      </c>
      <c r="B43" s="52" t="s">
        <v>66</v>
      </c>
      <c r="C43" s="52" t="s">
        <v>67</v>
      </c>
      <c r="D43" s="52" t="s">
        <v>68</v>
      </c>
      <c r="E43" s="52" t="s">
        <v>70</v>
      </c>
    </row>
    <row r="44" spans="1:5" x14ac:dyDescent="0.25">
      <c r="A44" s="49" t="s">
        <v>176</v>
      </c>
      <c r="B44" s="4" t="s">
        <v>76</v>
      </c>
      <c r="C44" s="4" t="s">
        <v>249</v>
      </c>
      <c r="D44" s="4" t="s">
        <v>250</v>
      </c>
      <c r="E44" s="39" t="s">
        <v>251</v>
      </c>
    </row>
    <row r="47" spans="1:5" ht="15.6" x14ac:dyDescent="0.3">
      <c r="A47" s="48" t="s">
        <v>63</v>
      </c>
      <c r="B47" s="48"/>
    </row>
    <row r="48" spans="1:5" ht="14.4" x14ac:dyDescent="0.3">
      <c r="A48" s="50"/>
      <c r="B48" s="51" t="s">
        <v>64</v>
      </c>
    </row>
    <row r="49" spans="1:5" ht="13.8" x14ac:dyDescent="0.25">
      <c r="A49" s="52" t="s">
        <v>65</v>
      </c>
      <c r="B49" s="52" t="s">
        <v>66</v>
      </c>
      <c r="C49" s="52" t="s">
        <v>67</v>
      </c>
      <c r="D49" s="52" t="s">
        <v>68</v>
      </c>
      <c r="E49" s="52" t="s">
        <v>70</v>
      </c>
    </row>
    <row r="50" spans="1:5" x14ac:dyDescent="0.25">
      <c r="A50" s="49" t="s">
        <v>187</v>
      </c>
      <c r="B50" s="4" t="s">
        <v>252</v>
      </c>
      <c r="C50" s="4" t="s">
        <v>249</v>
      </c>
      <c r="D50" s="4" t="s">
        <v>253</v>
      </c>
      <c r="E50" s="39" t="s">
        <v>254</v>
      </c>
    </row>
    <row r="51" spans="1:5" x14ac:dyDescent="0.25">
      <c r="A51" s="49" t="s">
        <v>229</v>
      </c>
      <c r="B51" s="4" t="s">
        <v>252</v>
      </c>
      <c r="C51" s="4" t="s">
        <v>72</v>
      </c>
      <c r="D51" s="4" t="s">
        <v>255</v>
      </c>
      <c r="E51" s="39" t="s">
        <v>256</v>
      </c>
    </row>
    <row r="52" spans="1:5" x14ac:dyDescent="0.25">
      <c r="A52" s="49" t="s">
        <v>212</v>
      </c>
      <c r="B52" s="4" t="s">
        <v>252</v>
      </c>
      <c r="C52" s="4" t="s">
        <v>150</v>
      </c>
      <c r="D52" s="4" t="s">
        <v>257</v>
      </c>
      <c r="E52" s="39" t="s">
        <v>258</v>
      </c>
    </row>
    <row r="53" spans="1:5" x14ac:dyDescent="0.25">
      <c r="A53" s="49" t="s">
        <v>197</v>
      </c>
      <c r="B53" s="4" t="s">
        <v>252</v>
      </c>
      <c r="C53" s="4" t="s">
        <v>74</v>
      </c>
      <c r="D53" s="4" t="s">
        <v>259</v>
      </c>
      <c r="E53" s="39" t="s">
        <v>260</v>
      </c>
    </row>
    <row r="55" spans="1:5" ht="14.4" x14ac:dyDescent="0.3">
      <c r="A55" s="50"/>
      <c r="B55" s="51" t="s">
        <v>261</v>
      </c>
    </row>
    <row r="56" spans="1:5" ht="13.8" x14ac:dyDescent="0.25">
      <c r="A56" s="52" t="s">
        <v>65</v>
      </c>
      <c r="B56" s="52" t="s">
        <v>66</v>
      </c>
      <c r="C56" s="52" t="s">
        <v>67</v>
      </c>
      <c r="D56" s="52" t="s">
        <v>68</v>
      </c>
      <c r="E56" s="52" t="s">
        <v>70</v>
      </c>
    </row>
    <row r="57" spans="1:5" x14ac:dyDescent="0.25">
      <c r="A57" s="49" t="s">
        <v>237</v>
      </c>
      <c r="B57" s="4" t="s">
        <v>262</v>
      </c>
      <c r="C57" s="4" t="s">
        <v>155</v>
      </c>
      <c r="D57" s="4" t="s">
        <v>263</v>
      </c>
      <c r="E57" s="39" t="s">
        <v>264</v>
      </c>
    </row>
    <row r="58" spans="1:5" x14ac:dyDescent="0.25">
      <c r="A58" s="49" t="s">
        <v>244</v>
      </c>
      <c r="B58" s="4" t="s">
        <v>262</v>
      </c>
      <c r="C58" s="4" t="s">
        <v>155</v>
      </c>
      <c r="D58" s="4" t="s">
        <v>265</v>
      </c>
      <c r="E58" s="39" t="s">
        <v>266</v>
      </c>
    </row>
    <row r="60" spans="1:5" ht="14.4" x14ac:dyDescent="0.3">
      <c r="A60" s="50"/>
      <c r="B60" s="51" t="s">
        <v>76</v>
      </c>
    </row>
    <row r="61" spans="1:5" ht="13.8" x14ac:dyDescent="0.25">
      <c r="A61" s="52" t="s">
        <v>65</v>
      </c>
      <c r="B61" s="52" t="s">
        <v>66</v>
      </c>
      <c r="C61" s="52" t="s">
        <v>67</v>
      </c>
      <c r="D61" s="52" t="s">
        <v>68</v>
      </c>
      <c r="E61" s="52" t="s">
        <v>70</v>
      </c>
    </row>
    <row r="62" spans="1:5" x14ac:dyDescent="0.25">
      <c r="A62" s="49" t="s">
        <v>233</v>
      </c>
      <c r="B62" s="4" t="s">
        <v>76</v>
      </c>
      <c r="C62" s="4" t="s">
        <v>77</v>
      </c>
      <c r="D62" s="4" t="s">
        <v>267</v>
      </c>
      <c r="E62" s="39" t="s">
        <v>268</v>
      </c>
    </row>
    <row r="63" spans="1:5" x14ac:dyDescent="0.25">
      <c r="A63" s="49" t="s">
        <v>205</v>
      </c>
      <c r="B63" s="4" t="s">
        <v>76</v>
      </c>
      <c r="C63" s="4" t="s">
        <v>74</v>
      </c>
      <c r="D63" s="4" t="s">
        <v>269</v>
      </c>
      <c r="E63" s="39" t="s">
        <v>270</v>
      </c>
    </row>
    <row r="64" spans="1:5" x14ac:dyDescent="0.25">
      <c r="A64" s="49" t="s">
        <v>217</v>
      </c>
      <c r="B64" s="4" t="s">
        <v>76</v>
      </c>
      <c r="C64" s="4" t="s">
        <v>150</v>
      </c>
      <c r="D64" s="4" t="s">
        <v>271</v>
      </c>
      <c r="E64" s="39" t="s">
        <v>272</v>
      </c>
    </row>
    <row r="65" spans="1:5" x14ac:dyDescent="0.25">
      <c r="A65" s="49" t="s">
        <v>222</v>
      </c>
      <c r="B65" s="4" t="s">
        <v>76</v>
      </c>
      <c r="C65" s="4" t="s">
        <v>150</v>
      </c>
      <c r="D65" s="4" t="s">
        <v>273</v>
      </c>
      <c r="E65" s="39" t="s">
        <v>274</v>
      </c>
    </row>
    <row r="67" spans="1:5" ht="14.4" x14ac:dyDescent="0.3">
      <c r="A67" s="50"/>
      <c r="B67" s="51" t="s">
        <v>81</v>
      </c>
    </row>
    <row r="68" spans="1:5" ht="13.8" x14ac:dyDescent="0.25">
      <c r="A68" s="52" t="s">
        <v>65</v>
      </c>
      <c r="B68" s="52" t="s">
        <v>66</v>
      </c>
      <c r="C68" s="52" t="s">
        <v>67</v>
      </c>
      <c r="D68" s="52" t="s">
        <v>68</v>
      </c>
      <c r="E68" s="52" t="s">
        <v>70</v>
      </c>
    </row>
    <row r="69" spans="1:5" x14ac:dyDescent="0.25">
      <c r="A69" s="49" t="s">
        <v>205</v>
      </c>
      <c r="B69" s="4" t="s">
        <v>275</v>
      </c>
      <c r="C69" s="4" t="s">
        <v>74</v>
      </c>
      <c r="D69" s="4" t="s">
        <v>269</v>
      </c>
      <c r="E69" s="39" t="s">
        <v>276</v>
      </c>
    </row>
    <row r="70" spans="1:5" x14ac:dyDescent="0.25">
      <c r="A70" s="49" t="s">
        <v>222</v>
      </c>
      <c r="B70" s="4" t="s">
        <v>275</v>
      </c>
      <c r="C70" s="4" t="s">
        <v>150</v>
      </c>
      <c r="D70" s="4" t="s">
        <v>273</v>
      </c>
      <c r="E70" s="39" t="s">
        <v>277</v>
      </c>
    </row>
  </sheetData>
  <mergeCells count="20">
    <mergeCell ref="A8:R8"/>
    <mergeCell ref="A11:R11"/>
    <mergeCell ref="A16:R16"/>
    <mergeCell ref="A22:R22"/>
    <mergeCell ref="A25:R25"/>
    <mergeCell ref="A28:R2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7237-6B01-4078-8E08-803E7BB082D4}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39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37" t="s">
        <v>57</v>
      </c>
    </row>
    <row r="7" spans="1:13" ht="15" x14ac:dyDescent="0.25">
      <c r="E7" s="37" t="s">
        <v>58</v>
      </c>
    </row>
    <row r="8" spans="1:13" ht="15" x14ac:dyDescent="0.25">
      <c r="E8" s="37" t="s">
        <v>59</v>
      </c>
    </row>
    <row r="9" spans="1:13" ht="15" x14ac:dyDescent="0.25">
      <c r="E9" s="37" t="s">
        <v>60</v>
      </c>
    </row>
    <row r="10" spans="1:13" ht="15" x14ac:dyDescent="0.25">
      <c r="E10" s="37" t="s">
        <v>60</v>
      </c>
    </row>
    <row r="11" spans="1:13" ht="15" x14ac:dyDescent="0.25">
      <c r="E11" s="37" t="s">
        <v>61</v>
      </c>
    </row>
    <row r="12" spans="1:13" ht="15" x14ac:dyDescent="0.25">
      <c r="E12" s="37"/>
    </row>
    <row r="14" spans="1:13" ht="17.399999999999999" x14ac:dyDescent="0.3">
      <c r="A14" s="47" t="s">
        <v>62</v>
      </c>
      <c r="B14" s="47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1153-9C84-4549-B36F-8167F7A154C7}">
  <dimension ref="A1:M2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26.886718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88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26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31" t="s">
        <v>164</v>
      </c>
      <c r="B6" s="31" t="s">
        <v>165</v>
      </c>
      <c r="C6" s="31" t="s">
        <v>166</v>
      </c>
      <c r="D6" s="31" t="str">
        <f>"0,6279"</f>
        <v>0,6279</v>
      </c>
      <c r="E6" s="31" t="s">
        <v>20</v>
      </c>
      <c r="F6" s="31" t="s">
        <v>123</v>
      </c>
      <c r="G6" s="32" t="s">
        <v>167</v>
      </c>
      <c r="H6" s="33" t="s">
        <v>167</v>
      </c>
      <c r="I6" s="33" t="s">
        <v>168</v>
      </c>
      <c r="J6" s="32"/>
      <c r="K6" s="43" t="str">
        <f>"280,0"</f>
        <v>280,0</v>
      </c>
      <c r="L6" s="44" t="str">
        <f>"175,8120"</f>
        <v>175,8120</v>
      </c>
      <c r="M6" s="31" t="s">
        <v>25</v>
      </c>
    </row>
    <row r="7" spans="1:13" x14ac:dyDescent="0.25">
      <c r="A7" s="34" t="s">
        <v>164</v>
      </c>
      <c r="B7" s="34" t="s">
        <v>169</v>
      </c>
      <c r="C7" s="34" t="s">
        <v>166</v>
      </c>
      <c r="D7" s="34" t="str">
        <f>"0,6279"</f>
        <v>0,6279</v>
      </c>
      <c r="E7" s="34" t="s">
        <v>20</v>
      </c>
      <c r="F7" s="34" t="s">
        <v>123</v>
      </c>
      <c r="G7" s="35" t="s">
        <v>167</v>
      </c>
      <c r="H7" s="36" t="s">
        <v>167</v>
      </c>
      <c r="I7" s="36" t="s">
        <v>168</v>
      </c>
      <c r="J7" s="35"/>
      <c r="K7" s="45" t="str">
        <f>"280,0"</f>
        <v>280,0</v>
      </c>
      <c r="L7" s="46" t="str">
        <f>"196,3820"</f>
        <v>196,3820</v>
      </c>
      <c r="M7" s="34" t="s">
        <v>25</v>
      </c>
    </row>
    <row r="9" spans="1:13" ht="15" x14ac:dyDescent="0.25">
      <c r="E9" s="37" t="s">
        <v>57</v>
      </c>
    </row>
    <row r="10" spans="1:13" ht="15" x14ac:dyDescent="0.25">
      <c r="E10" s="37" t="s">
        <v>58</v>
      </c>
    </row>
    <row r="11" spans="1:13" ht="15" x14ac:dyDescent="0.25">
      <c r="E11" s="37" t="s">
        <v>59</v>
      </c>
    </row>
    <row r="12" spans="1:13" ht="15" x14ac:dyDescent="0.25">
      <c r="E12" s="37" t="s">
        <v>60</v>
      </c>
    </row>
    <row r="13" spans="1:13" ht="15" x14ac:dyDescent="0.25">
      <c r="E13" s="37" t="s">
        <v>60</v>
      </c>
    </row>
    <row r="14" spans="1:13" ht="15" x14ac:dyDescent="0.25">
      <c r="E14" s="37" t="s">
        <v>61</v>
      </c>
    </row>
    <row r="15" spans="1:13" ht="15" x14ac:dyDescent="0.25">
      <c r="E15" s="37"/>
    </row>
    <row r="17" spans="1:5" ht="17.399999999999999" x14ac:dyDescent="0.3">
      <c r="A17" s="47" t="s">
        <v>62</v>
      </c>
      <c r="B17" s="47"/>
    </row>
    <row r="18" spans="1:5" ht="15.6" x14ac:dyDescent="0.3">
      <c r="A18" s="48" t="s">
        <v>63</v>
      </c>
      <c r="B18" s="48"/>
    </row>
    <row r="19" spans="1:5" ht="14.4" x14ac:dyDescent="0.3">
      <c r="A19" s="50"/>
      <c r="B19" s="51" t="s">
        <v>76</v>
      </c>
    </row>
    <row r="20" spans="1:5" ht="13.8" x14ac:dyDescent="0.25">
      <c r="A20" s="52" t="s">
        <v>65</v>
      </c>
      <c r="B20" s="52" t="s">
        <v>66</v>
      </c>
      <c r="C20" s="52" t="s">
        <v>67</v>
      </c>
      <c r="D20" s="52" t="s">
        <v>69</v>
      </c>
      <c r="E20" s="52" t="s">
        <v>70</v>
      </c>
    </row>
    <row r="21" spans="1:5" x14ac:dyDescent="0.25">
      <c r="A21" s="49" t="s">
        <v>163</v>
      </c>
      <c r="B21" s="4" t="s">
        <v>76</v>
      </c>
      <c r="C21" s="4" t="s">
        <v>79</v>
      </c>
      <c r="D21" s="4" t="s">
        <v>168</v>
      </c>
      <c r="E21" s="39" t="s">
        <v>170</v>
      </c>
    </row>
    <row r="23" spans="1:5" ht="14.4" x14ac:dyDescent="0.3">
      <c r="A23" s="50"/>
      <c r="B23" s="51" t="s">
        <v>81</v>
      </c>
    </row>
    <row r="24" spans="1:5" ht="13.8" x14ac:dyDescent="0.25">
      <c r="A24" s="52" t="s">
        <v>65</v>
      </c>
      <c r="B24" s="52" t="s">
        <v>66</v>
      </c>
      <c r="C24" s="52" t="s">
        <v>67</v>
      </c>
      <c r="D24" s="52" t="s">
        <v>69</v>
      </c>
      <c r="E24" s="52" t="s">
        <v>70</v>
      </c>
    </row>
    <row r="25" spans="1:5" x14ac:dyDescent="0.25">
      <c r="A25" s="49" t="s">
        <v>163</v>
      </c>
      <c r="B25" s="4" t="s">
        <v>160</v>
      </c>
      <c r="C25" s="4" t="s">
        <v>79</v>
      </c>
      <c r="D25" s="4" t="s">
        <v>168</v>
      </c>
      <c r="E25" s="39" t="s">
        <v>171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5CC9-2235-493E-B4A3-9ACA978EC8A5}">
  <dimension ref="A1:M5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0.777343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88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89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27" t="s">
        <v>91</v>
      </c>
      <c r="B6" s="27" t="s">
        <v>92</v>
      </c>
      <c r="C6" s="27" t="s">
        <v>93</v>
      </c>
      <c r="D6" s="27" t="str">
        <f>"0,6645"</f>
        <v>0,6645</v>
      </c>
      <c r="E6" s="27" t="s">
        <v>20</v>
      </c>
      <c r="F6" s="27" t="s">
        <v>21</v>
      </c>
      <c r="G6" s="29" t="s">
        <v>23</v>
      </c>
      <c r="H6" s="29" t="s">
        <v>31</v>
      </c>
      <c r="I6" s="28" t="s">
        <v>94</v>
      </c>
      <c r="J6" s="28"/>
      <c r="K6" s="40" t="str">
        <f>"160,0"</f>
        <v>160,0</v>
      </c>
      <c r="L6" s="41" t="str">
        <f>"106,3200"</f>
        <v>106,3200</v>
      </c>
      <c r="M6" s="27" t="s">
        <v>25</v>
      </c>
    </row>
    <row r="8" spans="1:13" ht="15.6" x14ac:dyDescent="0.3">
      <c r="A8" s="30" t="s">
        <v>26</v>
      </c>
      <c r="B8" s="42"/>
      <c r="C8" s="42"/>
      <c r="D8" s="42"/>
      <c r="E8" s="42"/>
      <c r="F8" s="42"/>
      <c r="G8" s="42"/>
      <c r="H8" s="42"/>
      <c r="I8" s="42"/>
      <c r="J8" s="42"/>
    </row>
    <row r="9" spans="1:13" x14ac:dyDescent="0.25">
      <c r="A9" s="31" t="s">
        <v>96</v>
      </c>
      <c r="B9" s="31" t="s">
        <v>97</v>
      </c>
      <c r="C9" s="31" t="s">
        <v>98</v>
      </c>
      <c r="D9" s="31" t="str">
        <f>"0,6418"</f>
        <v>0,6418</v>
      </c>
      <c r="E9" s="31" t="s">
        <v>20</v>
      </c>
      <c r="F9" s="31" t="s">
        <v>99</v>
      </c>
      <c r="G9" s="33" t="s">
        <v>23</v>
      </c>
      <c r="H9" s="33" t="s">
        <v>100</v>
      </c>
      <c r="I9" s="32" t="s">
        <v>31</v>
      </c>
      <c r="J9" s="32"/>
      <c r="K9" s="43" t="str">
        <f>"157,5"</f>
        <v>157,5</v>
      </c>
      <c r="L9" s="44" t="str">
        <f>"101,0835"</f>
        <v>101,0835</v>
      </c>
      <c r="M9" s="31" t="s">
        <v>25</v>
      </c>
    </row>
    <row r="10" spans="1:13" x14ac:dyDescent="0.25">
      <c r="A10" s="53" t="s">
        <v>101</v>
      </c>
      <c r="B10" s="53" t="s">
        <v>29</v>
      </c>
      <c r="C10" s="53" t="s">
        <v>30</v>
      </c>
      <c r="D10" s="53" t="str">
        <f>"0,6307"</f>
        <v>0,6307</v>
      </c>
      <c r="E10" s="53" t="s">
        <v>20</v>
      </c>
      <c r="F10" s="53" t="s">
        <v>21</v>
      </c>
      <c r="G10" s="55" t="s">
        <v>102</v>
      </c>
      <c r="H10" s="55" t="s">
        <v>103</v>
      </c>
      <c r="I10" s="55" t="s">
        <v>104</v>
      </c>
      <c r="J10" s="54"/>
      <c r="K10" s="56" t="str">
        <f>"125,0"</f>
        <v>125,0</v>
      </c>
      <c r="L10" s="57" t="str">
        <f>"78,8375"</f>
        <v>78,8375</v>
      </c>
      <c r="M10" s="53" t="s">
        <v>25</v>
      </c>
    </row>
    <row r="11" spans="1:13" x14ac:dyDescent="0.25">
      <c r="A11" s="34" t="s">
        <v>96</v>
      </c>
      <c r="B11" s="34" t="s">
        <v>105</v>
      </c>
      <c r="C11" s="34" t="s">
        <v>98</v>
      </c>
      <c r="D11" s="34" t="str">
        <f>"0,6418"</f>
        <v>0,6418</v>
      </c>
      <c r="E11" s="34" t="s">
        <v>20</v>
      </c>
      <c r="F11" s="34" t="s">
        <v>99</v>
      </c>
      <c r="G11" s="36" t="s">
        <v>23</v>
      </c>
      <c r="H11" s="36" t="s">
        <v>100</v>
      </c>
      <c r="I11" s="35" t="s">
        <v>31</v>
      </c>
      <c r="J11" s="35"/>
      <c r="K11" s="45" t="str">
        <f>"157,5"</f>
        <v>157,5</v>
      </c>
      <c r="L11" s="46" t="str">
        <f>"110,3832"</f>
        <v>110,3832</v>
      </c>
      <c r="M11" s="34" t="s">
        <v>25</v>
      </c>
    </row>
    <row r="13" spans="1:13" ht="15.6" x14ac:dyDescent="0.3">
      <c r="A13" s="30" t="s">
        <v>42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3" x14ac:dyDescent="0.25">
      <c r="A14" s="31" t="s">
        <v>107</v>
      </c>
      <c r="B14" s="31" t="s">
        <v>108</v>
      </c>
      <c r="C14" s="31" t="s">
        <v>109</v>
      </c>
      <c r="D14" s="31" t="str">
        <f>"0,5877"</f>
        <v>0,5877</v>
      </c>
      <c r="E14" s="31" t="s">
        <v>20</v>
      </c>
      <c r="F14" s="31" t="s">
        <v>21</v>
      </c>
      <c r="G14" s="33" t="s">
        <v>110</v>
      </c>
      <c r="H14" s="33" t="s">
        <v>33</v>
      </c>
      <c r="I14" s="32" t="s">
        <v>111</v>
      </c>
      <c r="J14" s="32"/>
      <c r="K14" s="43" t="str">
        <f>"190,0"</f>
        <v>190,0</v>
      </c>
      <c r="L14" s="44" t="str">
        <f>"111,6630"</f>
        <v>111,6630</v>
      </c>
      <c r="M14" s="31" t="s">
        <v>25</v>
      </c>
    </row>
    <row r="15" spans="1:13" x14ac:dyDescent="0.25">
      <c r="A15" s="34" t="s">
        <v>107</v>
      </c>
      <c r="B15" s="34" t="s">
        <v>112</v>
      </c>
      <c r="C15" s="34" t="s">
        <v>109</v>
      </c>
      <c r="D15" s="34" t="str">
        <f>"0,5877"</f>
        <v>0,5877</v>
      </c>
      <c r="E15" s="34" t="s">
        <v>20</v>
      </c>
      <c r="F15" s="34" t="s">
        <v>21</v>
      </c>
      <c r="G15" s="36" t="s">
        <v>110</v>
      </c>
      <c r="H15" s="36" t="s">
        <v>33</v>
      </c>
      <c r="I15" s="35" t="s">
        <v>111</v>
      </c>
      <c r="J15" s="35"/>
      <c r="K15" s="45" t="str">
        <f>"190,0"</f>
        <v>190,0</v>
      </c>
      <c r="L15" s="46" t="str">
        <f>"112,6680"</f>
        <v>112,6680</v>
      </c>
      <c r="M15" s="34" t="s">
        <v>25</v>
      </c>
    </row>
    <row r="17" spans="1:13" ht="15.6" x14ac:dyDescent="0.3">
      <c r="A17" s="30" t="s">
        <v>50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3" x14ac:dyDescent="0.25">
      <c r="A18" s="31" t="s">
        <v>114</v>
      </c>
      <c r="B18" s="31" t="s">
        <v>115</v>
      </c>
      <c r="C18" s="31" t="s">
        <v>116</v>
      </c>
      <c r="D18" s="31" t="str">
        <f>"0,5555"</f>
        <v>0,5555</v>
      </c>
      <c r="E18" s="31" t="s">
        <v>20</v>
      </c>
      <c r="F18" s="31" t="s">
        <v>38</v>
      </c>
      <c r="G18" s="33" t="s">
        <v>117</v>
      </c>
      <c r="H18" s="33" t="s">
        <v>56</v>
      </c>
      <c r="I18" s="32" t="s">
        <v>118</v>
      </c>
      <c r="J18" s="32"/>
      <c r="K18" s="43" t="str">
        <f>"245,0"</f>
        <v>245,0</v>
      </c>
      <c r="L18" s="44" t="str">
        <f>"136,0975"</f>
        <v>136,0975</v>
      </c>
      <c r="M18" s="31" t="s">
        <v>25</v>
      </c>
    </row>
    <row r="19" spans="1:13" x14ac:dyDescent="0.25">
      <c r="A19" s="53" t="s">
        <v>120</v>
      </c>
      <c r="B19" s="53" t="s">
        <v>121</v>
      </c>
      <c r="C19" s="53" t="s">
        <v>122</v>
      </c>
      <c r="D19" s="53" t="str">
        <f>"0,5543"</f>
        <v>0,5543</v>
      </c>
      <c r="E19" s="53" t="s">
        <v>20</v>
      </c>
      <c r="F19" s="53" t="s">
        <v>123</v>
      </c>
      <c r="G19" s="55" t="s">
        <v>33</v>
      </c>
      <c r="H19" s="55" t="s">
        <v>124</v>
      </c>
      <c r="I19" s="54" t="s">
        <v>125</v>
      </c>
      <c r="J19" s="54"/>
      <c r="K19" s="56" t="str">
        <f>"200,0"</f>
        <v>200,0</v>
      </c>
      <c r="L19" s="57" t="str">
        <f>"110,8600"</f>
        <v>110,8600</v>
      </c>
      <c r="M19" s="53" t="s">
        <v>25</v>
      </c>
    </row>
    <row r="20" spans="1:13" x14ac:dyDescent="0.25">
      <c r="A20" s="53" t="s">
        <v>127</v>
      </c>
      <c r="B20" s="53" t="s">
        <v>128</v>
      </c>
      <c r="C20" s="53" t="s">
        <v>129</v>
      </c>
      <c r="D20" s="53" t="str">
        <f>"0,5727"</f>
        <v>0,5727</v>
      </c>
      <c r="E20" s="53" t="s">
        <v>20</v>
      </c>
      <c r="F20" s="53" t="s">
        <v>123</v>
      </c>
      <c r="G20" s="55" t="s">
        <v>130</v>
      </c>
      <c r="H20" s="55" t="s">
        <v>32</v>
      </c>
      <c r="I20" s="55" t="s">
        <v>110</v>
      </c>
      <c r="J20" s="54"/>
      <c r="K20" s="56" t="str">
        <f>"185,0"</f>
        <v>185,0</v>
      </c>
      <c r="L20" s="57" t="str">
        <f>"105,9495"</f>
        <v>105,9495</v>
      </c>
      <c r="M20" s="53" t="s">
        <v>25</v>
      </c>
    </row>
    <row r="21" spans="1:13" x14ac:dyDescent="0.25">
      <c r="A21" s="53" t="s">
        <v>132</v>
      </c>
      <c r="B21" s="53" t="s">
        <v>133</v>
      </c>
      <c r="C21" s="53" t="s">
        <v>134</v>
      </c>
      <c r="D21" s="53" t="str">
        <f>"0,5573"</f>
        <v>0,5573</v>
      </c>
      <c r="E21" s="53" t="s">
        <v>20</v>
      </c>
      <c r="F21" s="53" t="s">
        <v>21</v>
      </c>
      <c r="G21" s="55" t="s">
        <v>135</v>
      </c>
      <c r="H21" s="55" t="s">
        <v>31</v>
      </c>
      <c r="I21" s="55" t="s">
        <v>94</v>
      </c>
      <c r="J21" s="54"/>
      <c r="K21" s="56" t="str">
        <f>"165,0"</f>
        <v>165,0</v>
      </c>
      <c r="L21" s="57" t="str">
        <f>"91,9545"</f>
        <v>91,9545</v>
      </c>
      <c r="M21" s="53" t="s">
        <v>25</v>
      </c>
    </row>
    <row r="22" spans="1:13" x14ac:dyDescent="0.25">
      <c r="A22" s="34" t="s">
        <v>114</v>
      </c>
      <c r="B22" s="34" t="s">
        <v>136</v>
      </c>
      <c r="C22" s="34" t="s">
        <v>116</v>
      </c>
      <c r="D22" s="34" t="str">
        <f>"0,5555"</f>
        <v>0,5555</v>
      </c>
      <c r="E22" s="34" t="s">
        <v>20</v>
      </c>
      <c r="F22" s="34" t="s">
        <v>38</v>
      </c>
      <c r="G22" s="36" t="s">
        <v>117</v>
      </c>
      <c r="H22" s="36" t="s">
        <v>56</v>
      </c>
      <c r="I22" s="35" t="s">
        <v>118</v>
      </c>
      <c r="J22" s="35"/>
      <c r="K22" s="45" t="str">
        <f>"245,0"</f>
        <v>245,0</v>
      </c>
      <c r="L22" s="46" t="str">
        <f>"136,5058"</f>
        <v>136,5058</v>
      </c>
      <c r="M22" s="34" t="s">
        <v>25</v>
      </c>
    </row>
    <row r="24" spans="1:13" ht="15.6" x14ac:dyDescent="0.3">
      <c r="A24" s="30" t="s">
        <v>137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3" x14ac:dyDescent="0.25">
      <c r="A25" s="31" t="s">
        <v>139</v>
      </c>
      <c r="B25" s="31" t="s">
        <v>140</v>
      </c>
      <c r="C25" s="31" t="s">
        <v>141</v>
      </c>
      <c r="D25" s="31" t="str">
        <f>"0,5431"</f>
        <v>0,5431</v>
      </c>
      <c r="E25" s="31" t="s">
        <v>20</v>
      </c>
      <c r="F25" s="31" t="s">
        <v>21</v>
      </c>
      <c r="G25" s="33" t="s">
        <v>142</v>
      </c>
      <c r="H25" s="32" t="s">
        <v>143</v>
      </c>
      <c r="I25" s="32" t="s">
        <v>143</v>
      </c>
      <c r="J25" s="32"/>
      <c r="K25" s="43" t="str">
        <f>"162,5"</f>
        <v>162,5</v>
      </c>
      <c r="L25" s="44" t="str">
        <f>"88,2537"</f>
        <v>88,2537</v>
      </c>
      <c r="M25" s="31" t="s">
        <v>25</v>
      </c>
    </row>
    <row r="26" spans="1:13" x14ac:dyDescent="0.25">
      <c r="A26" s="34" t="s">
        <v>144</v>
      </c>
      <c r="B26" s="34" t="s">
        <v>145</v>
      </c>
      <c r="C26" s="34" t="s">
        <v>146</v>
      </c>
      <c r="D26" s="34" t="str">
        <f>"0,5377"</f>
        <v>0,5377</v>
      </c>
      <c r="E26" s="34" t="s">
        <v>20</v>
      </c>
      <c r="F26" s="34" t="s">
        <v>21</v>
      </c>
      <c r="G26" s="35" t="s">
        <v>124</v>
      </c>
      <c r="H26" s="35"/>
      <c r="I26" s="35"/>
      <c r="J26" s="35"/>
      <c r="K26" s="45" t="str">
        <f>"0.00"</f>
        <v>0.00</v>
      </c>
      <c r="L26" s="46" t="str">
        <f>"0,0000"</f>
        <v>0,0000</v>
      </c>
      <c r="M26" s="34" t="s">
        <v>25</v>
      </c>
    </row>
    <row r="28" spans="1:13" ht="15" x14ac:dyDescent="0.25">
      <c r="E28" s="37" t="s">
        <v>57</v>
      </c>
    </row>
    <row r="29" spans="1:13" ht="15" x14ac:dyDescent="0.25">
      <c r="E29" s="37" t="s">
        <v>58</v>
      </c>
    </row>
    <row r="30" spans="1:13" ht="15" x14ac:dyDescent="0.25">
      <c r="E30" s="37" t="s">
        <v>59</v>
      </c>
    </row>
    <row r="31" spans="1:13" ht="15" x14ac:dyDescent="0.25">
      <c r="E31" s="37" t="s">
        <v>60</v>
      </c>
    </row>
    <row r="32" spans="1:13" ht="15" x14ac:dyDescent="0.25">
      <c r="E32" s="37" t="s">
        <v>60</v>
      </c>
    </row>
    <row r="33" spans="1:5" ht="15" x14ac:dyDescent="0.25">
      <c r="E33" s="37" t="s">
        <v>61</v>
      </c>
    </row>
    <row r="34" spans="1:5" ht="15" x14ac:dyDescent="0.25">
      <c r="E34" s="37"/>
    </row>
    <row r="36" spans="1:5" ht="17.399999999999999" x14ac:dyDescent="0.3">
      <c r="A36" s="47" t="s">
        <v>62</v>
      </c>
      <c r="B36" s="47"/>
    </row>
    <row r="37" spans="1:5" ht="15.6" x14ac:dyDescent="0.3">
      <c r="A37" s="48" t="s">
        <v>63</v>
      </c>
      <c r="B37" s="48"/>
    </row>
    <row r="38" spans="1:5" ht="14.4" x14ac:dyDescent="0.3">
      <c r="A38" s="50"/>
      <c r="B38" s="51" t="s">
        <v>76</v>
      </c>
    </row>
    <row r="39" spans="1:5" ht="13.8" x14ac:dyDescent="0.25">
      <c r="A39" s="52" t="s">
        <v>65</v>
      </c>
      <c r="B39" s="52" t="s">
        <v>66</v>
      </c>
      <c r="C39" s="52" t="s">
        <v>67</v>
      </c>
      <c r="D39" s="52" t="s">
        <v>69</v>
      </c>
      <c r="E39" s="52" t="s">
        <v>70</v>
      </c>
    </row>
    <row r="40" spans="1:5" x14ac:dyDescent="0.25">
      <c r="A40" s="49" t="s">
        <v>113</v>
      </c>
      <c r="B40" s="4" t="s">
        <v>76</v>
      </c>
      <c r="C40" s="4" t="s">
        <v>77</v>
      </c>
      <c r="D40" s="4" t="s">
        <v>56</v>
      </c>
      <c r="E40" s="39" t="s">
        <v>147</v>
      </c>
    </row>
    <row r="41" spans="1:5" x14ac:dyDescent="0.25">
      <c r="A41" s="49" t="s">
        <v>106</v>
      </c>
      <c r="B41" s="4" t="s">
        <v>76</v>
      </c>
      <c r="C41" s="4" t="s">
        <v>72</v>
      </c>
      <c r="D41" s="4" t="s">
        <v>33</v>
      </c>
      <c r="E41" s="39" t="s">
        <v>148</v>
      </c>
    </row>
    <row r="42" spans="1:5" x14ac:dyDescent="0.25">
      <c r="A42" s="49" t="s">
        <v>119</v>
      </c>
      <c r="B42" s="4" t="s">
        <v>76</v>
      </c>
      <c r="C42" s="4" t="s">
        <v>77</v>
      </c>
      <c r="D42" s="4" t="s">
        <v>124</v>
      </c>
      <c r="E42" s="39" t="s">
        <v>149</v>
      </c>
    </row>
    <row r="43" spans="1:5" x14ac:dyDescent="0.25">
      <c r="A43" s="49" t="s">
        <v>90</v>
      </c>
      <c r="B43" s="4" t="s">
        <v>76</v>
      </c>
      <c r="C43" s="4" t="s">
        <v>150</v>
      </c>
      <c r="D43" s="4" t="s">
        <v>31</v>
      </c>
      <c r="E43" s="39" t="s">
        <v>151</v>
      </c>
    </row>
    <row r="44" spans="1:5" x14ac:dyDescent="0.25">
      <c r="A44" s="49" t="s">
        <v>126</v>
      </c>
      <c r="B44" s="4" t="s">
        <v>76</v>
      </c>
      <c r="C44" s="4" t="s">
        <v>77</v>
      </c>
      <c r="D44" s="4" t="s">
        <v>110</v>
      </c>
      <c r="E44" s="39" t="s">
        <v>152</v>
      </c>
    </row>
    <row r="45" spans="1:5" x14ac:dyDescent="0.25">
      <c r="A45" s="49" t="s">
        <v>95</v>
      </c>
      <c r="B45" s="4" t="s">
        <v>76</v>
      </c>
      <c r="C45" s="4" t="s">
        <v>79</v>
      </c>
      <c r="D45" s="4" t="s">
        <v>100</v>
      </c>
      <c r="E45" s="39" t="s">
        <v>153</v>
      </c>
    </row>
    <row r="46" spans="1:5" x14ac:dyDescent="0.25">
      <c r="A46" s="49" t="s">
        <v>131</v>
      </c>
      <c r="B46" s="4" t="s">
        <v>76</v>
      </c>
      <c r="C46" s="4" t="s">
        <v>77</v>
      </c>
      <c r="D46" s="4" t="s">
        <v>94</v>
      </c>
      <c r="E46" s="39" t="s">
        <v>154</v>
      </c>
    </row>
    <row r="47" spans="1:5" x14ac:dyDescent="0.25">
      <c r="A47" s="49" t="s">
        <v>138</v>
      </c>
      <c r="B47" s="4" t="s">
        <v>76</v>
      </c>
      <c r="C47" s="4" t="s">
        <v>155</v>
      </c>
      <c r="D47" s="4" t="s">
        <v>142</v>
      </c>
      <c r="E47" s="39" t="s">
        <v>156</v>
      </c>
    </row>
    <row r="48" spans="1:5" x14ac:dyDescent="0.25">
      <c r="A48" s="49" t="s">
        <v>27</v>
      </c>
      <c r="B48" s="4" t="s">
        <v>76</v>
      </c>
      <c r="C48" s="4" t="s">
        <v>79</v>
      </c>
      <c r="D48" s="4" t="s">
        <v>104</v>
      </c>
      <c r="E48" s="39" t="s">
        <v>157</v>
      </c>
    </row>
    <row r="50" spans="1:5" ht="14.4" x14ac:dyDescent="0.3">
      <c r="A50" s="50"/>
      <c r="B50" s="51" t="s">
        <v>81</v>
      </c>
    </row>
    <row r="51" spans="1:5" ht="13.8" x14ac:dyDescent="0.25">
      <c r="A51" s="52" t="s">
        <v>65</v>
      </c>
      <c r="B51" s="52" t="s">
        <v>66</v>
      </c>
      <c r="C51" s="52" t="s">
        <v>67</v>
      </c>
      <c r="D51" s="52" t="s">
        <v>69</v>
      </c>
      <c r="E51" s="52" t="s">
        <v>70</v>
      </c>
    </row>
    <row r="52" spans="1:5" x14ac:dyDescent="0.25">
      <c r="A52" s="49" t="s">
        <v>113</v>
      </c>
      <c r="B52" s="4" t="s">
        <v>82</v>
      </c>
      <c r="C52" s="4" t="s">
        <v>77</v>
      </c>
      <c r="D52" s="4" t="s">
        <v>56</v>
      </c>
      <c r="E52" s="39" t="s">
        <v>158</v>
      </c>
    </row>
    <row r="53" spans="1:5" x14ac:dyDescent="0.25">
      <c r="A53" s="49" t="s">
        <v>106</v>
      </c>
      <c r="B53" s="4" t="s">
        <v>82</v>
      </c>
      <c r="C53" s="4" t="s">
        <v>72</v>
      </c>
      <c r="D53" s="4" t="s">
        <v>33</v>
      </c>
      <c r="E53" s="39" t="s">
        <v>159</v>
      </c>
    </row>
    <row r="54" spans="1:5" x14ac:dyDescent="0.25">
      <c r="A54" s="49" t="s">
        <v>95</v>
      </c>
      <c r="B54" s="4" t="s">
        <v>160</v>
      </c>
      <c r="C54" s="4" t="s">
        <v>79</v>
      </c>
      <c r="D54" s="4" t="s">
        <v>100</v>
      </c>
      <c r="E54" s="39" t="s">
        <v>161</v>
      </c>
    </row>
  </sheetData>
  <mergeCells count="16">
    <mergeCell ref="A8:J8"/>
    <mergeCell ref="A13:J13"/>
    <mergeCell ref="A17:J17"/>
    <mergeCell ref="A24:J2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2A8A-C906-4BCD-B015-99BD5AC51234}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39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37" t="s">
        <v>57</v>
      </c>
    </row>
    <row r="7" spans="1:13" ht="15" x14ac:dyDescent="0.25">
      <c r="E7" s="37" t="s">
        <v>58</v>
      </c>
    </row>
    <row r="8" spans="1:13" ht="15" x14ac:dyDescent="0.25">
      <c r="E8" s="37" t="s">
        <v>59</v>
      </c>
    </row>
    <row r="9" spans="1:13" ht="15" x14ac:dyDescent="0.25">
      <c r="E9" s="37" t="s">
        <v>60</v>
      </c>
    </row>
    <row r="10" spans="1:13" ht="15" x14ac:dyDescent="0.25">
      <c r="E10" s="37" t="s">
        <v>60</v>
      </c>
    </row>
    <row r="11" spans="1:13" ht="15" x14ac:dyDescent="0.25">
      <c r="E11" s="37" t="s">
        <v>61</v>
      </c>
    </row>
    <row r="12" spans="1:13" ht="15" x14ac:dyDescent="0.25">
      <c r="E12" s="37"/>
    </row>
    <row r="14" spans="1:13" ht="17.399999999999999" x14ac:dyDescent="0.3">
      <c r="A14" s="47" t="s">
        <v>62</v>
      </c>
      <c r="B14" s="47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E377-3811-48A8-91EF-4B356E289457}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39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37" t="s">
        <v>57</v>
      </c>
    </row>
    <row r="7" spans="1:13" ht="15" x14ac:dyDescent="0.25">
      <c r="E7" s="37" t="s">
        <v>58</v>
      </c>
    </row>
    <row r="8" spans="1:13" ht="15" x14ac:dyDescent="0.25">
      <c r="E8" s="37" t="s">
        <v>59</v>
      </c>
    </row>
    <row r="9" spans="1:13" ht="15" x14ac:dyDescent="0.25">
      <c r="E9" s="37" t="s">
        <v>60</v>
      </c>
    </row>
    <row r="10" spans="1:13" ht="15" x14ac:dyDescent="0.25">
      <c r="E10" s="37" t="s">
        <v>60</v>
      </c>
    </row>
    <row r="11" spans="1:13" ht="15" x14ac:dyDescent="0.25">
      <c r="E11" s="37" t="s">
        <v>61</v>
      </c>
    </row>
    <row r="12" spans="1:13" ht="15" x14ac:dyDescent="0.25">
      <c r="E12" s="37"/>
    </row>
    <row r="14" spans="1:13" ht="17.399999999999999" x14ac:dyDescent="0.3">
      <c r="A14" s="47" t="s">
        <v>62</v>
      </c>
      <c r="B14" s="47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42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0.777343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14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15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27" t="s">
        <v>17</v>
      </c>
      <c r="B6" s="27" t="s">
        <v>18</v>
      </c>
      <c r="C6" s="27" t="s">
        <v>19</v>
      </c>
      <c r="D6" s="27" t="str">
        <f>"0,7337"</f>
        <v>0,7337</v>
      </c>
      <c r="E6" s="27" t="s">
        <v>20</v>
      </c>
      <c r="F6" s="27" t="s">
        <v>21</v>
      </c>
      <c r="G6" s="29" t="s">
        <v>22</v>
      </c>
      <c r="H6" s="29" t="s">
        <v>23</v>
      </c>
      <c r="I6" s="29" t="s">
        <v>24</v>
      </c>
      <c r="J6" s="28"/>
      <c r="K6" s="40" t="str">
        <f>"170,0"</f>
        <v>170,0</v>
      </c>
      <c r="L6" s="41" t="str">
        <f>"124,7290"</f>
        <v>124,7290</v>
      </c>
      <c r="M6" s="27" t="s">
        <v>25</v>
      </c>
    </row>
    <row r="8" spans="1:13" ht="15.6" x14ac:dyDescent="0.3">
      <c r="A8" s="30" t="s">
        <v>26</v>
      </c>
      <c r="B8" s="42"/>
      <c r="C8" s="42"/>
      <c r="D8" s="42"/>
      <c r="E8" s="42"/>
      <c r="F8" s="42"/>
      <c r="G8" s="42"/>
      <c r="H8" s="42"/>
      <c r="I8" s="42"/>
      <c r="J8" s="42"/>
    </row>
    <row r="9" spans="1:13" x14ac:dyDescent="0.25">
      <c r="A9" s="31" t="s">
        <v>28</v>
      </c>
      <c r="B9" s="31" t="s">
        <v>29</v>
      </c>
      <c r="C9" s="31" t="s">
        <v>30</v>
      </c>
      <c r="D9" s="31" t="str">
        <f>"0,6307"</f>
        <v>0,6307</v>
      </c>
      <c r="E9" s="31" t="s">
        <v>20</v>
      </c>
      <c r="F9" s="31" t="s">
        <v>21</v>
      </c>
      <c r="G9" s="33" t="s">
        <v>31</v>
      </c>
      <c r="H9" s="33" t="s">
        <v>32</v>
      </c>
      <c r="I9" s="33" t="s">
        <v>33</v>
      </c>
      <c r="J9" s="32"/>
      <c r="K9" s="43" t="str">
        <f>"190,0"</f>
        <v>190,0</v>
      </c>
      <c r="L9" s="44" t="str">
        <f>"119,8330"</f>
        <v>119,8330</v>
      </c>
      <c r="M9" s="31" t="s">
        <v>25</v>
      </c>
    </row>
    <row r="10" spans="1:13" x14ac:dyDescent="0.25">
      <c r="A10" s="34" t="s">
        <v>35</v>
      </c>
      <c r="B10" s="34" t="s">
        <v>36</v>
      </c>
      <c r="C10" s="34" t="s">
        <v>37</v>
      </c>
      <c r="D10" s="34" t="str">
        <f>"0,6230"</f>
        <v>0,6230</v>
      </c>
      <c r="E10" s="34" t="s">
        <v>20</v>
      </c>
      <c r="F10" s="34" t="s">
        <v>38</v>
      </c>
      <c r="G10" s="36" t="s">
        <v>39</v>
      </c>
      <c r="H10" s="36" t="s">
        <v>40</v>
      </c>
      <c r="I10" s="35" t="s">
        <v>41</v>
      </c>
      <c r="J10" s="35"/>
      <c r="K10" s="45" t="str">
        <f>"225,0"</f>
        <v>225,0</v>
      </c>
      <c r="L10" s="46" t="str">
        <f>"141,4366"</f>
        <v>141,4366</v>
      </c>
      <c r="M10" s="34" t="s">
        <v>25</v>
      </c>
    </row>
    <row r="12" spans="1:13" ht="15.6" x14ac:dyDescent="0.3">
      <c r="A12" s="30" t="s">
        <v>42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3" x14ac:dyDescent="0.25">
      <c r="A13" s="31" t="s">
        <v>44</v>
      </c>
      <c r="B13" s="31" t="s">
        <v>45</v>
      </c>
      <c r="C13" s="31" t="s">
        <v>46</v>
      </c>
      <c r="D13" s="31" t="str">
        <f>"0,5939"</f>
        <v>0,5939</v>
      </c>
      <c r="E13" s="31" t="s">
        <v>20</v>
      </c>
      <c r="F13" s="31" t="s">
        <v>21</v>
      </c>
      <c r="G13" s="32" t="s">
        <v>47</v>
      </c>
      <c r="H13" s="32" t="s">
        <v>48</v>
      </c>
      <c r="I13" s="33" t="s">
        <v>48</v>
      </c>
      <c r="J13" s="32"/>
      <c r="K13" s="43" t="str">
        <f>"230,0"</f>
        <v>230,0</v>
      </c>
      <c r="L13" s="44" t="str">
        <f>"136,5970"</f>
        <v>136,5970</v>
      </c>
      <c r="M13" s="31" t="s">
        <v>25</v>
      </c>
    </row>
    <row r="14" spans="1:13" x14ac:dyDescent="0.25">
      <c r="A14" s="34" t="s">
        <v>44</v>
      </c>
      <c r="B14" s="34" t="s">
        <v>49</v>
      </c>
      <c r="C14" s="34" t="s">
        <v>46</v>
      </c>
      <c r="D14" s="34" t="str">
        <f>"0,5939"</f>
        <v>0,5939</v>
      </c>
      <c r="E14" s="34" t="s">
        <v>20</v>
      </c>
      <c r="F14" s="34" t="s">
        <v>21</v>
      </c>
      <c r="G14" s="35" t="s">
        <v>47</v>
      </c>
      <c r="H14" s="35" t="s">
        <v>48</v>
      </c>
      <c r="I14" s="36" t="s">
        <v>48</v>
      </c>
      <c r="J14" s="35"/>
      <c r="K14" s="45" t="str">
        <f>"230,0"</f>
        <v>230,0</v>
      </c>
      <c r="L14" s="46" t="str">
        <f>"136,5970"</f>
        <v>136,5970</v>
      </c>
      <c r="M14" s="34" t="s">
        <v>25</v>
      </c>
    </row>
    <row r="16" spans="1:13" ht="15.6" x14ac:dyDescent="0.3">
      <c r="A16" s="30" t="s">
        <v>50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3" x14ac:dyDescent="0.25">
      <c r="A17" s="27" t="s">
        <v>52</v>
      </c>
      <c r="B17" s="27" t="s">
        <v>53</v>
      </c>
      <c r="C17" s="27" t="s">
        <v>54</v>
      </c>
      <c r="D17" s="27" t="str">
        <f>"0,5697"</f>
        <v>0,5697</v>
      </c>
      <c r="E17" s="27" t="s">
        <v>20</v>
      </c>
      <c r="F17" s="27" t="s">
        <v>21</v>
      </c>
      <c r="G17" s="29" t="s">
        <v>48</v>
      </c>
      <c r="H17" s="28" t="s">
        <v>55</v>
      </c>
      <c r="I17" s="28" t="s">
        <v>56</v>
      </c>
      <c r="J17" s="28"/>
      <c r="K17" s="40" t="str">
        <f>"230,0"</f>
        <v>230,0</v>
      </c>
      <c r="L17" s="41" t="str">
        <f>"131,0310"</f>
        <v>131,0310</v>
      </c>
      <c r="M17" s="27" t="s">
        <v>25</v>
      </c>
    </row>
    <row r="19" spans="1:13" ht="15" x14ac:dyDescent="0.25">
      <c r="E19" s="37" t="s">
        <v>57</v>
      </c>
    </row>
    <row r="20" spans="1:13" ht="15" x14ac:dyDescent="0.25">
      <c r="E20" s="37" t="s">
        <v>58</v>
      </c>
    </row>
    <row r="21" spans="1:13" ht="15" x14ac:dyDescent="0.25">
      <c r="E21" s="37" t="s">
        <v>59</v>
      </c>
    </row>
    <row r="22" spans="1:13" ht="15" x14ac:dyDescent="0.25">
      <c r="E22" s="37" t="s">
        <v>60</v>
      </c>
    </row>
    <row r="23" spans="1:13" ht="15" x14ac:dyDescent="0.25">
      <c r="E23" s="37" t="s">
        <v>60</v>
      </c>
    </row>
    <row r="24" spans="1:13" ht="15" x14ac:dyDescent="0.25">
      <c r="E24" s="37" t="s">
        <v>61</v>
      </c>
    </row>
    <row r="25" spans="1:13" ht="15" x14ac:dyDescent="0.25">
      <c r="E25" s="37"/>
    </row>
    <row r="27" spans="1:13" ht="17.399999999999999" x14ac:dyDescent="0.3">
      <c r="A27" s="47" t="s">
        <v>62</v>
      </c>
      <c r="B27" s="47"/>
    </row>
    <row r="28" spans="1:13" ht="15.6" x14ac:dyDescent="0.3">
      <c r="A28" s="48" t="s">
        <v>63</v>
      </c>
      <c r="B28" s="48"/>
    </row>
    <row r="29" spans="1:13" ht="14.4" x14ac:dyDescent="0.3">
      <c r="A29" s="50"/>
      <c r="B29" s="51" t="s">
        <v>64</v>
      </c>
    </row>
    <row r="30" spans="1:13" ht="13.8" x14ac:dyDescent="0.25">
      <c r="A30" s="52" t="s">
        <v>65</v>
      </c>
      <c r="B30" s="52" t="s">
        <v>66</v>
      </c>
      <c r="C30" s="52" t="s">
        <v>67</v>
      </c>
      <c r="D30" s="52" t="s">
        <v>69</v>
      </c>
      <c r="E30" s="52" t="s">
        <v>70</v>
      </c>
    </row>
    <row r="31" spans="1:13" x14ac:dyDescent="0.25">
      <c r="A31" s="49" t="s">
        <v>43</v>
      </c>
      <c r="B31" s="4" t="s">
        <v>71</v>
      </c>
      <c r="C31" s="4" t="s">
        <v>72</v>
      </c>
      <c r="D31" s="4" t="s">
        <v>48</v>
      </c>
      <c r="E31" s="39" t="s">
        <v>73</v>
      </c>
    </row>
    <row r="32" spans="1:13" x14ac:dyDescent="0.25">
      <c r="A32" s="49" t="s">
        <v>16</v>
      </c>
      <c r="B32" s="4" t="s">
        <v>71</v>
      </c>
      <c r="C32" s="4" t="s">
        <v>74</v>
      </c>
      <c r="D32" s="4" t="s">
        <v>24</v>
      </c>
      <c r="E32" s="39" t="s">
        <v>75</v>
      </c>
    </row>
    <row r="34" spans="1:5" ht="14.4" x14ac:dyDescent="0.3">
      <c r="A34" s="50"/>
      <c r="B34" s="51" t="s">
        <v>76</v>
      </c>
    </row>
    <row r="35" spans="1:5" ht="13.8" x14ac:dyDescent="0.25">
      <c r="A35" s="52" t="s">
        <v>65</v>
      </c>
      <c r="B35" s="52" t="s">
        <v>66</v>
      </c>
      <c r="C35" s="52" t="s">
        <v>67</v>
      </c>
      <c r="D35" s="52" t="s">
        <v>69</v>
      </c>
      <c r="E35" s="52" t="s">
        <v>70</v>
      </c>
    </row>
    <row r="36" spans="1:5" x14ac:dyDescent="0.25">
      <c r="A36" s="49" t="s">
        <v>43</v>
      </c>
      <c r="B36" s="4" t="s">
        <v>76</v>
      </c>
      <c r="C36" s="4" t="s">
        <v>72</v>
      </c>
      <c r="D36" s="4" t="s">
        <v>48</v>
      </c>
      <c r="E36" s="39" t="s">
        <v>73</v>
      </c>
    </row>
    <row r="37" spans="1:5" x14ac:dyDescent="0.25">
      <c r="A37" s="49" t="s">
        <v>51</v>
      </c>
      <c r="B37" s="4" t="s">
        <v>76</v>
      </c>
      <c r="C37" s="4" t="s">
        <v>77</v>
      </c>
      <c r="D37" s="4" t="s">
        <v>48</v>
      </c>
      <c r="E37" s="39" t="s">
        <v>78</v>
      </c>
    </row>
    <row r="38" spans="1:5" x14ac:dyDescent="0.25">
      <c r="A38" s="49" t="s">
        <v>27</v>
      </c>
      <c r="B38" s="4" t="s">
        <v>76</v>
      </c>
      <c r="C38" s="4" t="s">
        <v>79</v>
      </c>
      <c r="D38" s="4" t="s">
        <v>33</v>
      </c>
      <c r="E38" s="39" t="s">
        <v>80</v>
      </c>
    </row>
    <row r="40" spans="1:5" ht="14.4" x14ac:dyDescent="0.3">
      <c r="A40" s="50"/>
      <c r="B40" s="51" t="s">
        <v>81</v>
      </c>
    </row>
    <row r="41" spans="1:5" ht="13.8" x14ac:dyDescent="0.25">
      <c r="A41" s="52" t="s">
        <v>65</v>
      </c>
      <c r="B41" s="52" t="s">
        <v>66</v>
      </c>
      <c r="C41" s="52" t="s">
        <v>67</v>
      </c>
      <c r="D41" s="52" t="s">
        <v>69</v>
      </c>
      <c r="E41" s="52" t="s">
        <v>70</v>
      </c>
    </row>
    <row r="42" spans="1:5" x14ac:dyDescent="0.25">
      <c r="A42" s="49" t="s">
        <v>34</v>
      </c>
      <c r="B42" s="4" t="s">
        <v>82</v>
      </c>
      <c r="C42" s="4" t="s">
        <v>79</v>
      </c>
      <c r="D42" s="4" t="s">
        <v>40</v>
      </c>
      <c r="E42" s="39" t="s">
        <v>83</v>
      </c>
    </row>
  </sheetData>
  <mergeCells count="15">
    <mergeCell ref="A5:J5"/>
    <mergeCell ref="A8:J8"/>
    <mergeCell ref="A12:J12"/>
    <mergeCell ref="A16:J16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1D01-B69E-4EE3-AFBD-C8CF2EC58BB9}">
  <dimension ref="A1:U14"/>
  <sheetViews>
    <sheetView tabSelected="1" workbookViewId="0">
      <selection sqref="A1:U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39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701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37" t="s">
        <v>57</v>
      </c>
    </row>
    <row r="7" spans="1:21" ht="15" x14ac:dyDescent="0.25">
      <c r="E7" s="37" t="s">
        <v>58</v>
      </c>
    </row>
    <row r="8" spans="1:21" ht="15" x14ac:dyDescent="0.25">
      <c r="E8" s="37" t="s">
        <v>59</v>
      </c>
    </row>
    <row r="9" spans="1:21" ht="15" x14ac:dyDescent="0.25">
      <c r="E9" s="37" t="s">
        <v>60</v>
      </c>
    </row>
    <row r="10" spans="1:21" ht="15" x14ac:dyDescent="0.25">
      <c r="E10" s="37" t="s">
        <v>60</v>
      </c>
    </row>
    <row r="11" spans="1:21" ht="15" x14ac:dyDescent="0.25">
      <c r="E11" s="37" t="s">
        <v>61</v>
      </c>
    </row>
    <row r="12" spans="1:21" ht="15" x14ac:dyDescent="0.25">
      <c r="E12" s="37"/>
    </row>
    <row r="14" spans="1:21" ht="17.399999999999999" x14ac:dyDescent="0.3">
      <c r="A14" s="47" t="s">
        <v>62</v>
      </c>
      <c r="B14" s="47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058A-DBCB-4C9E-9376-6713BAF74A76}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39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700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37" t="s">
        <v>57</v>
      </c>
    </row>
    <row r="7" spans="1:21" ht="15" x14ac:dyDescent="0.25">
      <c r="E7" s="37" t="s">
        <v>58</v>
      </c>
    </row>
    <row r="8" spans="1:21" ht="15" x14ac:dyDescent="0.25">
      <c r="E8" s="37" t="s">
        <v>59</v>
      </c>
    </row>
    <row r="9" spans="1:21" ht="15" x14ac:dyDescent="0.25">
      <c r="E9" s="37" t="s">
        <v>60</v>
      </c>
    </row>
    <row r="10" spans="1:21" ht="15" x14ac:dyDescent="0.25">
      <c r="E10" s="37" t="s">
        <v>60</v>
      </c>
    </row>
    <row r="11" spans="1:21" ht="15" x14ac:dyDescent="0.25">
      <c r="E11" s="37" t="s">
        <v>61</v>
      </c>
    </row>
    <row r="12" spans="1:21" ht="15" x14ac:dyDescent="0.25">
      <c r="E12" s="37"/>
    </row>
    <row r="14" spans="1:21" ht="17.399999999999999" x14ac:dyDescent="0.3">
      <c r="A14" s="47" t="s">
        <v>62</v>
      </c>
      <c r="B14" s="47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7175-5C56-43B2-A9E2-9512FFE799D8}">
  <dimension ref="A1:U8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77734375" style="4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39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617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174</v>
      </c>
      <c r="H3" s="18"/>
      <c r="I3" s="18"/>
      <c r="J3" s="18"/>
      <c r="K3" s="18" t="s">
        <v>88</v>
      </c>
      <c r="L3" s="18"/>
      <c r="M3" s="18"/>
      <c r="N3" s="18"/>
      <c r="O3" s="18" t="s">
        <v>14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6" t="s">
        <v>618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27" t="s">
        <v>620</v>
      </c>
      <c r="B6" s="27" t="s">
        <v>621</v>
      </c>
      <c r="C6" s="27" t="s">
        <v>622</v>
      </c>
      <c r="D6" s="27" t="str">
        <f>"1,1938"</f>
        <v>1,1938</v>
      </c>
      <c r="E6" s="27" t="s">
        <v>20</v>
      </c>
      <c r="F6" s="27" t="s">
        <v>21</v>
      </c>
      <c r="G6" s="29" t="s">
        <v>623</v>
      </c>
      <c r="H6" s="29" t="s">
        <v>624</v>
      </c>
      <c r="I6" s="29" t="s">
        <v>625</v>
      </c>
      <c r="J6" s="28"/>
      <c r="K6" s="28" t="s">
        <v>626</v>
      </c>
      <c r="L6" s="29" t="s">
        <v>626</v>
      </c>
      <c r="M6" s="29" t="s">
        <v>627</v>
      </c>
      <c r="N6" s="28"/>
      <c r="O6" s="29" t="s">
        <v>407</v>
      </c>
      <c r="P6" s="29" t="s">
        <v>408</v>
      </c>
      <c r="Q6" s="28" t="s">
        <v>628</v>
      </c>
      <c r="R6" s="28"/>
      <c r="S6" s="40" t="str">
        <f>"117,5"</f>
        <v>117,5</v>
      </c>
      <c r="T6" s="41" t="str">
        <f>"140,2715"</f>
        <v>140,2715</v>
      </c>
      <c r="U6" s="27" t="s">
        <v>25</v>
      </c>
    </row>
    <row r="8" spans="1:21" ht="15.6" x14ac:dyDescent="0.3">
      <c r="A8" s="30" t="s">
        <v>396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 x14ac:dyDescent="0.25">
      <c r="A9" s="27" t="s">
        <v>630</v>
      </c>
      <c r="B9" s="27" t="s">
        <v>631</v>
      </c>
      <c r="C9" s="27" t="s">
        <v>632</v>
      </c>
      <c r="D9" s="27" t="str">
        <f>"0,9731"</f>
        <v>0,9731</v>
      </c>
      <c r="E9" s="27" t="s">
        <v>20</v>
      </c>
      <c r="F9" s="27" t="s">
        <v>21</v>
      </c>
      <c r="G9" s="29" t="s">
        <v>202</v>
      </c>
      <c r="H9" s="29" t="s">
        <v>194</v>
      </c>
      <c r="I9" s="29" t="s">
        <v>195</v>
      </c>
      <c r="J9" s="28"/>
      <c r="K9" s="29" t="s">
        <v>407</v>
      </c>
      <c r="L9" s="28" t="s">
        <v>633</v>
      </c>
      <c r="M9" s="28" t="s">
        <v>633</v>
      </c>
      <c r="N9" s="28"/>
      <c r="O9" s="29" t="s">
        <v>202</v>
      </c>
      <c r="P9" s="29" t="s">
        <v>195</v>
      </c>
      <c r="Q9" s="29" t="s">
        <v>183</v>
      </c>
      <c r="R9" s="28"/>
      <c r="S9" s="40" t="str">
        <f>"215,0"</f>
        <v>215,0</v>
      </c>
      <c r="T9" s="41" t="str">
        <f>"211,0994"</f>
        <v>211,0994</v>
      </c>
      <c r="U9" s="27" t="s">
        <v>25</v>
      </c>
    </row>
    <row r="11" spans="1:21" ht="15.6" x14ac:dyDescent="0.3">
      <c r="A11" s="30" t="s">
        <v>287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 x14ac:dyDescent="0.25">
      <c r="A12" s="31" t="s">
        <v>634</v>
      </c>
      <c r="B12" s="31" t="s">
        <v>635</v>
      </c>
      <c r="C12" s="31" t="s">
        <v>636</v>
      </c>
      <c r="D12" s="31" t="str">
        <f>"0,9122"</f>
        <v>0,9122</v>
      </c>
      <c r="E12" s="31" t="s">
        <v>20</v>
      </c>
      <c r="F12" s="31" t="s">
        <v>21</v>
      </c>
      <c r="G12" s="32" t="s">
        <v>183</v>
      </c>
      <c r="H12" s="32" t="s">
        <v>183</v>
      </c>
      <c r="I12" s="32" t="s">
        <v>183</v>
      </c>
      <c r="J12" s="32"/>
      <c r="K12" s="32" t="s">
        <v>407</v>
      </c>
      <c r="L12" s="32"/>
      <c r="M12" s="32"/>
      <c r="N12" s="32"/>
      <c r="O12" s="32" t="s">
        <v>184</v>
      </c>
      <c r="P12" s="32"/>
      <c r="Q12" s="32"/>
      <c r="R12" s="32"/>
      <c r="S12" s="43" t="str">
        <f>"0.00"</f>
        <v>0.00</v>
      </c>
      <c r="T12" s="44" t="str">
        <f>"0,0000"</f>
        <v>0,0000</v>
      </c>
      <c r="U12" s="31" t="s">
        <v>25</v>
      </c>
    </row>
    <row r="13" spans="1:21" x14ac:dyDescent="0.25">
      <c r="A13" s="34" t="s">
        <v>638</v>
      </c>
      <c r="B13" s="34" t="s">
        <v>639</v>
      </c>
      <c r="C13" s="34" t="s">
        <v>640</v>
      </c>
      <c r="D13" s="34" t="str">
        <f>"0,9208"</f>
        <v>0,9208</v>
      </c>
      <c r="E13" s="34" t="s">
        <v>20</v>
      </c>
      <c r="F13" s="34" t="s">
        <v>499</v>
      </c>
      <c r="G13" s="36" t="s">
        <v>421</v>
      </c>
      <c r="H13" s="36" t="s">
        <v>201</v>
      </c>
      <c r="I13" s="35" t="s">
        <v>402</v>
      </c>
      <c r="J13" s="35"/>
      <c r="K13" s="35" t="s">
        <v>624</v>
      </c>
      <c r="L13" s="36" t="s">
        <v>641</v>
      </c>
      <c r="M13" s="35" t="s">
        <v>642</v>
      </c>
      <c r="N13" s="35"/>
      <c r="O13" s="36" t="s">
        <v>202</v>
      </c>
      <c r="P13" s="36" t="s">
        <v>210</v>
      </c>
      <c r="Q13" s="35" t="s">
        <v>196</v>
      </c>
      <c r="R13" s="35"/>
      <c r="S13" s="45" t="str">
        <f>"177,5"</f>
        <v>177,5</v>
      </c>
      <c r="T13" s="46" t="str">
        <f>"250,8835"</f>
        <v>250,8835</v>
      </c>
      <c r="U13" s="34" t="s">
        <v>25</v>
      </c>
    </row>
    <row r="15" spans="1:21" ht="15.6" x14ac:dyDescent="0.3">
      <c r="A15" s="30" t="s">
        <v>175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1" x14ac:dyDescent="0.25">
      <c r="A16" s="27" t="s">
        <v>644</v>
      </c>
      <c r="B16" s="27" t="s">
        <v>645</v>
      </c>
      <c r="C16" s="27" t="s">
        <v>646</v>
      </c>
      <c r="D16" s="27" t="str">
        <f>"0,8640"</f>
        <v>0,8640</v>
      </c>
      <c r="E16" s="27" t="s">
        <v>20</v>
      </c>
      <c r="F16" s="27" t="s">
        <v>21</v>
      </c>
      <c r="G16" s="29" t="s">
        <v>195</v>
      </c>
      <c r="H16" s="28" t="s">
        <v>183</v>
      </c>
      <c r="I16" s="28" t="s">
        <v>183</v>
      </c>
      <c r="J16" s="28"/>
      <c r="K16" s="29" t="s">
        <v>642</v>
      </c>
      <c r="L16" s="29" t="s">
        <v>407</v>
      </c>
      <c r="M16" s="29" t="s">
        <v>633</v>
      </c>
      <c r="N16" s="28"/>
      <c r="O16" s="29" t="s">
        <v>195</v>
      </c>
      <c r="P16" s="29" t="s">
        <v>183</v>
      </c>
      <c r="Q16" s="29" t="s">
        <v>184</v>
      </c>
      <c r="R16" s="28"/>
      <c r="S16" s="40" t="str">
        <f>"222,5"</f>
        <v>222,5</v>
      </c>
      <c r="T16" s="41" t="str">
        <f>"192,2400"</f>
        <v>192,2400</v>
      </c>
      <c r="U16" s="27" t="s">
        <v>25</v>
      </c>
    </row>
    <row r="18" spans="1:21" ht="15.6" x14ac:dyDescent="0.3">
      <c r="A18" s="30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21" x14ac:dyDescent="0.25">
      <c r="A19" s="31" t="s">
        <v>648</v>
      </c>
      <c r="B19" s="31" t="s">
        <v>649</v>
      </c>
      <c r="C19" s="31" t="s">
        <v>650</v>
      </c>
      <c r="D19" s="31" t="str">
        <f>"0,7887"</f>
        <v>0,7887</v>
      </c>
      <c r="E19" s="31" t="s">
        <v>20</v>
      </c>
      <c r="F19" s="31" t="s">
        <v>21</v>
      </c>
      <c r="G19" s="33" t="s">
        <v>203</v>
      </c>
      <c r="H19" s="32" t="s">
        <v>421</v>
      </c>
      <c r="I19" s="33" t="s">
        <v>421</v>
      </c>
      <c r="J19" s="32"/>
      <c r="K19" s="33" t="s">
        <v>624</v>
      </c>
      <c r="L19" s="33" t="s">
        <v>641</v>
      </c>
      <c r="M19" s="33" t="s">
        <v>625</v>
      </c>
      <c r="N19" s="32"/>
      <c r="O19" s="33" t="s">
        <v>202</v>
      </c>
      <c r="P19" s="33" t="s">
        <v>195</v>
      </c>
      <c r="Q19" s="33" t="s">
        <v>183</v>
      </c>
      <c r="R19" s="32"/>
      <c r="S19" s="43" t="str">
        <f>"187,5"</f>
        <v>187,5</v>
      </c>
      <c r="T19" s="44" t="str">
        <f>"147,8812"</f>
        <v>147,8812</v>
      </c>
      <c r="U19" s="31" t="s">
        <v>25</v>
      </c>
    </row>
    <row r="20" spans="1:21" x14ac:dyDescent="0.25">
      <c r="A20" s="53" t="s">
        <v>652</v>
      </c>
      <c r="B20" s="53" t="s">
        <v>653</v>
      </c>
      <c r="C20" s="53" t="s">
        <v>654</v>
      </c>
      <c r="D20" s="53" t="str">
        <f>"0,7798"</f>
        <v>0,7798</v>
      </c>
      <c r="E20" s="53" t="s">
        <v>20</v>
      </c>
      <c r="F20" s="53" t="s">
        <v>21</v>
      </c>
      <c r="G20" s="54" t="s">
        <v>183</v>
      </c>
      <c r="H20" s="54" t="s">
        <v>183</v>
      </c>
      <c r="I20" s="55" t="s">
        <v>183</v>
      </c>
      <c r="J20" s="54"/>
      <c r="K20" s="55" t="s">
        <v>633</v>
      </c>
      <c r="L20" s="55" t="s">
        <v>628</v>
      </c>
      <c r="M20" s="55" t="s">
        <v>655</v>
      </c>
      <c r="N20" s="54"/>
      <c r="O20" s="55" t="s">
        <v>296</v>
      </c>
      <c r="P20" s="55" t="s">
        <v>204</v>
      </c>
      <c r="Q20" s="55" t="s">
        <v>103</v>
      </c>
      <c r="R20" s="54"/>
      <c r="S20" s="56" t="str">
        <f>"267,5"</f>
        <v>267,5</v>
      </c>
      <c r="T20" s="57" t="str">
        <f>"208,5965"</f>
        <v>208,5965</v>
      </c>
      <c r="U20" s="53" t="s">
        <v>25</v>
      </c>
    </row>
    <row r="21" spans="1:21" x14ac:dyDescent="0.25">
      <c r="A21" s="34" t="s">
        <v>657</v>
      </c>
      <c r="B21" s="34" t="s">
        <v>658</v>
      </c>
      <c r="C21" s="34" t="s">
        <v>659</v>
      </c>
      <c r="D21" s="34" t="str">
        <f>"0,7847"</f>
        <v>0,7847</v>
      </c>
      <c r="E21" s="34" t="s">
        <v>20</v>
      </c>
      <c r="F21" s="34" t="s">
        <v>499</v>
      </c>
      <c r="G21" s="35" t="s">
        <v>194</v>
      </c>
      <c r="H21" s="36" t="s">
        <v>210</v>
      </c>
      <c r="I21" s="36" t="s">
        <v>216</v>
      </c>
      <c r="J21" s="35"/>
      <c r="K21" s="36" t="s">
        <v>625</v>
      </c>
      <c r="L21" s="36" t="s">
        <v>660</v>
      </c>
      <c r="M21" s="36" t="s">
        <v>633</v>
      </c>
      <c r="N21" s="35"/>
      <c r="O21" s="36" t="s">
        <v>210</v>
      </c>
      <c r="P21" s="36" t="s">
        <v>196</v>
      </c>
      <c r="Q21" s="36" t="s">
        <v>184</v>
      </c>
      <c r="R21" s="35"/>
      <c r="S21" s="45" t="str">
        <f>"225,0"</f>
        <v>225,0</v>
      </c>
      <c r="T21" s="46" t="str">
        <f>"176,5575"</f>
        <v>176,5575</v>
      </c>
      <c r="U21" s="34" t="s">
        <v>25</v>
      </c>
    </row>
    <row r="23" spans="1:21" ht="15.6" x14ac:dyDescent="0.3">
      <c r="A23" s="30" t="s">
        <v>26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21" x14ac:dyDescent="0.25">
      <c r="A24" s="27" t="s">
        <v>662</v>
      </c>
      <c r="B24" s="27" t="s">
        <v>663</v>
      </c>
      <c r="C24" s="27" t="s">
        <v>664</v>
      </c>
      <c r="D24" s="27" t="str">
        <f>"0,6988"</f>
        <v>0,6988</v>
      </c>
      <c r="E24" s="27" t="s">
        <v>20</v>
      </c>
      <c r="F24" s="27" t="s">
        <v>21</v>
      </c>
      <c r="G24" s="29" t="s">
        <v>202</v>
      </c>
      <c r="H24" s="28" t="s">
        <v>210</v>
      </c>
      <c r="I24" s="29" t="s">
        <v>210</v>
      </c>
      <c r="J24" s="28"/>
      <c r="K24" s="29" t="s">
        <v>642</v>
      </c>
      <c r="L24" s="28" t="s">
        <v>407</v>
      </c>
      <c r="M24" s="29" t="s">
        <v>633</v>
      </c>
      <c r="N24" s="28"/>
      <c r="O24" s="29" t="s">
        <v>194</v>
      </c>
      <c r="P24" s="29" t="s">
        <v>216</v>
      </c>
      <c r="Q24" s="29" t="s">
        <v>183</v>
      </c>
      <c r="R24" s="28"/>
      <c r="S24" s="40" t="str">
        <f>"215,0"</f>
        <v>215,0</v>
      </c>
      <c r="T24" s="41" t="str">
        <f>"150,2420"</f>
        <v>150,2420</v>
      </c>
      <c r="U24" s="27" t="s">
        <v>25</v>
      </c>
    </row>
    <row r="26" spans="1:21" ht="15.6" x14ac:dyDescent="0.3">
      <c r="A26" s="30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31" t="s">
        <v>666</v>
      </c>
      <c r="B27" s="31" t="s">
        <v>667</v>
      </c>
      <c r="C27" s="31" t="s">
        <v>668</v>
      </c>
      <c r="D27" s="31" t="str">
        <f>"0,6209"</f>
        <v>0,6209</v>
      </c>
      <c r="E27" s="31" t="s">
        <v>20</v>
      </c>
      <c r="F27" s="31" t="s">
        <v>21</v>
      </c>
      <c r="G27" s="33" t="s">
        <v>24</v>
      </c>
      <c r="H27" s="33" t="s">
        <v>110</v>
      </c>
      <c r="I27" s="33" t="s">
        <v>347</v>
      </c>
      <c r="J27" s="32"/>
      <c r="K27" s="33" t="s">
        <v>22</v>
      </c>
      <c r="L27" s="33" t="s">
        <v>669</v>
      </c>
      <c r="M27" s="32" t="s">
        <v>181</v>
      </c>
      <c r="N27" s="32"/>
      <c r="O27" s="33" t="s">
        <v>39</v>
      </c>
      <c r="P27" s="32" t="s">
        <v>48</v>
      </c>
      <c r="Q27" s="32" t="s">
        <v>48</v>
      </c>
      <c r="R27" s="32"/>
      <c r="S27" s="43" t="str">
        <f>"562,5"</f>
        <v>562,5</v>
      </c>
      <c r="T27" s="44" t="str">
        <f>"349,2562"</f>
        <v>349,2562</v>
      </c>
      <c r="U27" s="31" t="s">
        <v>25</v>
      </c>
    </row>
    <row r="28" spans="1:21" x14ac:dyDescent="0.25">
      <c r="A28" s="34" t="s">
        <v>327</v>
      </c>
      <c r="B28" s="34" t="s">
        <v>328</v>
      </c>
      <c r="C28" s="34" t="s">
        <v>329</v>
      </c>
      <c r="D28" s="34" t="str">
        <f>"0,6577"</f>
        <v>0,6577</v>
      </c>
      <c r="E28" s="34" t="s">
        <v>20</v>
      </c>
      <c r="F28" s="34" t="s">
        <v>21</v>
      </c>
      <c r="G28" s="36" t="s">
        <v>296</v>
      </c>
      <c r="H28" s="36" t="s">
        <v>204</v>
      </c>
      <c r="I28" s="35"/>
      <c r="J28" s="35"/>
      <c r="K28" s="36" t="s">
        <v>202</v>
      </c>
      <c r="L28" s="36" t="s">
        <v>195</v>
      </c>
      <c r="M28" s="35" t="s">
        <v>183</v>
      </c>
      <c r="N28" s="35"/>
      <c r="O28" s="36" t="s">
        <v>103</v>
      </c>
      <c r="P28" s="36" t="s">
        <v>22</v>
      </c>
      <c r="Q28" s="35"/>
      <c r="R28" s="35"/>
      <c r="S28" s="45" t="str">
        <f>"320,0"</f>
        <v>320,0</v>
      </c>
      <c r="T28" s="46" t="str">
        <f>"427,2419"</f>
        <v>427,2419</v>
      </c>
      <c r="U28" s="34" t="s">
        <v>25</v>
      </c>
    </row>
    <row r="30" spans="1:21" ht="15.6" x14ac:dyDescent="0.3">
      <c r="A30" s="30" t="s">
        <v>42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21" x14ac:dyDescent="0.25">
      <c r="A31" s="27" t="s">
        <v>671</v>
      </c>
      <c r="B31" s="27" t="s">
        <v>672</v>
      </c>
      <c r="C31" s="27" t="s">
        <v>673</v>
      </c>
      <c r="D31" s="27" t="str">
        <f>"0,5986"</f>
        <v>0,5986</v>
      </c>
      <c r="E31" s="27" t="s">
        <v>20</v>
      </c>
      <c r="F31" s="27" t="s">
        <v>674</v>
      </c>
      <c r="G31" s="29" t="s">
        <v>32</v>
      </c>
      <c r="H31" s="28" t="s">
        <v>47</v>
      </c>
      <c r="I31" s="28" t="s">
        <v>117</v>
      </c>
      <c r="J31" s="28"/>
      <c r="K31" s="29" t="s">
        <v>296</v>
      </c>
      <c r="L31" s="29" t="s">
        <v>204</v>
      </c>
      <c r="M31" s="29" t="s">
        <v>103</v>
      </c>
      <c r="N31" s="28"/>
      <c r="O31" s="29" t="s">
        <v>32</v>
      </c>
      <c r="P31" s="29" t="s">
        <v>347</v>
      </c>
      <c r="Q31" s="29" t="s">
        <v>39</v>
      </c>
      <c r="R31" s="28"/>
      <c r="S31" s="40" t="str">
        <f>"515,0"</f>
        <v>515,0</v>
      </c>
      <c r="T31" s="41" t="str">
        <f>"308,2790"</f>
        <v>308,2790</v>
      </c>
      <c r="U31" s="27" t="s">
        <v>25</v>
      </c>
    </row>
    <row r="33" spans="1:21" ht="15.6" x14ac:dyDescent="0.3">
      <c r="A33" s="30" t="s">
        <v>50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31" t="s">
        <v>676</v>
      </c>
      <c r="B34" s="31" t="s">
        <v>677</v>
      </c>
      <c r="C34" s="31" t="s">
        <v>54</v>
      </c>
      <c r="D34" s="31" t="str">
        <f>"0,5697"</f>
        <v>0,5697</v>
      </c>
      <c r="E34" s="31" t="s">
        <v>20</v>
      </c>
      <c r="F34" s="31" t="s">
        <v>21</v>
      </c>
      <c r="G34" s="33" t="s">
        <v>180</v>
      </c>
      <c r="H34" s="33" t="s">
        <v>23</v>
      </c>
      <c r="I34" s="33" t="s">
        <v>31</v>
      </c>
      <c r="J34" s="32"/>
      <c r="K34" s="33" t="s">
        <v>184</v>
      </c>
      <c r="L34" s="33" t="s">
        <v>296</v>
      </c>
      <c r="M34" s="32" t="s">
        <v>221</v>
      </c>
      <c r="N34" s="32"/>
      <c r="O34" s="33" t="s">
        <v>31</v>
      </c>
      <c r="P34" s="32" t="s">
        <v>130</v>
      </c>
      <c r="Q34" s="32" t="s">
        <v>678</v>
      </c>
      <c r="R34" s="32"/>
      <c r="S34" s="43" t="str">
        <f>"420,0"</f>
        <v>420,0</v>
      </c>
      <c r="T34" s="44" t="str">
        <f>"239,2740"</f>
        <v>239,2740</v>
      </c>
      <c r="U34" s="31" t="s">
        <v>25</v>
      </c>
    </row>
    <row r="35" spans="1:21" x14ac:dyDescent="0.25">
      <c r="A35" s="34" t="s">
        <v>679</v>
      </c>
      <c r="B35" s="34" t="s">
        <v>680</v>
      </c>
      <c r="C35" s="34" t="s">
        <v>681</v>
      </c>
      <c r="D35" s="34" t="str">
        <f>"0,5740"</f>
        <v>0,5740</v>
      </c>
      <c r="E35" s="34" t="s">
        <v>20</v>
      </c>
      <c r="F35" s="34" t="s">
        <v>21</v>
      </c>
      <c r="G35" s="35" t="s">
        <v>180</v>
      </c>
      <c r="H35" s="36" t="s">
        <v>181</v>
      </c>
      <c r="I35" s="36" t="s">
        <v>23</v>
      </c>
      <c r="J35" s="35"/>
      <c r="K35" s="35" t="s">
        <v>184</v>
      </c>
      <c r="L35" s="35" t="s">
        <v>296</v>
      </c>
      <c r="M35" s="35" t="s">
        <v>296</v>
      </c>
      <c r="N35" s="35"/>
      <c r="O35" s="35" t="s">
        <v>180</v>
      </c>
      <c r="P35" s="35"/>
      <c r="Q35" s="35"/>
      <c r="R35" s="35"/>
      <c r="S35" s="45" t="str">
        <f>"0.00"</f>
        <v>0.00</v>
      </c>
      <c r="T35" s="46" t="str">
        <f>"0,0000"</f>
        <v>0,0000</v>
      </c>
      <c r="U35" s="34" t="s">
        <v>25</v>
      </c>
    </row>
    <row r="37" spans="1:21" ht="15" x14ac:dyDescent="0.25">
      <c r="E37" s="37" t="s">
        <v>57</v>
      </c>
    </row>
    <row r="38" spans="1:21" ht="15" x14ac:dyDescent="0.25">
      <c r="E38" s="37" t="s">
        <v>58</v>
      </c>
    </row>
    <row r="39" spans="1:21" ht="15" x14ac:dyDescent="0.25">
      <c r="E39" s="37" t="s">
        <v>59</v>
      </c>
    </row>
    <row r="40" spans="1:21" ht="15" x14ac:dyDescent="0.25">
      <c r="E40" s="37" t="s">
        <v>60</v>
      </c>
    </row>
    <row r="41" spans="1:21" ht="15" x14ac:dyDescent="0.25">
      <c r="E41" s="37" t="s">
        <v>60</v>
      </c>
    </row>
    <row r="42" spans="1:21" ht="15" x14ac:dyDescent="0.25">
      <c r="E42" s="37" t="s">
        <v>61</v>
      </c>
    </row>
    <row r="43" spans="1:21" ht="15" x14ac:dyDescent="0.25">
      <c r="E43" s="37"/>
    </row>
    <row r="45" spans="1:21" ht="17.399999999999999" x14ac:dyDescent="0.3">
      <c r="A45" s="47" t="s">
        <v>62</v>
      </c>
      <c r="B45" s="47"/>
    </row>
    <row r="46" spans="1:21" ht="15.6" x14ac:dyDescent="0.3">
      <c r="A46" s="48" t="s">
        <v>248</v>
      </c>
      <c r="B46" s="48"/>
    </row>
    <row r="47" spans="1:21" ht="14.4" x14ac:dyDescent="0.3">
      <c r="A47" s="50"/>
      <c r="B47" s="51" t="s">
        <v>549</v>
      </c>
    </row>
    <row r="48" spans="1:21" ht="13.8" x14ac:dyDescent="0.25">
      <c r="A48" s="52" t="s">
        <v>65</v>
      </c>
      <c r="B48" s="52" t="s">
        <v>66</v>
      </c>
      <c r="C48" s="52" t="s">
        <v>67</v>
      </c>
      <c r="D48" s="52" t="s">
        <v>68</v>
      </c>
      <c r="E48" s="52" t="s">
        <v>70</v>
      </c>
    </row>
    <row r="49" spans="1:5" x14ac:dyDescent="0.25">
      <c r="A49" s="49" t="s">
        <v>619</v>
      </c>
      <c r="B49" s="4" t="s">
        <v>550</v>
      </c>
      <c r="C49" s="4" t="s">
        <v>682</v>
      </c>
      <c r="D49" s="4" t="s">
        <v>446</v>
      </c>
      <c r="E49" s="39" t="s">
        <v>683</v>
      </c>
    </row>
    <row r="51" spans="1:5" ht="14.4" x14ac:dyDescent="0.3">
      <c r="A51" s="50"/>
      <c r="B51" s="51" t="s">
        <v>368</v>
      </c>
    </row>
    <row r="52" spans="1:5" ht="13.8" x14ac:dyDescent="0.25">
      <c r="A52" s="52" t="s">
        <v>65</v>
      </c>
      <c r="B52" s="52" t="s">
        <v>66</v>
      </c>
      <c r="C52" s="52" t="s">
        <v>67</v>
      </c>
      <c r="D52" s="52" t="s">
        <v>68</v>
      </c>
      <c r="E52" s="52" t="s">
        <v>70</v>
      </c>
    </row>
    <row r="53" spans="1:5" x14ac:dyDescent="0.25">
      <c r="A53" s="49" t="s">
        <v>661</v>
      </c>
      <c r="B53" s="4" t="s">
        <v>252</v>
      </c>
      <c r="C53" s="4" t="s">
        <v>79</v>
      </c>
      <c r="D53" s="4" t="s">
        <v>39</v>
      </c>
      <c r="E53" s="39" t="s">
        <v>684</v>
      </c>
    </row>
    <row r="54" spans="1:5" x14ac:dyDescent="0.25">
      <c r="A54" s="49" t="s">
        <v>647</v>
      </c>
      <c r="B54" s="4" t="s">
        <v>252</v>
      </c>
      <c r="C54" s="4" t="s">
        <v>74</v>
      </c>
      <c r="D54" s="4" t="s">
        <v>685</v>
      </c>
      <c r="E54" s="39" t="s">
        <v>686</v>
      </c>
    </row>
    <row r="56" spans="1:5" ht="14.4" x14ac:dyDescent="0.3">
      <c r="A56" s="50"/>
      <c r="B56" s="51" t="s">
        <v>687</v>
      </c>
    </row>
    <row r="57" spans="1:5" ht="13.8" x14ac:dyDescent="0.25">
      <c r="A57" s="52" t="s">
        <v>65</v>
      </c>
      <c r="B57" s="52" t="s">
        <v>66</v>
      </c>
      <c r="C57" s="52" t="s">
        <v>67</v>
      </c>
      <c r="D57" s="52" t="s">
        <v>68</v>
      </c>
      <c r="E57" s="52" t="s">
        <v>70</v>
      </c>
    </row>
    <row r="58" spans="1:5" x14ac:dyDescent="0.25">
      <c r="A58" s="49" t="s">
        <v>643</v>
      </c>
      <c r="B58" s="4" t="s">
        <v>262</v>
      </c>
      <c r="C58" s="4" t="s">
        <v>249</v>
      </c>
      <c r="D58" s="4" t="s">
        <v>338</v>
      </c>
      <c r="E58" s="39" t="s">
        <v>688</v>
      </c>
    </row>
    <row r="60" spans="1:5" ht="14.4" x14ac:dyDescent="0.3">
      <c r="A60" s="50"/>
      <c r="B60" s="51" t="s">
        <v>76</v>
      </c>
    </row>
    <row r="61" spans="1:5" ht="13.8" x14ac:dyDescent="0.25">
      <c r="A61" s="52" t="s">
        <v>65</v>
      </c>
      <c r="B61" s="52" t="s">
        <v>66</v>
      </c>
      <c r="C61" s="52" t="s">
        <v>67</v>
      </c>
      <c r="D61" s="52" t="s">
        <v>68</v>
      </c>
      <c r="E61" s="52" t="s">
        <v>70</v>
      </c>
    </row>
    <row r="62" spans="1:5" x14ac:dyDescent="0.25">
      <c r="A62" s="49" t="s">
        <v>651</v>
      </c>
      <c r="B62" s="4" t="s">
        <v>76</v>
      </c>
      <c r="C62" s="4" t="s">
        <v>74</v>
      </c>
      <c r="D62" s="4" t="s">
        <v>599</v>
      </c>
      <c r="E62" s="39" t="s">
        <v>689</v>
      </c>
    </row>
    <row r="63" spans="1:5" x14ac:dyDescent="0.25">
      <c r="A63" s="49" t="s">
        <v>656</v>
      </c>
      <c r="B63" s="4" t="s">
        <v>76</v>
      </c>
      <c r="C63" s="4" t="s">
        <v>74</v>
      </c>
      <c r="D63" s="4" t="s">
        <v>40</v>
      </c>
      <c r="E63" s="39" t="s">
        <v>690</v>
      </c>
    </row>
    <row r="65" spans="1:5" ht="14.4" x14ac:dyDescent="0.3">
      <c r="A65" s="50"/>
      <c r="B65" s="51" t="s">
        <v>81</v>
      </c>
    </row>
    <row r="66" spans="1:5" ht="13.8" x14ac:dyDescent="0.25">
      <c r="A66" s="52" t="s">
        <v>65</v>
      </c>
      <c r="B66" s="52" t="s">
        <v>66</v>
      </c>
      <c r="C66" s="52" t="s">
        <v>67</v>
      </c>
      <c r="D66" s="52" t="s">
        <v>68</v>
      </c>
      <c r="E66" s="52" t="s">
        <v>70</v>
      </c>
    </row>
    <row r="67" spans="1:5" x14ac:dyDescent="0.25">
      <c r="A67" s="49" t="s">
        <v>637</v>
      </c>
      <c r="B67" s="4" t="s">
        <v>275</v>
      </c>
      <c r="C67" s="4" t="s">
        <v>370</v>
      </c>
      <c r="D67" s="4" t="s">
        <v>691</v>
      </c>
      <c r="E67" s="39" t="s">
        <v>692</v>
      </c>
    </row>
    <row r="68" spans="1:5" x14ac:dyDescent="0.25">
      <c r="A68" s="49" t="s">
        <v>629</v>
      </c>
      <c r="B68" s="4" t="s">
        <v>82</v>
      </c>
      <c r="C68" s="4" t="s">
        <v>552</v>
      </c>
      <c r="D68" s="4" t="s">
        <v>39</v>
      </c>
      <c r="E68" s="39" t="s">
        <v>693</v>
      </c>
    </row>
    <row r="71" spans="1:5" ht="15.6" x14ac:dyDescent="0.3">
      <c r="A71" s="48" t="s">
        <v>63</v>
      </c>
      <c r="B71" s="48"/>
    </row>
    <row r="72" spans="1:5" ht="14.4" x14ac:dyDescent="0.3">
      <c r="A72" s="50"/>
      <c r="B72" s="51" t="s">
        <v>64</v>
      </c>
    </row>
    <row r="73" spans="1:5" ht="13.8" x14ac:dyDescent="0.25">
      <c r="A73" s="52" t="s">
        <v>65</v>
      </c>
      <c r="B73" s="52" t="s">
        <v>66</v>
      </c>
      <c r="C73" s="52" t="s">
        <v>67</v>
      </c>
      <c r="D73" s="52" t="s">
        <v>68</v>
      </c>
      <c r="E73" s="52" t="s">
        <v>70</v>
      </c>
    </row>
    <row r="74" spans="1:5" x14ac:dyDescent="0.25">
      <c r="A74" s="49" t="s">
        <v>675</v>
      </c>
      <c r="B74" s="4" t="s">
        <v>560</v>
      </c>
      <c r="C74" s="4" t="s">
        <v>77</v>
      </c>
      <c r="D74" s="4" t="s">
        <v>271</v>
      </c>
      <c r="E74" s="39" t="s">
        <v>694</v>
      </c>
    </row>
    <row r="76" spans="1:5" ht="14.4" x14ac:dyDescent="0.3">
      <c r="A76" s="50"/>
      <c r="B76" s="51" t="s">
        <v>76</v>
      </c>
    </row>
    <row r="77" spans="1:5" ht="13.8" x14ac:dyDescent="0.25">
      <c r="A77" s="52" t="s">
        <v>65</v>
      </c>
      <c r="B77" s="52" t="s">
        <v>66</v>
      </c>
      <c r="C77" s="52" t="s">
        <v>67</v>
      </c>
      <c r="D77" s="52" t="s">
        <v>68</v>
      </c>
      <c r="E77" s="52" t="s">
        <v>70</v>
      </c>
    </row>
    <row r="78" spans="1:5" x14ac:dyDescent="0.25">
      <c r="A78" s="49" t="s">
        <v>665</v>
      </c>
      <c r="B78" s="4" t="s">
        <v>76</v>
      </c>
      <c r="C78" s="4" t="s">
        <v>79</v>
      </c>
      <c r="D78" s="4" t="s">
        <v>695</v>
      </c>
      <c r="E78" s="39" t="s">
        <v>696</v>
      </c>
    </row>
    <row r="79" spans="1:5" x14ac:dyDescent="0.25">
      <c r="A79" s="49" t="s">
        <v>670</v>
      </c>
      <c r="B79" s="4" t="s">
        <v>76</v>
      </c>
      <c r="C79" s="4" t="s">
        <v>72</v>
      </c>
      <c r="D79" s="4" t="s">
        <v>697</v>
      </c>
      <c r="E79" s="39" t="s">
        <v>698</v>
      </c>
    </row>
    <row r="81" spans="1:5" ht="14.4" x14ac:dyDescent="0.3">
      <c r="A81" s="50"/>
      <c r="B81" s="51" t="s">
        <v>81</v>
      </c>
    </row>
    <row r="82" spans="1:5" ht="13.8" x14ac:dyDescent="0.25">
      <c r="A82" s="52" t="s">
        <v>65</v>
      </c>
      <c r="B82" s="52" t="s">
        <v>66</v>
      </c>
      <c r="C82" s="52" t="s">
        <v>67</v>
      </c>
      <c r="D82" s="52" t="s">
        <v>68</v>
      </c>
      <c r="E82" s="52" t="s">
        <v>70</v>
      </c>
    </row>
    <row r="83" spans="1:5" x14ac:dyDescent="0.25">
      <c r="A83" s="49" t="s">
        <v>326</v>
      </c>
      <c r="B83" s="4" t="s">
        <v>388</v>
      </c>
      <c r="C83" s="4" t="s">
        <v>79</v>
      </c>
      <c r="D83" s="4" t="s">
        <v>243</v>
      </c>
      <c r="E83" s="39" t="s">
        <v>699</v>
      </c>
    </row>
  </sheetData>
  <mergeCells count="22">
    <mergeCell ref="A30:R30"/>
    <mergeCell ref="A33:R33"/>
    <mergeCell ref="A8:R8"/>
    <mergeCell ref="A11:R11"/>
    <mergeCell ref="A15:R15"/>
    <mergeCell ref="A18:R18"/>
    <mergeCell ref="A23:R23"/>
    <mergeCell ref="A26:R26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6A67-AEBE-4EEF-A810-57B9927314EA}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39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616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37" t="s">
        <v>57</v>
      </c>
    </row>
    <row r="7" spans="1:13" ht="15" x14ac:dyDescent="0.25">
      <c r="E7" s="37" t="s">
        <v>58</v>
      </c>
    </row>
    <row r="8" spans="1:13" ht="15" x14ac:dyDescent="0.25">
      <c r="E8" s="37" t="s">
        <v>59</v>
      </c>
    </row>
    <row r="9" spans="1:13" ht="15" x14ac:dyDescent="0.25">
      <c r="E9" s="37" t="s">
        <v>60</v>
      </c>
    </row>
    <row r="10" spans="1:13" ht="15" x14ac:dyDescent="0.25">
      <c r="E10" s="37" t="s">
        <v>60</v>
      </c>
    </row>
    <row r="11" spans="1:13" ht="15" x14ac:dyDescent="0.25">
      <c r="E11" s="37" t="s">
        <v>61</v>
      </c>
    </row>
    <row r="12" spans="1:13" ht="15" x14ac:dyDescent="0.25">
      <c r="E12" s="37"/>
    </row>
    <row r="14" spans="1:13" ht="17.399999999999999" x14ac:dyDescent="0.3">
      <c r="A14" s="47" t="s">
        <v>62</v>
      </c>
      <c r="B14" s="47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E9CE-A29A-4648-8513-AC7F8A0DBD1A}">
  <dimension ref="A1:M5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592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88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287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27" t="s">
        <v>289</v>
      </c>
      <c r="B6" s="27" t="s">
        <v>290</v>
      </c>
      <c r="C6" s="27" t="s">
        <v>291</v>
      </c>
      <c r="D6" s="27" t="str">
        <f>"0,9319"</f>
        <v>0,9319</v>
      </c>
      <c r="E6" s="27" t="s">
        <v>20</v>
      </c>
      <c r="F6" s="27" t="s">
        <v>123</v>
      </c>
      <c r="G6" s="29" t="s">
        <v>196</v>
      </c>
      <c r="H6" s="28" t="s">
        <v>183</v>
      </c>
      <c r="I6" s="28" t="s">
        <v>296</v>
      </c>
      <c r="J6" s="28"/>
      <c r="K6" s="40" t="str">
        <f>"85,0"</f>
        <v>85,0</v>
      </c>
      <c r="L6" s="41" t="str">
        <f>"79,2115"</f>
        <v>79,2115</v>
      </c>
      <c r="M6" s="27" t="s">
        <v>25</v>
      </c>
    </row>
    <row r="8" spans="1:13" ht="15.6" x14ac:dyDescent="0.3">
      <c r="A8" s="30" t="s">
        <v>89</v>
      </c>
      <c r="B8" s="42"/>
      <c r="C8" s="42"/>
      <c r="D8" s="42"/>
      <c r="E8" s="42"/>
      <c r="F8" s="42"/>
      <c r="G8" s="42"/>
      <c r="H8" s="42"/>
      <c r="I8" s="42"/>
      <c r="J8" s="42"/>
    </row>
    <row r="9" spans="1:13" x14ac:dyDescent="0.25">
      <c r="A9" s="27" t="s">
        <v>305</v>
      </c>
      <c r="B9" s="27" t="s">
        <v>306</v>
      </c>
      <c r="C9" s="27" t="s">
        <v>307</v>
      </c>
      <c r="D9" s="27" t="str">
        <f>"0,7351"</f>
        <v>0,7351</v>
      </c>
      <c r="E9" s="27" t="s">
        <v>20</v>
      </c>
      <c r="F9" s="27" t="s">
        <v>123</v>
      </c>
      <c r="G9" s="29" t="s">
        <v>204</v>
      </c>
      <c r="H9" s="28" t="s">
        <v>103</v>
      </c>
      <c r="I9" s="28" t="s">
        <v>103</v>
      </c>
      <c r="J9" s="28"/>
      <c r="K9" s="40" t="str">
        <f>"110,0"</f>
        <v>110,0</v>
      </c>
      <c r="L9" s="41" t="str">
        <f>"80,8610"</f>
        <v>80,8610</v>
      </c>
      <c r="M9" s="27" t="s">
        <v>25</v>
      </c>
    </row>
    <row r="11" spans="1:13" ht="15.6" x14ac:dyDescent="0.3">
      <c r="A11" s="30" t="s">
        <v>26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 x14ac:dyDescent="0.25">
      <c r="A12" s="27" t="s">
        <v>324</v>
      </c>
      <c r="B12" s="27" t="s">
        <v>325</v>
      </c>
      <c r="C12" s="27" t="s">
        <v>318</v>
      </c>
      <c r="D12" s="27" t="str">
        <f>"0,6224"</f>
        <v>0,6224</v>
      </c>
      <c r="E12" s="27" t="s">
        <v>20</v>
      </c>
      <c r="F12" s="27" t="s">
        <v>21</v>
      </c>
      <c r="G12" s="29" t="s">
        <v>593</v>
      </c>
      <c r="H12" s="29" t="s">
        <v>594</v>
      </c>
      <c r="I12" s="29" t="s">
        <v>338</v>
      </c>
      <c r="J12" s="28"/>
      <c r="K12" s="40" t="str">
        <f>"222,5"</f>
        <v>222,5</v>
      </c>
      <c r="L12" s="41" t="str">
        <f>"139,7304"</f>
        <v>139,7304</v>
      </c>
      <c r="M12" s="27" t="s">
        <v>25</v>
      </c>
    </row>
    <row r="14" spans="1:13" ht="15.6" x14ac:dyDescent="0.3">
      <c r="A14" s="30" t="s">
        <v>50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3" x14ac:dyDescent="0.25">
      <c r="A15" s="27" t="s">
        <v>596</v>
      </c>
      <c r="B15" s="27" t="s">
        <v>597</v>
      </c>
      <c r="C15" s="27" t="s">
        <v>598</v>
      </c>
      <c r="D15" s="27" t="str">
        <f>"0,5666"</f>
        <v>0,5666</v>
      </c>
      <c r="E15" s="27" t="s">
        <v>20</v>
      </c>
      <c r="F15" s="27" t="s">
        <v>21</v>
      </c>
      <c r="G15" s="29" t="s">
        <v>117</v>
      </c>
      <c r="H15" s="28" t="s">
        <v>599</v>
      </c>
      <c r="I15" s="28" t="s">
        <v>599</v>
      </c>
      <c r="J15" s="28"/>
      <c r="K15" s="40" t="str">
        <f>"235,0"</f>
        <v>235,0</v>
      </c>
      <c r="L15" s="41" t="str">
        <f>"133,1510"</f>
        <v>133,1510</v>
      </c>
      <c r="M15" s="27" t="s">
        <v>25</v>
      </c>
    </row>
    <row r="17" spans="1:13" ht="15.6" x14ac:dyDescent="0.3">
      <c r="A17" s="30" t="s">
        <v>137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3" x14ac:dyDescent="0.25">
      <c r="A18" s="31" t="s">
        <v>601</v>
      </c>
      <c r="B18" s="31" t="s">
        <v>602</v>
      </c>
      <c r="C18" s="31" t="s">
        <v>603</v>
      </c>
      <c r="D18" s="31" t="str">
        <f>"0,5366"</f>
        <v>0,5366</v>
      </c>
      <c r="E18" s="31" t="s">
        <v>20</v>
      </c>
      <c r="F18" s="31" t="s">
        <v>21</v>
      </c>
      <c r="G18" s="33" t="s">
        <v>259</v>
      </c>
      <c r="H18" s="33" t="s">
        <v>168</v>
      </c>
      <c r="I18" s="32" t="s">
        <v>241</v>
      </c>
      <c r="J18" s="32"/>
      <c r="K18" s="43" t="str">
        <f>"280,0"</f>
        <v>280,0</v>
      </c>
      <c r="L18" s="44" t="str">
        <f>"150,2480"</f>
        <v>150,2480</v>
      </c>
      <c r="M18" s="31" t="s">
        <v>25</v>
      </c>
    </row>
    <row r="19" spans="1:13" x14ac:dyDescent="0.25">
      <c r="A19" s="34" t="s">
        <v>605</v>
      </c>
      <c r="B19" s="34" t="s">
        <v>606</v>
      </c>
      <c r="C19" s="34" t="s">
        <v>607</v>
      </c>
      <c r="D19" s="34" t="str">
        <f>"0,5370"</f>
        <v>0,5370</v>
      </c>
      <c r="E19" s="34" t="s">
        <v>20</v>
      </c>
      <c r="F19" s="34" t="s">
        <v>356</v>
      </c>
      <c r="G19" s="36" t="s">
        <v>124</v>
      </c>
      <c r="H19" s="35" t="s">
        <v>347</v>
      </c>
      <c r="I19" s="36" t="s">
        <v>39</v>
      </c>
      <c r="J19" s="35"/>
      <c r="K19" s="45" t="str">
        <f>"215,0"</f>
        <v>215,0</v>
      </c>
      <c r="L19" s="46" t="str">
        <f>"139,0078"</f>
        <v>139,0078</v>
      </c>
      <c r="M19" s="34" t="s">
        <v>25</v>
      </c>
    </row>
    <row r="21" spans="1:13" ht="15.6" x14ac:dyDescent="0.3">
      <c r="A21" s="30" t="s">
        <v>362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3" x14ac:dyDescent="0.25">
      <c r="A22" s="27" t="s">
        <v>364</v>
      </c>
      <c r="B22" s="27" t="s">
        <v>365</v>
      </c>
      <c r="C22" s="27" t="s">
        <v>366</v>
      </c>
      <c r="D22" s="27" t="str">
        <f>"0,5070"</f>
        <v>0,5070</v>
      </c>
      <c r="E22" s="27" t="s">
        <v>20</v>
      </c>
      <c r="F22" s="27" t="s">
        <v>21</v>
      </c>
      <c r="G22" s="29" t="s">
        <v>608</v>
      </c>
      <c r="H22" s="28" t="s">
        <v>259</v>
      </c>
      <c r="I22" s="29" t="s">
        <v>259</v>
      </c>
      <c r="J22" s="28"/>
      <c r="K22" s="40" t="str">
        <f>"260,0"</f>
        <v>260,0</v>
      </c>
      <c r="L22" s="41" t="str">
        <f>"131,8200"</f>
        <v>131,8200</v>
      </c>
      <c r="M22" s="27" t="s">
        <v>25</v>
      </c>
    </row>
    <row r="24" spans="1:13" ht="15" x14ac:dyDescent="0.25">
      <c r="E24" s="37" t="s">
        <v>57</v>
      </c>
    </row>
    <row r="25" spans="1:13" ht="15" x14ac:dyDescent="0.25">
      <c r="E25" s="37" t="s">
        <v>58</v>
      </c>
    </row>
    <row r="26" spans="1:13" ht="15" x14ac:dyDescent="0.25">
      <c r="E26" s="37" t="s">
        <v>59</v>
      </c>
    </row>
    <row r="27" spans="1:13" ht="15" x14ac:dyDescent="0.25">
      <c r="E27" s="37" t="s">
        <v>60</v>
      </c>
    </row>
    <row r="28" spans="1:13" ht="15" x14ac:dyDescent="0.25">
      <c r="E28" s="37" t="s">
        <v>60</v>
      </c>
    </row>
    <row r="29" spans="1:13" ht="15" x14ac:dyDescent="0.25">
      <c r="E29" s="37" t="s">
        <v>61</v>
      </c>
    </row>
    <row r="30" spans="1:13" ht="15" x14ac:dyDescent="0.25">
      <c r="E30" s="37"/>
    </row>
    <row r="32" spans="1:13" ht="17.399999999999999" x14ac:dyDescent="0.3">
      <c r="A32" s="47" t="s">
        <v>62</v>
      </c>
      <c r="B32" s="47"/>
    </row>
    <row r="33" spans="1:5" ht="15.6" x14ac:dyDescent="0.3">
      <c r="A33" s="48" t="s">
        <v>248</v>
      </c>
      <c r="B33" s="48"/>
    </row>
    <row r="34" spans="1:5" ht="14.4" x14ac:dyDescent="0.3">
      <c r="A34" s="50"/>
      <c r="B34" s="51" t="s">
        <v>76</v>
      </c>
    </row>
    <row r="35" spans="1:5" ht="13.8" x14ac:dyDescent="0.25">
      <c r="A35" s="52" t="s">
        <v>65</v>
      </c>
      <c r="B35" s="52" t="s">
        <v>66</v>
      </c>
      <c r="C35" s="52" t="s">
        <v>67</v>
      </c>
      <c r="D35" s="52" t="s">
        <v>69</v>
      </c>
      <c r="E35" s="52" t="s">
        <v>70</v>
      </c>
    </row>
    <row r="36" spans="1:5" x14ac:dyDescent="0.25">
      <c r="A36" s="49" t="s">
        <v>304</v>
      </c>
      <c r="B36" s="4" t="s">
        <v>76</v>
      </c>
      <c r="C36" s="4" t="s">
        <v>150</v>
      </c>
      <c r="D36" s="4" t="s">
        <v>204</v>
      </c>
      <c r="E36" s="39" t="s">
        <v>609</v>
      </c>
    </row>
    <row r="37" spans="1:5" x14ac:dyDescent="0.25">
      <c r="A37" s="49" t="s">
        <v>288</v>
      </c>
      <c r="B37" s="4" t="s">
        <v>76</v>
      </c>
      <c r="C37" s="4" t="s">
        <v>370</v>
      </c>
      <c r="D37" s="4" t="s">
        <v>196</v>
      </c>
      <c r="E37" s="39" t="s">
        <v>610</v>
      </c>
    </row>
    <row r="40" spans="1:5" ht="15.6" x14ac:dyDescent="0.3">
      <c r="A40" s="48" t="s">
        <v>63</v>
      </c>
      <c r="B40" s="48"/>
    </row>
    <row r="41" spans="1:5" ht="14.4" x14ac:dyDescent="0.3">
      <c r="A41" s="50"/>
      <c r="B41" s="51" t="s">
        <v>261</v>
      </c>
    </row>
    <row r="42" spans="1:5" ht="13.8" x14ac:dyDescent="0.25">
      <c r="A42" s="52" t="s">
        <v>65</v>
      </c>
      <c r="B42" s="52" t="s">
        <v>66</v>
      </c>
      <c r="C42" s="52" t="s">
        <v>67</v>
      </c>
      <c r="D42" s="52" t="s">
        <v>69</v>
      </c>
      <c r="E42" s="52" t="s">
        <v>70</v>
      </c>
    </row>
    <row r="43" spans="1:5" x14ac:dyDescent="0.25">
      <c r="A43" s="49" t="s">
        <v>363</v>
      </c>
      <c r="B43" s="4" t="s">
        <v>262</v>
      </c>
      <c r="C43" s="4" t="s">
        <v>376</v>
      </c>
      <c r="D43" s="4" t="s">
        <v>259</v>
      </c>
      <c r="E43" s="39" t="s">
        <v>611</v>
      </c>
    </row>
    <row r="45" spans="1:5" ht="14.4" x14ac:dyDescent="0.3">
      <c r="A45" s="50"/>
      <c r="B45" s="51" t="s">
        <v>76</v>
      </c>
    </row>
    <row r="46" spans="1:5" ht="13.8" x14ac:dyDescent="0.25">
      <c r="A46" s="52" t="s">
        <v>65</v>
      </c>
      <c r="B46" s="52" t="s">
        <v>66</v>
      </c>
      <c r="C46" s="52" t="s">
        <v>67</v>
      </c>
      <c r="D46" s="52" t="s">
        <v>69</v>
      </c>
      <c r="E46" s="52" t="s">
        <v>70</v>
      </c>
    </row>
    <row r="47" spans="1:5" x14ac:dyDescent="0.25">
      <c r="A47" s="49" t="s">
        <v>600</v>
      </c>
      <c r="B47" s="4" t="s">
        <v>76</v>
      </c>
      <c r="C47" s="4" t="s">
        <v>155</v>
      </c>
      <c r="D47" s="4" t="s">
        <v>168</v>
      </c>
      <c r="E47" s="39" t="s">
        <v>612</v>
      </c>
    </row>
    <row r="48" spans="1:5" x14ac:dyDescent="0.25">
      <c r="A48" s="49" t="s">
        <v>595</v>
      </c>
      <c r="B48" s="4" t="s">
        <v>76</v>
      </c>
      <c r="C48" s="4" t="s">
        <v>77</v>
      </c>
      <c r="D48" s="4" t="s">
        <v>117</v>
      </c>
      <c r="E48" s="39" t="s">
        <v>613</v>
      </c>
    </row>
    <row r="50" spans="1:5" ht="14.4" x14ac:dyDescent="0.3">
      <c r="A50" s="50"/>
      <c r="B50" s="51" t="s">
        <v>81</v>
      </c>
    </row>
    <row r="51" spans="1:5" ht="13.8" x14ac:dyDescent="0.25">
      <c r="A51" s="52" t="s">
        <v>65</v>
      </c>
      <c r="B51" s="52" t="s">
        <v>66</v>
      </c>
      <c r="C51" s="52" t="s">
        <v>67</v>
      </c>
      <c r="D51" s="52" t="s">
        <v>69</v>
      </c>
      <c r="E51" s="52" t="s">
        <v>70</v>
      </c>
    </row>
    <row r="52" spans="1:5" x14ac:dyDescent="0.25">
      <c r="A52" s="49" t="s">
        <v>323</v>
      </c>
      <c r="B52" s="4" t="s">
        <v>82</v>
      </c>
      <c r="C52" s="4" t="s">
        <v>79</v>
      </c>
      <c r="D52" s="4" t="s">
        <v>338</v>
      </c>
      <c r="E52" s="39" t="s">
        <v>614</v>
      </c>
    </row>
    <row r="53" spans="1:5" x14ac:dyDescent="0.25">
      <c r="A53" s="49" t="s">
        <v>604</v>
      </c>
      <c r="B53" s="4" t="s">
        <v>582</v>
      </c>
      <c r="C53" s="4" t="s">
        <v>155</v>
      </c>
      <c r="D53" s="4" t="s">
        <v>39</v>
      </c>
      <c r="E53" s="39" t="s">
        <v>615</v>
      </c>
    </row>
  </sheetData>
  <mergeCells count="17">
    <mergeCell ref="A8:J8"/>
    <mergeCell ref="A11:J11"/>
    <mergeCell ref="A14:J14"/>
    <mergeCell ref="A17:J17"/>
    <mergeCell ref="A21:J2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7317-DEB3-43CC-A80F-1CEEEED052CC}">
  <dimension ref="A1:M136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2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88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396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31" t="s">
        <v>398</v>
      </c>
      <c r="B6" s="31" t="s">
        <v>399</v>
      </c>
      <c r="C6" s="31" t="s">
        <v>400</v>
      </c>
      <c r="D6" s="31" t="str">
        <f>"0,9778"</f>
        <v>0,9778</v>
      </c>
      <c r="E6" s="31" t="s">
        <v>20</v>
      </c>
      <c r="F6" s="31" t="s">
        <v>21</v>
      </c>
      <c r="G6" s="32" t="s">
        <v>401</v>
      </c>
      <c r="H6" s="33" t="s">
        <v>401</v>
      </c>
      <c r="I6" s="32" t="s">
        <v>402</v>
      </c>
      <c r="J6" s="32"/>
      <c r="K6" s="43" t="str">
        <f>"62,5"</f>
        <v>62,5</v>
      </c>
      <c r="L6" s="44" t="str">
        <f>"61,1125"</f>
        <v>61,1125</v>
      </c>
      <c r="M6" s="31" t="s">
        <v>25</v>
      </c>
    </row>
    <row r="7" spans="1:13" x14ac:dyDescent="0.25">
      <c r="A7" s="34" t="s">
        <v>404</v>
      </c>
      <c r="B7" s="34" t="s">
        <v>405</v>
      </c>
      <c r="C7" s="34" t="s">
        <v>406</v>
      </c>
      <c r="D7" s="34" t="str">
        <f>"0,9935"</f>
        <v>0,9935</v>
      </c>
      <c r="E7" s="34" t="s">
        <v>20</v>
      </c>
      <c r="F7" s="34" t="s">
        <v>21</v>
      </c>
      <c r="G7" s="35" t="s">
        <v>407</v>
      </c>
      <c r="H7" s="35" t="s">
        <v>408</v>
      </c>
      <c r="I7" s="36" t="s">
        <v>408</v>
      </c>
      <c r="J7" s="35"/>
      <c r="K7" s="45" t="str">
        <f>"50,0"</f>
        <v>50,0</v>
      </c>
      <c r="L7" s="46" t="str">
        <f>"49,6750"</f>
        <v>49,6750</v>
      </c>
      <c r="M7" s="34" t="s">
        <v>25</v>
      </c>
    </row>
    <row r="9" spans="1:13" ht="15.6" x14ac:dyDescent="0.3">
      <c r="A9" s="30" t="s">
        <v>175</v>
      </c>
      <c r="B9" s="42"/>
      <c r="C9" s="42"/>
      <c r="D9" s="42"/>
      <c r="E9" s="42"/>
      <c r="F9" s="42"/>
      <c r="G9" s="42"/>
      <c r="H9" s="42"/>
      <c r="I9" s="42"/>
      <c r="J9" s="42"/>
    </row>
    <row r="10" spans="1:13" x14ac:dyDescent="0.25">
      <c r="A10" s="31" t="s">
        <v>409</v>
      </c>
      <c r="B10" s="31" t="s">
        <v>410</v>
      </c>
      <c r="C10" s="31" t="s">
        <v>411</v>
      </c>
      <c r="D10" s="31" t="str">
        <f>"0,8814"</f>
        <v>0,8814</v>
      </c>
      <c r="E10" s="31" t="s">
        <v>20</v>
      </c>
      <c r="F10" s="31" t="s">
        <v>412</v>
      </c>
      <c r="G10" s="32" t="s">
        <v>402</v>
      </c>
      <c r="H10" s="32" t="s">
        <v>402</v>
      </c>
      <c r="I10" s="32" t="s">
        <v>402</v>
      </c>
      <c r="J10" s="32"/>
      <c r="K10" s="43" t="str">
        <f>"0.00"</f>
        <v>0.00</v>
      </c>
      <c r="L10" s="44" t="str">
        <f>"0,0000"</f>
        <v>0,0000</v>
      </c>
      <c r="M10" s="31" t="s">
        <v>25</v>
      </c>
    </row>
    <row r="11" spans="1:13" x14ac:dyDescent="0.25">
      <c r="A11" s="34" t="s">
        <v>414</v>
      </c>
      <c r="B11" s="34" t="s">
        <v>415</v>
      </c>
      <c r="C11" s="34" t="s">
        <v>416</v>
      </c>
      <c r="D11" s="34" t="str">
        <f>"0,8713"</f>
        <v>0,8713</v>
      </c>
      <c r="E11" s="34" t="s">
        <v>20</v>
      </c>
      <c r="F11" s="34" t="s">
        <v>21</v>
      </c>
      <c r="G11" s="36" t="s">
        <v>201</v>
      </c>
      <c r="H11" s="36" t="s">
        <v>402</v>
      </c>
      <c r="I11" s="36" t="s">
        <v>202</v>
      </c>
      <c r="J11" s="35"/>
      <c r="K11" s="45" t="str">
        <f>"70,0"</f>
        <v>70,0</v>
      </c>
      <c r="L11" s="46" t="str">
        <f>"61,5399"</f>
        <v>61,5399</v>
      </c>
      <c r="M11" s="34" t="s">
        <v>25</v>
      </c>
    </row>
    <row r="13" spans="1:13" ht="15.6" x14ac:dyDescent="0.3">
      <c r="A13" s="30" t="s">
        <v>15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3" x14ac:dyDescent="0.25">
      <c r="A14" s="31" t="s">
        <v>418</v>
      </c>
      <c r="B14" s="31" t="s">
        <v>419</v>
      </c>
      <c r="C14" s="31" t="s">
        <v>420</v>
      </c>
      <c r="D14" s="31" t="str">
        <f>"0,7979"</f>
        <v>0,7979</v>
      </c>
      <c r="E14" s="31" t="s">
        <v>20</v>
      </c>
      <c r="F14" s="31" t="s">
        <v>21</v>
      </c>
      <c r="G14" s="33" t="s">
        <v>421</v>
      </c>
      <c r="H14" s="32" t="s">
        <v>401</v>
      </c>
      <c r="I14" s="32" t="s">
        <v>201</v>
      </c>
      <c r="J14" s="32"/>
      <c r="K14" s="43" t="str">
        <f>"60,0"</f>
        <v>60,0</v>
      </c>
      <c r="L14" s="44" t="str">
        <f>"47,8740"</f>
        <v>47,8740</v>
      </c>
      <c r="M14" s="31" t="s">
        <v>25</v>
      </c>
    </row>
    <row r="15" spans="1:13" x14ac:dyDescent="0.25">
      <c r="A15" s="34" t="s">
        <v>423</v>
      </c>
      <c r="B15" s="34" t="s">
        <v>424</v>
      </c>
      <c r="C15" s="34" t="s">
        <v>425</v>
      </c>
      <c r="D15" s="34" t="str">
        <f>"0,7877"</f>
        <v>0,7877</v>
      </c>
      <c r="E15" s="34" t="s">
        <v>20</v>
      </c>
      <c r="F15" s="34" t="s">
        <v>21</v>
      </c>
      <c r="G15" s="36" t="s">
        <v>203</v>
      </c>
      <c r="H15" s="36" t="s">
        <v>421</v>
      </c>
      <c r="I15" s="35" t="s">
        <v>201</v>
      </c>
      <c r="J15" s="35"/>
      <c r="K15" s="45" t="str">
        <f>"60,0"</f>
        <v>60,0</v>
      </c>
      <c r="L15" s="46" t="str">
        <f>"69,9478"</f>
        <v>69,9478</v>
      </c>
      <c r="M15" s="34" t="s">
        <v>25</v>
      </c>
    </row>
    <row r="17" spans="1:13" ht="15.6" x14ac:dyDescent="0.3">
      <c r="A17" s="30" t="s">
        <v>89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3" x14ac:dyDescent="0.25">
      <c r="A18" s="27" t="s">
        <v>427</v>
      </c>
      <c r="B18" s="27" t="s">
        <v>428</v>
      </c>
      <c r="C18" s="27" t="s">
        <v>429</v>
      </c>
      <c r="D18" s="27" t="str">
        <f>"0,7642"</f>
        <v>0,7642</v>
      </c>
      <c r="E18" s="27" t="s">
        <v>20</v>
      </c>
      <c r="F18" s="27" t="s">
        <v>21</v>
      </c>
      <c r="G18" s="29" t="s">
        <v>201</v>
      </c>
      <c r="H18" s="29" t="s">
        <v>202</v>
      </c>
      <c r="I18" s="29" t="s">
        <v>430</v>
      </c>
      <c r="J18" s="28"/>
      <c r="K18" s="40" t="str">
        <f>"72,5"</f>
        <v>72,5</v>
      </c>
      <c r="L18" s="41" t="str">
        <f>"55,4045"</f>
        <v>55,4045</v>
      </c>
      <c r="M18" s="27" t="s">
        <v>25</v>
      </c>
    </row>
    <row r="20" spans="1:13" ht="15.6" x14ac:dyDescent="0.3">
      <c r="A20" s="30" t="s">
        <v>175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3" x14ac:dyDescent="0.25">
      <c r="A21" s="27" t="s">
        <v>432</v>
      </c>
      <c r="B21" s="27" t="s">
        <v>433</v>
      </c>
      <c r="C21" s="27" t="s">
        <v>190</v>
      </c>
      <c r="D21" s="27" t="str">
        <f>"0,9156"</f>
        <v>0,9156</v>
      </c>
      <c r="E21" s="27" t="s">
        <v>20</v>
      </c>
      <c r="F21" s="27" t="s">
        <v>21</v>
      </c>
      <c r="G21" s="29" t="s">
        <v>421</v>
      </c>
      <c r="H21" s="29" t="s">
        <v>201</v>
      </c>
      <c r="I21" s="28" t="s">
        <v>202</v>
      </c>
      <c r="J21" s="28"/>
      <c r="K21" s="40" t="str">
        <f>"65,0"</f>
        <v>65,0</v>
      </c>
      <c r="L21" s="41" t="str">
        <f>"59,5140"</f>
        <v>59,5140</v>
      </c>
      <c r="M21" s="27" t="s">
        <v>25</v>
      </c>
    </row>
    <row r="23" spans="1:13" ht="15.6" x14ac:dyDescent="0.3">
      <c r="A23" s="30" t="s">
        <v>15</v>
      </c>
      <c r="B23" s="42"/>
      <c r="C23" s="42"/>
      <c r="D23" s="42"/>
      <c r="E23" s="42"/>
      <c r="F23" s="42"/>
      <c r="G23" s="42"/>
      <c r="H23" s="42"/>
      <c r="I23" s="42"/>
      <c r="J23" s="42"/>
    </row>
    <row r="24" spans="1:13" x14ac:dyDescent="0.25">
      <c r="A24" s="31" t="s">
        <v>435</v>
      </c>
      <c r="B24" s="31" t="s">
        <v>436</v>
      </c>
      <c r="C24" s="31" t="s">
        <v>437</v>
      </c>
      <c r="D24" s="31" t="str">
        <f>"0,7481"</f>
        <v>0,7481</v>
      </c>
      <c r="E24" s="31" t="s">
        <v>20</v>
      </c>
      <c r="F24" s="31" t="s">
        <v>21</v>
      </c>
      <c r="G24" s="32" t="s">
        <v>201</v>
      </c>
      <c r="H24" s="33" t="s">
        <v>201</v>
      </c>
      <c r="I24" s="32" t="s">
        <v>202</v>
      </c>
      <c r="J24" s="32"/>
      <c r="K24" s="43" t="str">
        <f>"65,0"</f>
        <v>65,0</v>
      </c>
      <c r="L24" s="44" t="str">
        <f>"48,6265"</f>
        <v>48,6265</v>
      </c>
      <c r="M24" s="31" t="s">
        <v>25</v>
      </c>
    </row>
    <row r="25" spans="1:13" x14ac:dyDescent="0.25">
      <c r="A25" s="34" t="s">
        <v>439</v>
      </c>
      <c r="B25" s="34" t="s">
        <v>440</v>
      </c>
      <c r="C25" s="34" t="s">
        <v>441</v>
      </c>
      <c r="D25" s="34" t="str">
        <f>"0,7297"</f>
        <v>0,7297</v>
      </c>
      <c r="E25" s="34" t="s">
        <v>20</v>
      </c>
      <c r="F25" s="34" t="s">
        <v>38</v>
      </c>
      <c r="G25" s="36" t="s">
        <v>183</v>
      </c>
      <c r="H25" s="35" t="s">
        <v>184</v>
      </c>
      <c r="I25" s="35" t="s">
        <v>184</v>
      </c>
      <c r="J25" s="35"/>
      <c r="K25" s="45" t="str">
        <f>"90,0"</f>
        <v>90,0</v>
      </c>
      <c r="L25" s="46" t="str">
        <f>"65,8700"</f>
        <v>65,8700</v>
      </c>
      <c r="M25" s="34" t="s">
        <v>25</v>
      </c>
    </row>
    <row r="27" spans="1:13" ht="15.6" x14ac:dyDescent="0.3">
      <c r="A27" s="30" t="s">
        <v>89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3" x14ac:dyDescent="0.25">
      <c r="A28" s="31" t="s">
        <v>443</v>
      </c>
      <c r="B28" s="31" t="s">
        <v>444</v>
      </c>
      <c r="C28" s="31" t="s">
        <v>445</v>
      </c>
      <c r="D28" s="31" t="str">
        <f>"0,6797"</f>
        <v>0,6797</v>
      </c>
      <c r="E28" s="31" t="s">
        <v>20</v>
      </c>
      <c r="F28" s="31" t="s">
        <v>21</v>
      </c>
      <c r="G28" s="33" t="s">
        <v>184</v>
      </c>
      <c r="H28" s="33" t="s">
        <v>221</v>
      </c>
      <c r="I28" s="32" t="s">
        <v>446</v>
      </c>
      <c r="J28" s="32"/>
      <c r="K28" s="43" t="str">
        <f>"105,0"</f>
        <v>105,0</v>
      </c>
      <c r="L28" s="44" t="str">
        <f>"71,3685"</f>
        <v>71,3685</v>
      </c>
      <c r="M28" s="31" t="s">
        <v>25</v>
      </c>
    </row>
    <row r="29" spans="1:13" x14ac:dyDescent="0.25">
      <c r="A29" s="34" t="s">
        <v>448</v>
      </c>
      <c r="B29" s="34" t="s">
        <v>449</v>
      </c>
      <c r="C29" s="34" t="s">
        <v>215</v>
      </c>
      <c r="D29" s="34" t="str">
        <f>"0,6673"</f>
        <v>0,6673</v>
      </c>
      <c r="E29" s="34" t="s">
        <v>20</v>
      </c>
      <c r="F29" s="34" t="s">
        <v>356</v>
      </c>
      <c r="G29" s="36" t="s">
        <v>195</v>
      </c>
      <c r="H29" s="36" t="s">
        <v>196</v>
      </c>
      <c r="I29" s="36" t="s">
        <v>183</v>
      </c>
      <c r="J29" s="35"/>
      <c r="K29" s="45" t="str">
        <f>"90,0"</f>
        <v>90,0</v>
      </c>
      <c r="L29" s="46" t="str">
        <f>"112,0063"</f>
        <v>112,0063</v>
      </c>
      <c r="M29" s="34" t="s">
        <v>25</v>
      </c>
    </row>
    <row r="31" spans="1:13" ht="15.6" x14ac:dyDescent="0.3">
      <c r="A31" s="30" t="s">
        <v>26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3" x14ac:dyDescent="0.25">
      <c r="A32" s="31" t="s">
        <v>451</v>
      </c>
      <c r="B32" s="31" t="s">
        <v>452</v>
      </c>
      <c r="C32" s="31" t="s">
        <v>453</v>
      </c>
      <c r="D32" s="31" t="str">
        <f>"0,6268"</f>
        <v>0,6268</v>
      </c>
      <c r="E32" s="31" t="s">
        <v>20</v>
      </c>
      <c r="F32" s="31" t="s">
        <v>454</v>
      </c>
      <c r="G32" s="32" t="s">
        <v>455</v>
      </c>
      <c r="H32" s="32" t="s">
        <v>455</v>
      </c>
      <c r="I32" s="33" t="s">
        <v>455</v>
      </c>
      <c r="J32" s="32"/>
      <c r="K32" s="43" t="str">
        <f>"127,5"</f>
        <v>127,5</v>
      </c>
      <c r="L32" s="44" t="str">
        <f>"79,9170"</f>
        <v>79,9170</v>
      </c>
      <c r="M32" s="31" t="s">
        <v>25</v>
      </c>
    </row>
    <row r="33" spans="1:13" x14ac:dyDescent="0.25">
      <c r="A33" s="53" t="s">
        <v>457</v>
      </c>
      <c r="B33" s="53" t="s">
        <v>458</v>
      </c>
      <c r="C33" s="53" t="s">
        <v>459</v>
      </c>
      <c r="D33" s="53" t="str">
        <f>"0,6498"</f>
        <v>0,6498</v>
      </c>
      <c r="E33" s="53" t="s">
        <v>20</v>
      </c>
      <c r="F33" s="53" t="s">
        <v>99</v>
      </c>
      <c r="G33" s="55" t="s">
        <v>195</v>
      </c>
      <c r="H33" s="55" t="s">
        <v>183</v>
      </c>
      <c r="I33" s="54" t="s">
        <v>192</v>
      </c>
      <c r="J33" s="54"/>
      <c r="K33" s="56" t="str">
        <f>"90,0"</f>
        <v>90,0</v>
      </c>
      <c r="L33" s="57" t="str">
        <f>"58,4820"</f>
        <v>58,4820</v>
      </c>
      <c r="M33" s="53" t="s">
        <v>25</v>
      </c>
    </row>
    <row r="34" spans="1:13" x14ac:dyDescent="0.25">
      <c r="A34" s="53" t="s">
        <v>461</v>
      </c>
      <c r="B34" s="53" t="s">
        <v>462</v>
      </c>
      <c r="C34" s="53" t="s">
        <v>463</v>
      </c>
      <c r="D34" s="53" t="str">
        <f>"0,6352"</f>
        <v>0,6352</v>
      </c>
      <c r="E34" s="53" t="s">
        <v>20</v>
      </c>
      <c r="F34" s="53" t="s">
        <v>21</v>
      </c>
      <c r="G34" s="55" t="s">
        <v>232</v>
      </c>
      <c r="H34" s="55" t="s">
        <v>180</v>
      </c>
      <c r="I34" s="55" t="s">
        <v>181</v>
      </c>
      <c r="J34" s="54"/>
      <c r="K34" s="56" t="str">
        <f>"145,0"</f>
        <v>145,0</v>
      </c>
      <c r="L34" s="57" t="str">
        <f>"92,1040"</f>
        <v>92,1040</v>
      </c>
      <c r="M34" s="53" t="s">
        <v>25</v>
      </c>
    </row>
    <row r="35" spans="1:13" x14ac:dyDescent="0.25">
      <c r="A35" s="53" t="s">
        <v>465</v>
      </c>
      <c r="B35" s="53" t="s">
        <v>466</v>
      </c>
      <c r="C35" s="53" t="s">
        <v>467</v>
      </c>
      <c r="D35" s="53" t="str">
        <f>"0,6257"</f>
        <v>0,6257</v>
      </c>
      <c r="E35" s="53" t="s">
        <v>20</v>
      </c>
      <c r="F35" s="53" t="s">
        <v>209</v>
      </c>
      <c r="G35" s="55" t="s">
        <v>180</v>
      </c>
      <c r="H35" s="55" t="s">
        <v>181</v>
      </c>
      <c r="I35" s="54" t="s">
        <v>23</v>
      </c>
      <c r="J35" s="54"/>
      <c r="K35" s="56" t="str">
        <f>"145,0"</f>
        <v>145,0</v>
      </c>
      <c r="L35" s="57" t="str">
        <f>"90,7265"</f>
        <v>90,7265</v>
      </c>
      <c r="M35" s="53" t="s">
        <v>25</v>
      </c>
    </row>
    <row r="36" spans="1:13" x14ac:dyDescent="0.25">
      <c r="A36" s="53" t="s">
        <v>469</v>
      </c>
      <c r="B36" s="53" t="s">
        <v>470</v>
      </c>
      <c r="C36" s="53" t="s">
        <v>453</v>
      </c>
      <c r="D36" s="53" t="str">
        <f>"0,6268"</f>
        <v>0,6268</v>
      </c>
      <c r="E36" s="53" t="s">
        <v>20</v>
      </c>
      <c r="F36" s="53" t="s">
        <v>209</v>
      </c>
      <c r="G36" s="54" t="s">
        <v>103</v>
      </c>
      <c r="H36" s="55" t="s">
        <v>104</v>
      </c>
      <c r="I36" s="55" t="s">
        <v>22</v>
      </c>
      <c r="J36" s="54"/>
      <c r="K36" s="56" t="str">
        <f>"130,0"</f>
        <v>130,0</v>
      </c>
      <c r="L36" s="57" t="str">
        <f>"81,4840"</f>
        <v>81,4840</v>
      </c>
      <c r="M36" s="53" t="s">
        <v>25</v>
      </c>
    </row>
    <row r="37" spans="1:13" x14ac:dyDescent="0.25">
      <c r="A37" s="53" t="s">
        <v>472</v>
      </c>
      <c r="B37" s="53" t="s">
        <v>473</v>
      </c>
      <c r="C37" s="53" t="s">
        <v>474</v>
      </c>
      <c r="D37" s="53" t="str">
        <f>"0,6290"</f>
        <v>0,6290</v>
      </c>
      <c r="E37" s="53" t="s">
        <v>20</v>
      </c>
      <c r="F37" s="53" t="s">
        <v>21</v>
      </c>
      <c r="G37" s="54" t="s">
        <v>23</v>
      </c>
      <c r="H37" s="54" t="s">
        <v>23</v>
      </c>
      <c r="I37" s="55" t="s">
        <v>23</v>
      </c>
      <c r="J37" s="54"/>
      <c r="K37" s="56" t="str">
        <f>"150,0"</f>
        <v>150,0</v>
      </c>
      <c r="L37" s="57" t="str">
        <f>"103,0302"</f>
        <v>103,0302</v>
      </c>
      <c r="M37" s="53" t="s">
        <v>25</v>
      </c>
    </row>
    <row r="38" spans="1:13" x14ac:dyDescent="0.25">
      <c r="A38" s="53" t="s">
        <v>476</v>
      </c>
      <c r="B38" s="53" t="s">
        <v>477</v>
      </c>
      <c r="C38" s="53" t="s">
        <v>478</v>
      </c>
      <c r="D38" s="53" t="str">
        <f>"0,6557"</f>
        <v>0,6557</v>
      </c>
      <c r="E38" s="53" t="s">
        <v>20</v>
      </c>
      <c r="F38" s="53" t="s">
        <v>21</v>
      </c>
      <c r="G38" s="55" t="s">
        <v>221</v>
      </c>
      <c r="H38" s="55" t="s">
        <v>479</v>
      </c>
      <c r="I38" s="54" t="s">
        <v>103</v>
      </c>
      <c r="J38" s="54"/>
      <c r="K38" s="56" t="str">
        <f>"112,5"</f>
        <v>112,5</v>
      </c>
      <c r="L38" s="57" t="str">
        <f>"80,5527"</f>
        <v>80,5527</v>
      </c>
      <c r="M38" s="53" t="s">
        <v>25</v>
      </c>
    </row>
    <row r="39" spans="1:13" x14ac:dyDescent="0.25">
      <c r="A39" s="53" t="s">
        <v>481</v>
      </c>
      <c r="B39" s="53" t="s">
        <v>482</v>
      </c>
      <c r="C39" s="53" t="s">
        <v>318</v>
      </c>
      <c r="D39" s="53" t="str">
        <f>"0,6224"</f>
        <v>0,6224</v>
      </c>
      <c r="E39" s="53" t="s">
        <v>20</v>
      </c>
      <c r="F39" s="53" t="s">
        <v>21</v>
      </c>
      <c r="G39" s="55" t="s">
        <v>204</v>
      </c>
      <c r="H39" s="55" t="s">
        <v>102</v>
      </c>
      <c r="I39" s="55" t="s">
        <v>103</v>
      </c>
      <c r="J39" s="54"/>
      <c r="K39" s="56" t="str">
        <f>"120,0"</f>
        <v>120,0</v>
      </c>
      <c r="L39" s="57" t="str">
        <f>"151,6166"</f>
        <v>151,6166</v>
      </c>
      <c r="M39" s="53" t="s">
        <v>25</v>
      </c>
    </row>
    <row r="40" spans="1:13" x14ac:dyDescent="0.25">
      <c r="A40" s="34" t="s">
        <v>484</v>
      </c>
      <c r="B40" s="34" t="s">
        <v>485</v>
      </c>
      <c r="C40" s="34" t="s">
        <v>486</v>
      </c>
      <c r="D40" s="34" t="str">
        <f>"0,6301"</f>
        <v>0,6301</v>
      </c>
      <c r="E40" s="34" t="s">
        <v>20</v>
      </c>
      <c r="F40" s="34" t="s">
        <v>99</v>
      </c>
      <c r="G40" s="36" t="s">
        <v>421</v>
      </c>
      <c r="H40" s="36" t="s">
        <v>202</v>
      </c>
      <c r="I40" s="35" t="s">
        <v>194</v>
      </c>
      <c r="J40" s="35"/>
      <c r="K40" s="45" t="str">
        <f>"70,0"</f>
        <v>70,0</v>
      </c>
      <c r="L40" s="46" t="str">
        <f>"92,0954"</f>
        <v>92,0954</v>
      </c>
      <c r="M40" s="34" t="s">
        <v>25</v>
      </c>
    </row>
    <row r="42" spans="1:13" ht="15.6" x14ac:dyDescent="0.3">
      <c r="A42" s="30" t="s">
        <v>42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3" x14ac:dyDescent="0.25">
      <c r="A43" s="31" t="s">
        <v>488</v>
      </c>
      <c r="B43" s="31" t="s">
        <v>489</v>
      </c>
      <c r="C43" s="31" t="s">
        <v>490</v>
      </c>
      <c r="D43" s="31" t="str">
        <f>"0,5991"</f>
        <v>0,5991</v>
      </c>
      <c r="E43" s="31" t="s">
        <v>20</v>
      </c>
      <c r="F43" s="31" t="s">
        <v>21</v>
      </c>
      <c r="G43" s="33" t="s">
        <v>102</v>
      </c>
      <c r="H43" s="33" t="s">
        <v>104</v>
      </c>
      <c r="I43" s="33" t="s">
        <v>226</v>
      </c>
      <c r="J43" s="32"/>
      <c r="K43" s="43" t="str">
        <f>"132,5"</f>
        <v>132,5</v>
      </c>
      <c r="L43" s="44" t="str">
        <f>"79,3807"</f>
        <v>79,3807</v>
      </c>
      <c r="M43" s="31" t="s">
        <v>25</v>
      </c>
    </row>
    <row r="44" spans="1:13" x14ac:dyDescent="0.25">
      <c r="A44" s="53" t="s">
        <v>492</v>
      </c>
      <c r="B44" s="53" t="s">
        <v>493</v>
      </c>
      <c r="C44" s="53" t="s">
        <v>337</v>
      </c>
      <c r="D44" s="53" t="str">
        <f>"0,5853"</f>
        <v>0,5853</v>
      </c>
      <c r="E44" s="53" t="s">
        <v>20</v>
      </c>
      <c r="F44" s="53" t="s">
        <v>21</v>
      </c>
      <c r="G44" s="55" t="s">
        <v>31</v>
      </c>
      <c r="H44" s="55" t="s">
        <v>94</v>
      </c>
      <c r="I44" s="54" t="s">
        <v>24</v>
      </c>
      <c r="J44" s="54"/>
      <c r="K44" s="56" t="str">
        <f>"165,0"</f>
        <v>165,0</v>
      </c>
      <c r="L44" s="57" t="str">
        <f>"96,5745"</f>
        <v>96,5745</v>
      </c>
      <c r="M44" s="53" t="s">
        <v>25</v>
      </c>
    </row>
    <row r="45" spans="1:13" x14ac:dyDescent="0.25">
      <c r="A45" s="53" t="s">
        <v>494</v>
      </c>
      <c r="B45" s="53" t="s">
        <v>345</v>
      </c>
      <c r="C45" s="53" t="s">
        <v>346</v>
      </c>
      <c r="D45" s="53" t="str">
        <f>"0,5952"</f>
        <v>0,5952</v>
      </c>
      <c r="E45" s="53" t="s">
        <v>20</v>
      </c>
      <c r="F45" s="53" t="s">
        <v>21</v>
      </c>
      <c r="G45" s="55" t="s">
        <v>180</v>
      </c>
      <c r="H45" s="54" t="s">
        <v>181</v>
      </c>
      <c r="I45" s="54" t="s">
        <v>181</v>
      </c>
      <c r="J45" s="54"/>
      <c r="K45" s="56" t="str">
        <f>"140,0"</f>
        <v>140,0</v>
      </c>
      <c r="L45" s="57" t="str">
        <f>"83,3280"</f>
        <v>83,3280</v>
      </c>
      <c r="M45" s="53" t="s">
        <v>25</v>
      </c>
    </row>
    <row r="46" spans="1:13" x14ac:dyDescent="0.25">
      <c r="A46" s="53" t="s">
        <v>496</v>
      </c>
      <c r="B46" s="53" t="s">
        <v>497</v>
      </c>
      <c r="C46" s="53" t="s">
        <v>498</v>
      </c>
      <c r="D46" s="53" t="str">
        <f>"0,5960"</f>
        <v>0,5960</v>
      </c>
      <c r="E46" s="53" t="s">
        <v>20</v>
      </c>
      <c r="F46" s="53" t="s">
        <v>499</v>
      </c>
      <c r="G46" s="55" t="s">
        <v>135</v>
      </c>
      <c r="H46" s="55" t="s">
        <v>31</v>
      </c>
      <c r="I46" s="55" t="s">
        <v>94</v>
      </c>
      <c r="J46" s="54"/>
      <c r="K46" s="56" t="str">
        <f>"165,0"</f>
        <v>165,0</v>
      </c>
      <c r="L46" s="57" t="str">
        <f>"98,3400"</f>
        <v>98,3400</v>
      </c>
      <c r="M46" s="53" t="s">
        <v>25</v>
      </c>
    </row>
    <row r="47" spans="1:13" x14ac:dyDescent="0.25">
      <c r="A47" s="53" t="s">
        <v>501</v>
      </c>
      <c r="B47" s="53" t="s">
        <v>502</v>
      </c>
      <c r="C47" s="53" t="s">
        <v>503</v>
      </c>
      <c r="D47" s="53" t="str">
        <f>"0,5922"</f>
        <v>0,5922</v>
      </c>
      <c r="E47" s="53" t="s">
        <v>20</v>
      </c>
      <c r="F47" s="53" t="s">
        <v>499</v>
      </c>
      <c r="G47" s="54" t="s">
        <v>226</v>
      </c>
      <c r="H47" s="54" t="s">
        <v>226</v>
      </c>
      <c r="I47" s="55" t="s">
        <v>226</v>
      </c>
      <c r="J47" s="54"/>
      <c r="K47" s="56" t="str">
        <f>"132,5"</f>
        <v>132,5</v>
      </c>
      <c r="L47" s="57" t="str">
        <f>"78,4665"</f>
        <v>78,4665</v>
      </c>
      <c r="M47" s="53" t="s">
        <v>25</v>
      </c>
    </row>
    <row r="48" spans="1:13" x14ac:dyDescent="0.25">
      <c r="A48" s="34" t="s">
        <v>505</v>
      </c>
      <c r="B48" s="34" t="s">
        <v>506</v>
      </c>
      <c r="C48" s="34" t="s">
        <v>507</v>
      </c>
      <c r="D48" s="34" t="str">
        <f>"0,6083"</f>
        <v>0,6083</v>
      </c>
      <c r="E48" s="34" t="s">
        <v>20</v>
      </c>
      <c r="F48" s="34" t="s">
        <v>21</v>
      </c>
      <c r="G48" s="36" t="s">
        <v>31</v>
      </c>
      <c r="H48" s="36" t="s">
        <v>94</v>
      </c>
      <c r="I48" s="35" t="s">
        <v>24</v>
      </c>
      <c r="J48" s="35"/>
      <c r="K48" s="45" t="str">
        <f>"165,0"</f>
        <v>165,0</v>
      </c>
      <c r="L48" s="46" t="str">
        <f>"138,5099"</f>
        <v>138,5099</v>
      </c>
      <c r="M48" s="34" t="s">
        <v>25</v>
      </c>
    </row>
    <row r="50" spans="1:13" ht="15.6" x14ac:dyDescent="0.3">
      <c r="A50" s="30" t="s">
        <v>50</v>
      </c>
      <c r="B50" s="42"/>
      <c r="C50" s="42"/>
      <c r="D50" s="42"/>
      <c r="E50" s="42"/>
      <c r="F50" s="42"/>
      <c r="G50" s="42"/>
      <c r="H50" s="42"/>
      <c r="I50" s="42"/>
      <c r="J50" s="42"/>
    </row>
    <row r="51" spans="1:13" x14ac:dyDescent="0.25">
      <c r="A51" s="31" t="s">
        <v>509</v>
      </c>
      <c r="B51" s="31" t="s">
        <v>510</v>
      </c>
      <c r="C51" s="31" t="s">
        <v>511</v>
      </c>
      <c r="D51" s="31" t="str">
        <f>"0,5704"</f>
        <v>0,5704</v>
      </c>
      <c r="E51" s="31" t="s">
        <v>20</v>
      </c>
      <c r="F51" s="31" t="s">
        <v>21</v>
      </c>
      <c r="G51" s="32" t="s">
        <v>202</v>
      </c>
      <c r="H51" s="33" t="s">
        <v>202</v>
      </c>
      <c r="I51" s="33" t="s">
        <v>194</v>
      </c>
      <c r="J51" s="32"/>
      <c r="K51" s="43" t="str">
        <f>"75,0"</f>
        <v>75,0</v>
      </c>
      <c r="L51" s="44" t="str">
        <f>"42,7800"</f>
        <v>42,7800</v>
      </c>
      <c r="M51" s="31" t="s">
        <v>25</v>
      </c>
    </row>
    <row r="52" spans="1:13" x14ac:dyDescent="0.25">
      <c r="A52" s="53" t="s">
        <v>513</v>
      </c>
      <c r="B52" s="53" t="s">
        <v>514</v>
      </c>
      <c r="C52" s="53" t="s">
        <v>515</v>
      </c>
      <c r="D52" s="53" t="str">
        <f>"0,5639"</f>
        <v>0,5639</v>
      </c>
      <c r="E52" s="53" t="s">
        <v>20</v>
      </c>
      <c r="F52" s="53" t="s">
        <v>21</v>
      </c>
      <c r="G52" s="55" t="s">
        <v>23</v>
      </c>
      <c r="H52" s="55" t="s">
        <v>100</v>
      </c>
      <c r="I52" s="55" t="s">
        <v>94</v>
      </c>
      <c r="J52" s="54"/>
      <c r="K52" s="56" t="str">
        <f>"165,0"</f>
        <v>165,0</v>
      </c>
      <c r="L52" s="57" t="str">
        <f>"93,0435"</f>
        <v>93,0435</v>
      </c>
      <c r="M52" s="53" t="s">
        <v>25</v>
      </c>
    </row>
    <row r="53" spans="1:13" x14ac:dyDescent="0.25">
      <c r="A53" s="53" t="s">
        <v>517</v>
      </c>
      <c r="B53" s="53" t="s">
        <v>518</v>
      </c>
      <c r="C53" s="53" t="s">
        <v>519</v>
      </c>
      <c r="D53" s="53" t="str">
        <f>"0,5594"</f>
        <v>0,5594</v>
      </c>
      <c r="E53" s="53" t="s">
        <v>20</v>
      </c>
      <c r="F53" s="53" t="s">
        <v>21</v>
      </c>
      <c r="G53" s="55" t="s">
        <v>23</v>
      </c>
      <c r="H53" s="55" t="s">
        <v>100</v>
      </c>
      <c r="I53" s="54" t="s">
        <v>142</v>
      </c>
      <c r="J53" s="54"/>
      <c r="K53" s="56" t="str">
        <f>"157,5"</f>
        <v>157,5</v>
      </c>
      <c r="L53" s="57" t="str">
        <f>"88,1055"</f>
        <v>88,1055</v>
      </c>
      <c r="M53" s="53" t="s">
        <v>25</v>
      </c>
    </row>
    <row r="54" spans="1:13" x14ac:dyDescent="0.25">
      <c r="A54" s="53" t="s">
        <v>520</v>
      </c>
      <c r="B54" s="53" t="s">
        <v>521</v>
      </c>
      <c r="C54" s="53" t="s">
        <v>522</v>
      </c>
      <c r="D54" s="53" t="str">
        <f>"0,5663"</f>
        <v>0,5663</v>
      </c>
      <c r="E54" s="53" t="s">
        <v>20</v>
      </c>
      <c r="F54" s="53" t="s">
        <v>21</v>
      </c>
      <c r="G54" s="54" t="s">
        <v>22</v>
      </c>
      <c r="H54" s="54" t="s">
        <v>22</v>
      </c>
      <c r="I54" s="54" t="s">
        <v>22</v>
      </c>
      <c r="J54" s="54"/>
      <c r="K54" s="56" t="str">
        <f>"0.00"</f>
        <v>0.00</v>
      </c>
      <c r="L54" s="57" t="str">
        <f>"0,0000"</f>
        <v>0,0000</v>
      </c>
      <c r="M54" s="53" t="s">
        <v>25</v>
      </c>
    </row>
    <row r="55" spans="1:13" x14ac:dyDescent="0.25">
      <c r="A55" s="53" t="s">
        <v>524</v>
      </c>
      <c r="B55" s="53" t="s">
        <v>525</v>
      </c>
      <c r="C55" s="53" t="s">
        <v>526</v>
      </c>
      <c r="D55" s="53" t="str">
        <f>"0,5568"</f>
        <v>0,5568</v>
      </c>
      <c r="E55" s="53" t="s">
        <v>20</v>
      </c>
      <c r="F55" s="53" t="s">
        <v>527</v>
      </c>
      <c r="G55" s="55" t="s">
        <v>181</v>
      </c>
      <c r="H55" s="54" t="s">
        <v>23</v>
      </c>
      <c r="I55" s="54" t="s">
        <v>23</v>
      </c>
      <c r="J55" s="54"/>
      <c r="K55" s="56" t="str">
        <f>"145,0"</f>
        <v>145,0</v>
      </c>
      <c r="L55" s="57" t="str">
        <f>"82,1892"</f>
        <v>82,1892</v>
      </c>
      <c r="M55" s="53" t="s">
        <v>25</v>
      </c>
    </row>
    <row r="56" spans="1:13" x14ac:dyDescent="0.25">
      <c r="A56" s="34" t="s">
        <v>529</v>
      </c>
      <c r="B56" s="34" t="s">
        <v>530</v>
      </c>
      <c r="C56" s="34" t="s">
        <v>531</v>
      </c>
      <c r="D56" s="34" t="str">
        <f>"0,5744"</f>
        <v>0,5744</v>
      </c>
      <c r="E56" s="34" t="s">
        <v>20</v>
      </c>
      <c r="F56" s="34" t="s">
        <v>356</v>
      </c>
      <c r="G56" s="36" t="s">
        <v>103</v>
      </c>
      <c r="H56" s="36" t="s">
        <v>455</v>
      </c>
      <c r="I56" s="36" t="s">
        <v>22</v>
      </c>
      <c r="J56" s="35"/>
      <c r="K56" s="45" t="str">
        <f>"130,0"</f>
        <v>130,0</v>
      </c>
      <c r="L56" s="46" t="str">
        <f>"81,5418"</f>
        <v>81,5418</v>
      </c>
      <c r="M56" s="34" t="s">
        <v>25</v>
      </c>
    </row>
    <row r="58" spans="1:13" ht="15.6" x14ac:dyDescent="0.3">
      <c r="A58" s="30" t="s">
        <v>137</v>
      </c>
      <c r="B58" s="42"/>
      <c r="C58" s="42"/>
      <c r="D58" s="42"/>
      <c r="E58" s="42"/>
      <c r="F58" s="42"/>
      <c r="G58" s="42"/>
      <c r="H58" s="42"/>
      <c r="I58" s="42"/>
      <c r="J58" s="42"/>
    </row>
    <row r="59" spans="1:13" x14ac:dyDescent="0.25">
      <c r="A59" s="31" t="s">
        <v>533</v>
      </c>
      <c r="B59" s="31" t="s">
        <v>534</v>
      </c>
      <c r="C59" s="31" t="s">
        <v>535</v>
      </c>
      <c r="D59" s="31" t="str">
        <f>"0,5529"</f>
        <v>0,5529</v>
      </c>
      <c r="E59" s="31" t="s">
        <v>20</v>
      </c>
      <c r="F59" s="31" t="s">
        <v>21</v>
      </c>
      <c r="G59" s="33" t="s">
        <v>23</v>
      </c>
      <c r="H59" s="33" t="s">
        <v>536</v>
      </c>
      <c r="I59" s="32" t="s">
        <v>135</v>
      </c>
      <c r="J59" s="32"/>
      <c r="K59" s="43" t="str">
        <f>"152,5"</f>
        <v>152,5</v>
      </c>
      <c r="L59" s="44" t="str">
        <f>"86,9311"</f>
        <v>86,9311</v>
      </c>
      <c r="M59" s="31" t="s">
        <v>25</v>
      </c>
    </row>
    <row r="60" spans="1:13" x14ac:dyDescent="0.25">
      <c r="A60" s="53" t="s">
        <v>538</v>
      </c>
      <c r="B60" s="53" t="s">
        <v>539</v>
      </c>
      <c r="C60" s="53" t="s">
        <v>540</v>
      </c>
      <c r="D60" s="53" t="str">
        <f>"0,5422"</f>
        <v>0,5422</v>
      </c>
      <c r="E60" s="53" t="s">
        <v>20</v>
      </c>
      <c r="F60" s="53" t="s">
        <v>99</v>
      </c>
      <c r="G60" s="55" t="s">
        <v>181</v>
      </c>
      <c r="H60" s="55" t="s">
        <v>135</v>
      </c>
      <c r="I60" s="54" t="s">
        <v>541</v>
      </c>
      <c r="J60" s="54"/>
      <c r="K60" s="56" t="str">
        <f>"155,0"</f>
        <v>155,0</v>
      </c>
      <c r="L60" s="57" t="str">
        <f>"93,8738"</f>
        <v>93,8738</v>
      </c>
      <c r="M60" s="53" t="s">
        <v>25</v>
      </c>
    </row>
    <row r="61" spans="1:13" x14ac:dyDescent="0.25">
      <c r="A61" s="34" t="s">
        <v>543</v>
      </c>
      <c r="B61" s="34" t="s">
        <v>544</v>
      </c>
      <c r="C61" s="34" t="s">
        <v>146</v>
      </c>
      <c r="D61" s="34" t="str">
        <f>"0,5377"</f>
        <v>0,5377</v>
      </c>
      <c r="E61" s="34" t="s">
        <v>20</v>
      </c>
      <c r="F61" s="34" t="s">
        <v>21</v>
      </c>
      <c r="G61" s="36" t="s">
        <v>182</v>
      </c>
      <c r="H61" s="35" t="s">
        <v>541</v>
      </c>
      <c r="I61" s="35" t="s">
        <v>541</v>
      </c>
      <c r="J61" s="35"/>
      <c r="K61" s="45" t="str">
        <f>"147,5"</f>
        <v>147,5</v>
      </c>
      <c r="L61" s="46" t="str">
        <f>"93,0315"</f>
        <v>93,0315</v>
      </c>
      <c r="M61" s="34" t="s">
        <v>25</v>
      </c>
    </row>
    <row r="63" spans="1:13" ht="15.6" x14ac:dyDescent="0.3">
      <c r="A63" s="30" t="s">
        <v>357</v>
      </c>
      <c r="B63" s="42"/>
      <c r="C63" s="42"/>
      <c r="D63" s="42"/>
      <c r="E63" s="42"/>
      <c r="F63" s="42"/>
      <c r="G63" s="42"/>
      <c r="H63" s="42"/>
      <c r="I63" s="42"/>
      <c r="J63" s="42"/>
    </row>
    <row r="64" spans="1:13" x14ac:dyDescent="0.25">
      <c r="A64" s="27" t="s">
        <v>359</v>
      </c>
      <c r="B64" s="27" t="s">
        <v>360</v>
      </c>
      <c r="C64" s="27" t="s">
        <v>361</v>
      </c>
      <c r="D64" s="27" t="str">
        <f>"0,5348"</f>
        <v>0,5348</v>
      </c>
      <c r="E64" s="27" t="s">
        <v>20</v>
      </c>
      <c r="F64" s="27" t="s">
        <v>99</v>
      </c>
      <c r="G64" s="29" t="s">
        <v>24</v>
      </c>
      <c r="H64" s="29" t="s">
        <v>186</v>
      </c>
      <c r="I64" s="29" t="s">
        <v>33</v>
      </c>
      <c r="J64" s="28"/>
      <c r="K64" s="40" t="str">
        <f>"190,0"</f>
        <v>190,0</v>
      </c>
      <c r="L64" s="41" t="str">
        <f>"101,6120"</f>
        <v>101,6120</v>
      </c>
      <c r="M64" s="27" t="s">
        <v>25</v>
      </c>
    </row>
    <row r="66" spans="1:13" ht="15.6" x14ac:dyDescent="0.3">
      <c r="A66" s="30" t="s">
        <v>362</v>
      </c>
      <c r="B66" s="42"/>
      <c r="C66" s="42"/>
      <c r="D66" s="42"/>
      <c r="E66" s="42"/>
      <c r="F66" s="42"/>
      <c r="G66" s="42"/>
      <c r="H66" s="42"/>
      <c r="I66" s="42"/>
      <c r="J66" s="42"/>
    </row>
    <row r="67" spans="1:13" x14ac:dyDescent="0.25">
      <c r="A67" s="27" t="s">
        <v>546</v>
      </c>
      <c r="B67" s="27" t="s">
        <v>547</v>
      </c>
      <c r="C67" s="27" t="s">
        <v>548</v>
      </c>
      <c r="D67" s="27" t="str">
        <f>"0,5157"</f>
        <v>0,5157</v>
      </c>
      <c r="E67" s="27" t="s">
        <v>20</v>
      </c>
      <c r="F67" s="27" t="s">
        <v>356</v>
      </c>
      <c r="G67" s="29" t="s">
        <v>185</v>
      </c>
      <c r="H67" s="28" t="s">
        <v>192</v>
      </c>
      <c r="I67" s="29" t="s">
        <v>192</v>
      </c>
      <c r="J67" s="28"/>
      <c r="K67" s="40" t="str">
        <f>"102,5"</f>
        <v>102,5</v>
      </c>
      <c r="L67" s="41" t="str">
        <f>"52,8592"</f>
        <v>52,8592</v>
      </c>
      <c r="M67" s="27" t="s">
        <v>25</v>
      </c>
    </row>
    <row r="69" spans="1:13" ht="15" x14ac:dyDescent="0.25">
      <c r="E69" s="37" t="s">
        <v>57</v>
      </c>
    </row>
    <row r="70" spans="1:13" ht="15" x14ac:dyDescent="0.25">
      <c r="E70" s="37" t="s">
        <v>58</v>
      </c>
    </row>
    <row r="71" spans="1:13" ht="15" x14ac:dyDescent="0.25">
      <c r="E71" s="37" t="s">
        <v>59</v>
      </c>
    </row>
    <row r="72" spans="1:13" ht="15" x14ac:dyDescent="0.25">
      <c r="E72" s="37" t="s">
        <v>60</v>
      </c>
    </row>
    <row r="73" spans="1:13" ht="15" x14ac:dyDescent="0.25">
      <c r="E73" s="37" t="s">
        <v>60</v>
      </c>
    </row>
    <row r="74" spans="1:13" ht="15" x14ac:dyDescent="0.25">
      <c r="E74" s="37" t="s">
        <v>61</v>
      </c>
    </row>
    <row r="75" spans="1:13" ht="15" x14ac:dyDescent="0.25">
      <c r="E75" s="37"/>
    </row>
    <row r="77" spans="1:13" ht="17.399999999999999" x14ac:dyDescent="0.3">
      <c r="A77" s="47" t="s">
        <v>62</v>
      </c>
      <c r="B77" s="47"/>
    </row>
    <row r="78" spans="1:13" ht="15.6" x14ac:dyDescent="0.3">
      <c r="A78" s="48" t="s">
        <v>248</v>
      </c>
      <c r="B78" s="48"/>
    </row>
    <row r="79" spans="1:13" ht="14.4" x14ac:dyDescent="0.3">
      <c r="A79" s="50"/>
      <c r="B79" s="51" t="s">
        <v>549</v>
      </c>
    </row>
    <row r="80" spans="1:13" ht="13.8" x14ac:dyDescent="0.25">
      <c r="A80" s="52" t="s">
        <v>65</v>
      </c>
      <c r="B80" s="52" t="s">
        <v>66</v>
      </c>
      <c r="C80" s="52" t="s">
        <v>67</v>
      </c>
      <c r="D80" s="52" t="s">
        <v>69</v>
      </c>
      <c r="E80" s="52" t="s">
        <v>70</v>
      </c>
    </row>
    <row r="81" spans="1:5" x14ac:dyDescent="0.25">
      <c r="A81" s="49" t="s">
        <v>417</v>
      </c>
      <c r="B81" s="4" t="s">
        <v>550</v>
      </c>
      <c r="C81" s="4" t="s">
        <v>74</v>
      </c>
      <c r="D81" s="4" t="s">
        <v>421</v>
      </c>
      <c r="E81" s="39" t="s">
        <v>551</v>
      </c>
    </row>
    <row r="83" spans="1:5" ht="14.4" x14ac:dyDescent="0.3">
      <c r="A83" s="50"/>
      <c r="B83" s="51" t="s">
        <v>76</v>
      </c>
    </row>
    <row r="84" spans="1:5" ht="13.8" x14ac:dyDescent="0.25">
      <c r="A84" s="52" t="s">
        <v>65</v>
      </c>
      <c r="B84" s="52" t="s">
        <v>66</v>
      </c>
      <c r="C84" s="52" t="s">
        <v>67</v>
      </c>
      <c r="D84" s="52" t="s">
        <v>69</v>
      </c>
      <c r="E84" s="52" t="s">
        <v>70</v>
      </c>
    </row>
    <row r="85" spans="1:5" x14ac:dyDescent="0.25">
      <c r="A85" s="49" t="s">
        <v>397</v>
      </c>
      <c r="B85" s="4" t="s">
        <v>76</v>
      </c>
      <c r="C85" s="4" t="s">
        <v>552</v>
      </c>
      <c r="D85" s="4" t="s">
        <v>401</v>
      </c>
      <c r="E85" s="39" t="s">
        <v>553</v>
      </c>
    </row>
    <row r="86" spans="1:5" x14ac:dyDescent="0.25">
      <c r="A86" s="49" t="s">
        <v>426</v>
      </c>
      <c r="B86" s="4" t="s">
        <v>76</v>
      </c>
      <c r="C86" s="4" t="s">
        <v>150</v>
      </c>
      <c r="D86" s="4" t="s">
        <v>430</v>
      </c>
      <c r="E86" s="39" t="s">
        <v>554</v>
      </c>
    </row>
    <row r="87" spans="1:5" x14ac:dyDescent="0.25">
      <c r="A87" s="49" t="s">
        <v>403</v>
      </c>
      <c r="B87" s="4" t="s">
        <v>76</v>
      </c>
      <c r="C87" s="4" t="s">
        <v>552</v>
      </c>
      <c r="D87" s="4" t="s">
        <v>408</v>
      </c>
      <c r="E87" s="39" t="s">
        <v>555</v>
      </c>
    </row>
    <row r="89" spans="1:5" ht="14.4" x14ac:dyDescent="0.3">
      <c r="A89" s="50"/>
      <c r="B89" s="51" t="s">
        <v>81</v>
      </c>
    </row>
    <row r="90" spans="1:5" ht="13.8" x14ac:dyDescent="0.25">
      <c r="A90" s="52" t="s">
        <v>65</v>
      </c>
      <c r="B90" s="52" t="s">
        <v>66</v>
      </c>
      <c r="C90" s="52" t="s">
        <v>67</v>
      </c>
      <c r="D90" s="52" t="s">
        <v>69</v>
      </c>
      <c r="E90" s="52" t="s">
        <v>70</v>
      </c>
    </row>
    <row r="91" spans="1:5" x14ac:dyDescent="0.25">
      <c r="A91" s="49" t="s">
        <v>422</v>
      </c>
      <c r="B91" s="4" t="s">
        <v>275</v>
      </c>
      <c r="C91" s="4" t="s">
        <v>74</v>
      </c>
      <c r="D91" s="4" t="s">
        <v>421</v>
      </c>
      <c r="E91" s="39" t="s">
        <v>556</v>
      </c>
    </row>
    <row r="92" spans="1:5" x14ac:dyDescent="0.25">
      <c r="A92" s="49" t="s">
        <v>413</v>
      </c>
      <c r="B92" s="4" t="s">
        <v>82</v>
      </c>
      <c r="C92" s="4" t="s">
        <v>249</v>
      </c>
      <c r="D92" s="4" t="s">
        <v>202</v>
      </c>
      <c r="E92" s="39" t="s">
        <v>557</v>
      </c>
    </row>
    <row r="95" spans="1:5" ht="15.6" x14ac:dyDescent="0.3">
      <c r="A95" s="48" t="s">
        <v>63</v>
      </c>
      <c r="B95" s="48"/>
    </row>
    <row r="96" spans="1:5" ht="14.4" x14ac:dyDescent="0.3">
      <c r="A96" s="50"/>
      <c r="B96" s="51" t="s">
        <v>64</v>
      </c>
    </row>
    <row r="97" spans="1:5" ht="13.8" x14ac:dyDescent="0.25">
      <c r="A97" s="52" t="s">
        <v>65</v>
      </c>
      <c r="B97" s="52" t="s">
        <v>66</v>
      </c>
      <c r="C97" s="52" t="s">
        <v>67</v>
      </c>
      <c r="D97" s="52" t="s">
        <v>69</v>
      </c>
      <c r="E97" s="52" t="s">
        <v>70</v>
      </c>
    </row>
    <row r="98" spans="1:5" x14ac:dyDescent="0.25">
      <c r="A98" s="49" t="s">
        <v>450</v>
      </c>
      <c r="B98" s="4" t="s">
        <v>71</v>
      </c>
      <c r="C98" s="4" t="s">
        <v>79</v>
      </c>
      <c r="D98" s="4" t="s">
        <v>455</v>
      </c>
      <c r="E98" s="39" t="s">
        <v>558</v>
      </c>
    </row>
    <row r="99" spans="1:5" x14ac:dyDescent="0.25">
      <c r="A99" s="49" t="s">
        <v>442</v>
      </c>
      <c r="B99" s="4" t="s">
        <v>252</v>
      </c>
      <c r="C99" s="4" t="s">
        <v>150</v>
      </c>
      <c r="D99" s="4" t="s">
        <v>221</v>
      </c>
      <c r="E99" s="39" t="s">
        <v>559</v>
      </c>
    </row>
    <row r="100" spans="1:5" x14ac:dyDescent="0.25">
      <c r="A100" s="49" t="s">
        <v>431</v>
      </c>
      <c r="B100" s="4" t="s">
        <v>560</v>
      </c>
      <c r="C100" s="4" t="s">
        <v>249</v>
      </c>
      <c r="D100" s="4" t="s">
        <v>201</v>
      </c>
      <c r="E100" s="39" t="s">
        <v>561</v>
      </c>
    </row>
    <row r="101" spans="1:5" x14ac:dyDescent="0.25">
      <c r="A101" s="49" t="s">
        <v>456</v>
      </c>
      <c r="B101" s="4" t="s">
        <v>71</v>
      </c>
      <c r="C101" s="4" t="s">
        <v>79</v>
      </c>
      <c r="D101" s="4" t="s">
        <v>183</v>
      </c>
      <c r="E101" s="39" t="s">
        <v>562</v>
      </c>
    </row>
    <row r="102" spans="1:5" x14ac:dyDescent="0.25">
      <c r="A102" s="49" t="s">
        <v>545</v>
      </c>
      <c r="B102" s="4" t="s">
        <v>560</v>
      </c>
      <c r="C102" s="4" t="s">
        <v>376</v>
      </c>
      <c r="D102" s="4" t="s">
        <v>192</v>
      </c>
      <c r="E102" s="39" t="s">
        <v>563</v>
      </c>
    </row>
    <row r="103" spans="1:5" x14ac:dyDescent="0.25">
      <c r="A103" s="49" t="s">
        <v>434</v>
      </c>
      <c r="B103" s="4" t="s">
        <v>560</v>
      </c>
      <c r="C103" s="4" t="s">
        <v>74</v>
      </c>
      <c r="D103" s="4" t="s">
        <v>201</v>
      </c>
      <c r="E103" s="39" t="s">
        <v>564</v>
      </c>
    </row>
    <row r="104" spans="1:5" x14ac:dyDescent="0.25">
      <c r="A104" s="49" t="s">
        <v>508</v>
      </c>
      <c r="B104" s="4" t="s">
        <v>560</v>
      </c>
      <c r="C104" s="4" t="s">
        <v>77</v>
      </c>
      <c r="D104" s="4" t="s">
        <v>194</v>
      </c>
      <c r="E104" s="39" t="s">
        <v>565</v>
      </c>
    </row>
    <row r="106" spans="1:5" ht="14.4" x14ac:dyDescent="0.3">
      <c r="A106" s="50"/>
      <c r="B106" s="51" t="s">
        <v>261</v>
      </c>
    </row>
    <row r="107" spans="1:5" ht="13.8" x14ac:dyDescent="0.25">
      <c r="A107" s="52" t="s">
        <v>65</v>
      </c>
      <c r="B107" s="52" t="s">
        <v>66</v>
      </c>
      <c r="C107" s="52" t="s">
        <v>67</v>
      </c>
      <c r="D107" s="52" t="s">
        <v>69</v>
      </c>
      <c r="E107" s="52" t="s">
        <v>70</v>
      </c>
    </row>
    <row r="108" spans="1:5" x14ac:dyDescent="0.25">
      <c r="A108" s="49" t="s">
        <v>487</v>
      </c>
      <c r="B108" s="4" t="s">
        <v>262</v>
      </c>
      <c r="C108" s="4" t="s">
        <v>72</v>
      </c>
      <c r="D108" s="4" t="s">
        <v>226</v>
      </c>
      <c r="E108" s="39" t="s">
        <v>566</v>
      </c>
    </row>
    <row r="110" spans="1:5" ht="14.4" x14ac:dyDescent="0.3">
      <c r="A110" s="50"/>
      <c r="B110" s="51" t="s">
        <v>76</v>
      </c>
    </row>
    <row r="111" spans="1:5" ht="13.8" x14ac:dyDescent="0.25">
      <c r="A111" s="52" t="s">
        <v>65</v>
      </c>
      <c r="B111" s="52" t="s">
        <v>66</v>
      </c>
      <c r="C111" s="52" t="s">
        <v>67</v>
      </c>
      <c r="D111" s="52" t="s">
        <v>69</v>
      </c>
      <c r="E111" s="52" t="s">
        <v>70</v>
      </c>
    </row>
    <row r="112" spans="1:5" x14ac:dyDescent="0.25">
      <c r="A112" s="49" t="s">
        <v>358</v>
      </c>
      <c r="B112" s="4" t="s">
        <v>76</v>
      </c>
      <c r="C112" s="4" t="s">
        <v>384</v>
      </c>
      <c r="D112" s="4" t="s">
        <v>33</v>
      </c>
      <c r="E112" s="39" t="s">
        <v>567</v>
      </c>
    </row>
    <row r="113" spans="1:5" x14ac:dyDescent="0.25">
      <c r="A113" s="49" t="s">
        <v>491</v>
      </c>
      <c r="B113" s="4" t="s">
        <v>76</v>
      </c>
      <c r="C113" s="4" t="s">
        <v>72</v>
      </c>
      <c r="D113" s="4" t="s">
        <v>94</v>
      </c>
      <c r="E113" s="39" t="s">
        <v>568</v>
      </c>
    </row>
    <row r="114" spans="1:5" x14ac:dyDescent="0.25">
      <c r="A114" s="49" t="s">
        <v>512</v>
      </c>
      <c r="B114" s="4" t="s">
        <v>76</v>
      </c>
      <c r="C114" s="4" t="s">
        <v>77</v>
      </c>
      <c r="D114" s="4" t="s">
        <v>94</v>
      </c>
      <c r="E114" s="39" t="s">
        <v>569</v>
      </c>
    </row>
    <row r="115" spans="1:5" x14ac:dyDescent="0.25">
      <c r="A115" s="49" t="s">
        <v>460</v>
      </c>
      <c r="B115" s="4" t="s">
        <v>76</v>
      </c>
      <c r="C115" s="4" t="s">
        <v>79</v>
      </c>
      <c r="D115" s="4" t="s">
        <v>181</v>
      </c>
      <c r="E115" s="39" t="s">
        <v>570</v>
      </c>
    </row>
    <row r="116" spans="1:5" x14ac:dyDescent="0.25">
      <c r="A116" s="49" t="s">
        <v>464</v>
      </c>
      <c r="B116" s="4" t="s">
        <v>76</v>
      </c>
      <c r="C116" s="4" t="s">
        <v>79</v>
      </c>
      <c r="D116" s="4" t="s">
        <v>181</v>
      </c>
      <c r="E116" s="39" t="s">
        <v>571</v>
      </c>
    </row>
    <row r="117" spans="1:5" x14ac:dyDescent="0.25">
      <c r="A117" s="49" t="s">
        <v>516</v>
      </c>
      <c r="B117" s="4" t="s">
        <v>76</v>
      </c>
      <c r="C117" s="4" t="s">
        <v>77</v>
      </c>
      <c r="D117" s="4" t="s">
        <v>100</v>
      </c>
      <c r="E117" s="39" t="s">
        <v>572</v>
      </c>
    </row>
    <row r="118" spans="1:5" x14ac:dyDescent="0.25">
      <c r="A118" s="49" t="s">
        <v>343</v>
      </c>
      <c r="B118" s="4" t="s">
        <v>76</v>
      </c>
      <c r="C118" s="4" t="s">
        <v>72</v>
      </c>
      <c r="D118" s="4" t="s">
        <v>180</v>
      </c>
      <c r="E118" s="39" t="s">
        <v>573</v>
      </c>
    </row>
    <row r="119" spans="1:5" x14ac:dyDescent="0.25">
      <c r="A119" s="49" t="s">
        <v>468</v>
      </c>
      <c r="B119" s="4" t="s">
        <v>76</v>
      </c>
      <c r="C119" s="4" t="s">
        <v>79</v>
      </c>
      <c r="D119" s="4" t="s">
        <v>22</v>
      </c>
      <c r="E119" s="39" t="s">
        <v>574</v>
      </c>
    </row>
    <row r="121" spans="1:5" ht="14.4" x14ac:dyDescent="0.3">
      <c r="A121" s="50"/>
      <c r="B121" s="51" t="s">
        <v>81</v>
      </c>
    </row>
    <row r="122" spans="1:5" ht="13.8" x14ac:dyDescent="0.25">
      <c r="A122" s="52" t="s">
        <v>65</v>
      </c>
      <c r="B122" s="52" t="s">
        <v>66</v>
      </c>
      <c r="C122" s="52" t="s">
        <v>67</v>
      </c>
      <c r="D122" s="52" t="s">
        <v>69</v>
      </c>
      <c r="E122" s="52" t="s">
        <v>70</v>
      </c>
    </row>
    <row r="123" spans="1:5" x14ac:dyDescent="0.25">
      <c r="A123" s="49" t="s">
        <v>480</v>
      </c>
      <c r="B123" s="4" t="s">
        <v>388</v>
      </c>
      <c r="C123" s="4" t="s">
        <v>79</v>
      </c>
      <c r="D123" s="4" t="s">
        <v>103</v>
      </c>
      <c r="E123" s="39" t="s">
        <v>575</v>
      </c>
    </row>
    <row r="124" spans="1:5" x14ac:dyDescent="0.25">
      <c r="A124" s="49" t="s">
        <v>504</v>
      </c>
      <c r="B124" s="4" t="s">
        <v>275</v>
      </c>
      <c r="C124" s="4" t="s">
        <v>72</v>
      </c>
      <c r="D124" s="4" t="s">
        <v>94</v>
      </c>
      <c r="E124" s="39" t="s">
        <v>576</v>
      </c>
    </row>
    <row r="125" spans="1:5" x14ac:dyDescent="0.25">
      <c r="A125" s="49" t="s">
        <v>447</v>
      </c>
      <c r="B125" s="4" t="s">
        <v>577</v>
      </c>
      <c r="C125" s="4" t="s">
        <v>150</v>
      </c>
      <c r="D125" s="4" t="s">
        <v>183</v>
      </c>
      <c r="E125" s="39" t="s">
        <v>578</v>
      </c>
    </row>
    <row r="126" spans="1:5" x14ac:dyDescent="0.25">
      <c r="A126" s="49" t="s">
        <v>471</v>
      </c>
      <c r="B126" s="4" t="s">
        <v>160</v>
      </c>
      <c r="C126" s="4" t="s">
        <v>79</v>
      </c>
      <c r="D126" s="4" t="s">
        <v>23</v>
      </c>
      <c r="E126" s="39" t="s">
        <v>579</v>
      </c>
    </row>
    <row r="127" spans="1:5" x14ac:dyDescent="0.25">
      <c r="A127" s="49" t="s">
        <v>495</v>
      </c>
      <c r="B127" s="4" t="s">
        <v>82</v>
      </c>
      <c r="C127" s="4" t="s">
        <v>72</v>
      </c>
      <c r="D127" s="4" t="s">
        <v>94</v>
      </c>
      <c r="E127" s="39" t="s">
        <v>580</v>
      </c>
    </row>
    <row r="128" spans="1:5" x14ac:dyDescent="0.25">
      <c r="A128" s="49" t="s">
        <v>537</v>
      </c>
      <c r="B128" s="4" t="s">
        <v>160</v>
      </c>
      <c r="C128" s="4" t="s">
        <v>155</v>
      </c>
      <c r="D128" s="4" t="s">
        <v>135</v>
      </c>
      <c r="E128" s="39" t="s">
        <v>581</v>
      </c>
    </row>
    <row r="129" spans="1:5" x14ac:dyDescent="0.25">
      <c r="A129" s="49" t="s">
        <v>542</v>
      </c>
      <c r="B129" s="4" t="s">
        <v>582</v>
      </c>
      <c r="C129" s="4" t="s">
        <v>155</v>
      </c>
      <c r="D129" s="4" t="s">
        <v>182</v>
      </c>
      <c r="E129" s="39" t="s">
        <v>583</v>
      </c>
    </row>
    <row r="130" spans="1:5" x14ac:dyDescent="0.25">
      <c r="A130" s="49" t="s">
        <v>483</v>
      </c>
      <c r="B130" s="4" t="s">
        <v>584</v>
      </c>
      <c r="C130" s="4" t="s">
        <v>79</v>
      </c>
      <c r="D130" s="4" t="s">
        <v>202</v>
      </c>
      <c r="E130" s="39" t="s">
        <v>585</v>
      </c>
    </row>
    <row r="131" spans="1:5" x14ac:dyDescent="0.25">
      <c r="A131" s="49" t="s">
        <v>532</v>
      </c>
      <c r="B131" s="4" t="s">
        <v>82</v>
      </c>
      <c r="C131" s="4" t="s">
        <v>155</v>
      </c>
      <c r="D131" s="4" t="s">
        <v>536</v>
      </c>
      <c r="E131" s="39" t="s">
        <v>586</v>
      </c>
    </row>
    <row r="132" spans="1:5" x14ac:dyDescent="0.25">
      <c r="A132" s="49" t="s">
        <v>523</v>
      </c>
      <c r="B132" s="4" t="s">
        <v>82</v>
      </c>
      <c r="C132" s="4" t="s">
        <v>77</v>
      </c>
      <c r="D132" s="4" t="s">
        <v>181</v>
      </c>
      <c r="E132" s="39" t="s">
        <v>587</v>
      </c>
    </row>
    <row r="133" spans="1:5" x14ac:dyDescent="0.25">
      <c r="A133" s="49" t="s">
        <v>528</v>
      </c>
      <c r="B133" s="4" t="s">
        <v>160</v>
      </c>
      <c r="C133" s="4" t="s">
        <v>77</v>
      </c>
      <c r="D133" s="4" t="s">
        <v>22</v>
      </c>
      <c r="E133" s="39" t="s">
        <v>588</v>
      </c>
    </row>
    <row r="134" spans="1:5" x14ac:dyDescent="0.25">
      <c r="A134" s="49" t="s">
        <v>475</v>
      </c>
      <c r="B134" s="4" t="s">
        <v>160</v>
      </c>
      <c r="C134" s="4" t="s">
        <v>79</v>
      </c>
      <c r="D134" s="4" t="s">
        <v>479</v>
      </c>
      <c r="E134" s="39" t="s">
        <v>589</v>
      </c>
    </row>
    <row r="135" spans="1:5" x14ac:dyDescent="0.25">
      <c r="A135" s="49" t="s">
        <v>500</v>
      </c>
      <c r="B135" s="4" t="s">
        <v>82</v>
      </c>
      <c r="C135" s="4" t="s">
        <v>72</v>
      </c>
      <c r="D135" s="4" t="s">
        <v>226</v>
      </c>
      <c r="E135" s="39" t="s">
        <v>590</v>
      </c>
    </row>
    <row r="136" spans="1:5" x14ac:dyDescent="0.25">
      <c r="A136" s="49" t="s">
        <v>438</v>
      </c>
      <c r="B136" s="4" t="s">
        <v>82</v>
      </c>
      <c r="C136" s="4" t="s">
        <v>74</v>
      </c>
      <c r="D136" s="4" t="s">
        <v>183</v>
      </c>
      <c r="E136" s="39" t="s">
        <v>591</v>
      </c>
    </row>
  </sheetData>
  <mergeCells count="24">
    <mergeCell ref="A31:J31"/>
    <mergeCell ref="A42:J42"/>
    <mergeCell ref="A50:J50"/>
    <mergeCell ref="A58:J58"/>
    <mergeCell ref="A63:J63"/>
    <mergeCell ref="A66:J66"/>
    <mergeCell ref="A9:J9"/>
    <mergeCell ref="A13:J13"/>
    <mergeCell ref="A17:J17"/>
    <mergeCell ref="A20:J20"/>
    <mergeCell ref="A23:J23"/>
    <mergeCell ref="A27:J2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16D8-5A1D-450A-B834-3AB483137497}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39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37" t="s">
        <v>57</v>
      </c>
    </row>
    <row r="7" spans="1:13" ht="15" x14ac:dyDescent="0.25">
      <c r="E7" s="37" t="s">
        <v>58</v>
      </c>
    </row>
    <row r="8" spans="1:13" ht="15" x14ac:dyDescent="0.25">
      <c r="E8" s="37" t="s">
        <v>59</v>
      </c>
    </row>
    <row r="9" spans="1:13" ht="15" x14ac:dyDescent="0.25">
      <c r="E9" s="37" t="s">
        <v>60</v>
      </c>
    </row>
    <row r="10" spans="1:13" ht="15" x14ac:dyDescent="0.25">
      <c r="E10" s="37" t="s">
        <v>60</v>
      </c>
    </row>
    <row r="11" spans="1:13" ht="15" x14ac:dyDescent="0.25">
      <c r="E11" s="37" t="s">
        <v>61</v>
      </c>
    </row>
    <row r="12" spans="1:13" ht="15" x14ac:dyDescent="0.25">
      <c r="E12" s="37"/>
    </row>
    <row r="14" spans="1:13" ht="17.399999999999999" x14ac:dyDescent="0.3">
      <c r="A14" s="47" t="s">
        <v>62</v>
      </c>
      <c r="B14" s="47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BBBC-B326-4FB0-AE1A-D29ED37F21B7}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1" width="7.6640625" style="39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13</v>
      </c>
      <c r="E3" s="18" t="s">
        <v>4</v>
      </c>
      <c r="F3" s="18" t="s">
        <v>8</v>
      </c>
      <c r="G3" s="18" t="s">
        <v>14</v>
      </c>
      <c r="H3" s="18"/>
      <c r="I3" s="18"/>
      <c r="J3" s="18"/>
      <c r="K3" s="18" t="s">
        <v>84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6" t="s">
        <v>89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27" t="s">
        <v>309</v>
      </c>
      <c r="B6" s="27" t="s">
        <v>310</v>
      </c>
      <c r="C6" s="27" t="s">
        <v>215</v>
      </c>
      <c r="D6" s="27" t="str">
        <f>"0,6673"</f>
        <v>0,6673</v>
      </c>
      <c r="E6" s="27" t="s">
        <v>20</v>
      </c>
      <c r="F6" s="27" t="s">
        <v>21</v>
      </c>
      <c r="G6" s="29" t="s">
        <v>48</v>
      </c>
      <c r="H6" s="28" t="s">
        <v>392</v>
      </c>
      <c r="I6" s="28" t="s">
        <v>392</v>
      </c>
      <c r="J6" s="28"/>
      <c r="K6" s="40" t="str">
        <f>"230,0"</f>
        <v>230,0</v>
      </c>
      <c r="L6" s="41" t="str">
        <f>"153,4790"</f>
        <v>153,4790</v>
      </c>
      <c r="M6" s="27" t="s">
        <v>25</v>
      </c>
    </row>
    <row r="8" spans="1:13" ht="15" x14ac:dyDescent="0.25">
      <c r="E8" s="37" t="s">
        <v>57</v>
      </c>
    </row>
    <row r="9" spans="1:13" ht="15" x14ac:dyDescent="0.25">
      <c r="E9" s="37" t="s">
        <v>58</v>
      </c>
    </row>
    <row r="10" spans="1:13" ht="15" x14ac:dyDescent="0.25">
      <c r="E10" s="37" t="s">
        <v>59</v>
      </c>
    </row>
    <row r="11" spans="1:13" ht="15" x14ac:dyDescent="0.25">
      <c r="E11" s="37" t="s">
        <v>60</v>
      </c>
    </row>
    <row r="12" spans="1:13" ht="15" x14ac:dyDescent="0.25">
      <c r="E12" s="37" t="s">
        <v>60</v>
      </c>
    </row>
    <row r="13" spans="1:13" ht="15" x14ac:dyDescent="0.25">
      <c r="E13" s="37" t="s">
        <v>61</v>
      </c>
    </row>
    <row r="14" spans="1:13" ht="15" x14ac:dyDescent="0.25">
      <c r="E14" s="37"/>
    </row>
    <row r="16" spans="1:13" ht="17.399999999999999" x14ac:dyDescent="0.3">
      <c r="A16" s="47" t="s">
        <v>62</v>
      </c>
      <c r="B16" s="47"/>
    </row>
    <row r="17" spans="1:5" ht="15.6" x14ac:dyDescent="0.3">
      <c r="A17" s="48" t="s">
        <v>63</v>
      </c>
      <c r="B17" s="48"/>
    </row>
    <row r="18" spans="1:5" ht="14.4" x14ac:dyDescent="0.3">
      <c r="A18" s="50"/>
      <c r="B18" s="51" t="s">
        <v>76</v>
      </c>
    </row>
    <row r="19" spans="1:5" ht="13.8" x14ac:dyDescent="0.25">
      <c r="A19" s="52" t="s">
        <v>65</v>
      </c>
      <c r="B19" s="52" t="s">
        <v>66</v>
      </c>
      <c r="C19" s="52" t="s">
        <v>67</v>
      </c>
      <c r="D19" s="52" t="s">
        <v>69</v>
      </c>
      <c r="E19" s="52" t="s">
        <v>70</v>
      </c>
    </row>
    <row r="20" spans="1:5" x14ac:dyDescent="0.25">
      <c r="A20" s="49" t="s">
        <v>308</v>
      </c>
      <c r="B20" s="4" t="s">
        <v>76</v>
      </c>
      <c r="C20" s="4" t="s">
        <v>150</v>
      </c>
      <c r="D20" s="4" t="s">
        <v>48</v>
      </c>
      <c r="E20" s="39" t="s">
        <v>393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Лист18</vt:lpstr>
      <vt:lpstr>AWPA пл multi</vt:lpstr>
      <vt:lpstr>AWPA пл standart</vt:lpstr>
      <vt:lpstr>AWPA пл б_э</vt:lpstr>
      <vt:lpstr>AWPA жим multi</vt:lpstr>
      <vt:lpstr>AWPA жим standart</vt:lpstr>
      <vt:lpstr>AWPA жим б_э</vt:lpstr>
      <vt:lpstr>AWPA тяга multi</vt:lpstr>
      <vt:lpstr>AWPA тяга standart</vt:lpstr>
      <vt:lpstr>AWPA тяга б_э</vt:lpstr>
      <vt:lpstr>WPA пл multi</vt:lpstr>
      <vt:lpstr>WPA пл standart</vt:lpstr>
      <vt:lpstr>WPA пл б_э</vt:lpstr>
      <vt:lpstr>WPA жим multi</vt:lpstr>
      <vt:lpstr>WPA жим standart</vt:lpstr>
      <vt:lpstr>WPA жим б_э</vt:lpstr>
      <vt:lpstr>WPA тяга multi</vt:lpstr>
      <vt:lpstr>WPA тяга standart</vt:lpstr>
      <vt:lpstr>WPA тяга б_э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Admin</cp:lastModifiedBy>
  <cp:lastPrinted>2015-07-16T19:10:53Z</cp:lastPrinted>
  <dcterms:created xsi:type="dcterms:W3CDTF">2002-06-16T13:36:44Z</dcterms:created>
  <dcterms:modified xsi:type="dcterms:W3CDTF">2022-04-09T18:34:42Z</dcterms:modified>
</cp:coreProperties>
</file>