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25725" refMode="R1C1"/>
</workbook>
</file>

<file path=xl/calcChain.xml><?xml version="1.0" encoding="utf-8"?>
<calcChain xmlns="http://schemas.openxmlformats.org/spreadsheetml/2006/main">
  <c r="A10286" i="1"/>
  <c r="A10285"/>
  <c r="A10284"/>
  <c r="A10283"/>
  <c r="A10282"/>
  <c r="A10281"/>
  <c r="A10280"/>
  <c r="A10279"/>
  <c r="A10278"/>
  <c r="A10276"/>
  <c r="A10275"/>
  <c r="A10274"/>
  <c r="A10272"/>
  <c r="A10271"/>
  <c r="A10270"/>
  <c r="A10269"/>
  <c r="A10268"/>
  <c r="A10267"/>
  <c r="A10266"/>
  <c r="A10265"/>
  <c r="A10264"/>
  <c r="A10262"/>
  <c r="A10261"/>
  <c r="A10260"/>
  <c r="A10259"/>
  <c r="A10258"/>
  <c r="A10257"/>
  <c r="A10255"/>
  <c r="A10254"/>
  <c r="A10253"/>
  <c r="A10252"/>
  <c r="A10250"/>
  <c r="A10249"/>
  <c r="A10248"/>
  <c r="A10247"/>
  <c r="A10246"/>
  <c r="A10245"/>
  <c r="A10244"/>
  <c r="A10243"/>
  <c r="A10242"/>
  <c r="A10240"/>
  <c r="A10239"/>
  <c r="A10238"/>
  <c r="A10237"/>
  <c r="A10236"/>
  <c r="A10235"/>
  <c r="A10234"/>
  <c r="A10233"/>
  <c r="A10231"/>
  <c r="A10230"/>
  <c r="A10229"/>
  <c r="A10228"/>
  <c r="A10227"/>
  <c r="A10226"/>
  <c r="A10225"/>
  <c r="A10224"/>
  <c r="A10222"/>
  <c r="A10221"/>
  <c r="A10220"/>
  <c r="A10219"/>
  <c r="A10218"/>
  <c r="A10217"/>
  <c r="A10216"/>
  <c r="A10215"/>
  <c r="A10213"/>
  <c r="A10212"/>
  <c r="A10211"/>
  <c r="A10210"/>
  <c r="A10209"/>
  <c r="A10208"/>
  <c r="A10207"/>
  <c r="A10206"/>
  <c r="A10205"/>
  <c r="A10204"/>
  <c r="A10203"/>
  <c r="A10202"/>
  <c r="A10200"/>
  <c r="A10199"/>
  <c r="A10198"/>
  <c r="A10197"/>
  <c r="A10196"/>
  <c r="A10195"/>
  <c r="A10194"/>
  <c r="A10193"/>
  <c r="A10192"/>
  <c r="A10191"/>
  <c r="A10190"/>
  <c r="A10189"/>
  <c r="A10188"/>
  <c r="A10187"/>
  <c r="A10186"/>
  <c r="A10185"/>
  <c r="A10183"/>
  <c r="A10182"/>
  <c r="A10181"/>
  <c r="A10180"/>
  <c r="A10179"/>
  <c r="A10178"/>
  <c r="A10177"/>
  <c r="A10176"/>
  <c r="A10175"/>
  <c r="A10174"/>
  <c r="A10173"/>
  <c r="A10172"/>
  <c r="A10171"/>
  <c r="A10170"/>
  <c r="A10168"/>
  <c r="A10166"/>
  <c r="A10165"/>
  <c r="A10164"/>
  <c r="A10163"/>
  <c r="A10161"/>
  <c r="A10160"/>
  <c r="A10158"/>
  <c r="A10157"/>
  <c r="A10156"/>
  <c r="A10155"/>
  <c r="A10154"/>
  <c r="A10153"/>
  <c r="A10152"/>
  <c r="A10151"/>
  <c r="A10150"/>
  <c r="A10148"/>
  <c r="A10147"/>
  <c r="A10146"/>
  <c r="A10145"/>
  <c r="A10144"/>
  <c r="A10143"/>
  <c r="A10142"/>
  <c r="A10140"/>
  <c r="A10139"/>
  <c r="A10138"/>
  <c r="A10137"/>
  <c r="A10136"/>
  <c r="A10135"/>
  <c r="A10134"/>
  <c r="A10133"/>
  <c r="A10132"/>
  <c r="A10131"/>
  <c r="A10130"/>
  <c r="A10128"/>
  <c r="A10126"/>
  <c r="A10125"/>
  <c r="A10123"/>
  <c r="A10122"/>
  <c r="A10121"/>
  <c r="A10120"/>
  <c r="A10119"/>
  <c r="A10118"/>
  <c r="A10117"/>
  <c r="A10116"/>
  <c r="A10115"/>
  <c r="A10114"/>
  <c r="A10112"/>
  <c r="A10111"/>
  <c r="A10110"/>
  <c r="A10109"/>
  <c r="A10108"/>
  <c r="A10107"/>
  <c r="A10106"/>
  <c r="A10105"/>
  <c r="A10104"/>
  <c r="A10103"/>
  <c r="A10101"/>
  <c r="A10100"/>
  <c r="A10099"/>
  <c r="A10098"/>
  <c r="A10097"/>
  <c r="A10096"/>
  <c r="A10095"/>
  <c r="A10094"/>
  <c r="A10091"/>
  <c r="A10090"/>
  <c r="A10089"/>
  <c r="A10088"/>
  <c r="A10087"/>
  <c r="A10086"/>
  <c r="A10084"/>
  <c r="A10083"/>
  <c r="A10082"/>
  <c r="A10081"/>
  <c r="A10080"/>
  <c r="A10079"/>
  <c r="A10078"/>
  <c r="A10077"/>
  <c r="A10076"/>
  <c r="A10075"/>
  <c r="A10074"/>
  <c r="A10073"/>
  <c r="A10072"/>
  <c r="A10071"/>
  <c r="A10070"/>
  <c r="A10068"/>
  <c r="A10067"/>
  <c r="A10066"/>
  <c r="A10065"/>
  <c r="A10064"/>
  <c r="A10063"/>
  <c r="A10062"/>
  <c r="A10061"/>
  <c r="A10060"/>
  <c r="A10059"/>
  <c r="A10058"/>
  <c r="A10057"/>
  <c r="A10056"/>
  <c r="A10055"/>
  <c r="A10054"/>
  <c r="A10053"/>
  <c r="A10052"/>
  <c r="A10051"/>
  <c r="A10050"/>
  <c r="A10049"/>
  <c r="A10048"/>
  <c r="A10047"/>
  <c r="A10046"/>
  <c r="A10045"/>
  <c r="A10043"/>
  <c r="A10042"/>
  <c r="A10041"/>
  <c r="A10040"/>
  <c r="A10039"/>
  <c r="A10038"/>
  <c r="A10037"/>
  <c r="A10036"/>
  <c r="A10035"/>
  <c r="A10034"/>
  <c r="A10033"/>
  <c r="A10032"/>
  <c r="A10031"/>
  <c r="A10030"/>
  <c r="A10029"/>
  <c r="A10028"/>
  <c r="A10027"/>
  <c r="A10026"/>
  <c r="A10025"/>
  <c r="A10024"/>
  <c r="A10023"/>
  <c r="A10022"/>
  <c r="A10021"/>
  <c r="A10020"/>
  <c r="A10019"/>
  <c r="A10018"/>
  <c r="A10017"/>
  <c r="A10016"/>
  <c r="A10015"/>
  <c r="A10014"/>
  <c r="A10013"/>
  <c r="A10012"/>
  <c r="A10011"/>
  <c r="A10010"/>
  <c r="A10009"/>
  <c r="A10008"/>
  <c r="A10007"/>
  <c r="A10006"/>
  <c r="A10005"/>
  <c r="A10004"/>
  <c r="A10003"/>
  <c r="A10002"/>
  <c r="A10001"/>
  <c r="A10000"/>
  <c r="A9999"/>
  <c r="A9998"/>
  <c r="A9997"/>
  <c r="A9996"/>
  <c r="A9995"/>
  <c r="A9993"/>
  <c r="A9992"/>
  <c r="A9991"/>
  <c r="A9990"/>
  <c r="A9989"/>
  <c r="A9988"/>
  <c r="A9987"/>
  <c r="A9986"/>
  <c r="A9985"/>
  <c r="A9984"/>
  <c r="A9983"/>
  <c r="A9982"/>
  <c r="A9980"/>
  <c r="A9979"/>
  <c r="A9978"/>
  <c r="A9977"/>
  <c r="A9976"/>
  <c r="A9975"/>
  <c r="A9974"/>
  <c r="A9973"/>
  <c r="A9972"/>
  <c r="A9971"/>
  <c r="A9970"/>
  <c r="A9969"/>
  <c r="A9968"/>
  <c r="A9967"/>
  <c r="A9966"/>
  <c r="A9965"/>
  <c r="A9964"/>
  <c r="A9963"/>
  <c r="A9962"/>
  <c r="A9961"/>
  <c r="A9960"/>
  <c r="A9959"/>
  <c r="A9957"/>
  <c r="A9956"/>
  <c r="A9955"/>
  <c r="A9954"/>
  <c r="A9953"/>
  <c r="A9952"/>
  <c r="A9951"/>
  <c r="A9950"/>
  <c r="A9949"/>
  <c r="A9948"/>
  <c r="A9947"/>
  <c r="A9945"/>
  <c r="A9944"/>
  <c r="A9942"/>
  <c r="A9941"/>
  <c r="A9940"/>
  <c r="A9939"/>
  <c r="A9938"/>
  <c r="A9936"/>
  <c r="A9935"/>
  <c r="A9934"/>
  <c r="A9933"/>
  <c r="A9932"/>
  <c r="A9931"/>
  <c r="A9930"/>
  <c r="A9929"/>
  <c r="A9928"/>
  <c r="A9927"/>
  <c r="A9926"/>
  <c r="A9925"/>
  <c r="A9924"/>
  <c r="A9923"/>
  <c r="A9922"/>
  <c r="A9921"/>
  <c r="A9919"/>
  <c r="A9918"/>
  <c r="A9917"/>
  <c r="A9915"/>
  <c r="A9914"/>
  <c r="A9913"/>
  <c r="A9912"/>
  <c r="A9911"/>
  <c r="A9909"/>
  <c r="A9908"/>
  <c r="A9907"/>
  <c r="A9906"/>
  <c r="A9905"/>
  <c r="A9904"/>
  <c r="A9903"/>
  <c r="A9902"/>
  <c r="A9901"/>
  <c r="A9900"/>
  <c r="A9899"/>
  <c r="A9898"/>
  <c r="A9897"/>
  <c r="A9896"/>
  <c r="A9895"/>
  <c r="A9894"/>
  <c r="A9892"/>
  <c r="A9891"/>
  <c r="A9890"/>
  <c r="A9888"/>
  <c r="A9887"/>
  <c r="A9886"/>
  <c r="A9885"/>
  <c r="A9884"/>
  <c r="A9883"/>
  <c r="A9882"/>
  <c r="A9881"/>
  <c r="A9880"/>
  <c r="A9879"/>
  <c r="A9878"/>
  <c r="A9877"/>
  <c r="A9876"/>
  <c r="A9875"/>
  <c r="A9874"/>
  <c r="A9873"/>
  <c r="A9872"/>
  <c r="A9870"/>
  <c r="A9869"/>
  <c r="A9868"/>
  <c r="A9867"/>
  <c r="A9866"/>
  <c r="A9865"/>
  <c r="A9863"/>
  <c r="A9862"/>
  <c r="A9861"/>
  <c r="A9860"/>
  <c r="A9859"/>
  <c r="A9858"/>
  <c r="A9857"/>
  <c r="A9856"/>
  <c r="A9855"/>
  <c r="A9854"/>
  <c r="A9853"/>
  <c r="A9852"/>
  <c r="A9851"/>
  <c r="A9850"/>
  <c r="A9849"/>
  <c r="A9848"/>
  <c r="A9847"/>
  <c r="A9846"/>
  <c r="A9845"/>
  <c r="A9844"/>
  <c r="A9843"/>
  <c r="A9842"/>
  <c r="A9841"/>
  <c r="A9839"/>
  <c r="A9838"/>
  <c r="A9837"/>
  <c r="A9836"/>
  <c r="A9835"/>
  <c r="A9834"/>
  <c r="A9833"/>
  <c r="A9832"/>
  <c r="A9831"/>
  <c r="A9830"/>
  <c r="A9829"/>
  <c r="A9828"/>
  <c r="A9827"/>
  <c r="A9826"/>
  <c r="A9825"/>
  <c r="A9824"/>
  <c r="A9823"/>
  <c r="A9822"/>
  <c r="A9821"/>
  <c r="A9820"/>
  <c r="A9818"/>
  <c r="A9817"/>
  <c r="A9816"/>
  <c r="A9815"/>
  <c r="A9813"/>
  <c r="A9812"/>
  <c r="A9811"/>
  <c r="A9810"/>
  <c r="A9809"/>
  <c r="A9808"/>
  <c r="A9807"/>
  <c r="A9806"/>
  <c r="A9805"/>
  <c r="A9804"/>
  <c r="A9803"/>
  <c r="A9802"/>
  <c r="A9801"/>
  <c r="A9800"/>
  <c r="A9799"/>
  <c r="A9798"/>
  <c r="A9797"/>
  <c r="A9796"/>
  <c r="A9795"/>
  <c r="A9794"/>
  <c r="A9793"/>
  <c r="A9792"/>
  <c r="A9791"/>
  <c r="A9790"/>
  <c r="A9789"/>
  <c r="A9788"/>
  <c r="A9787"/>
  <c r="A9786"/>
  <c r="A9785"/>
  <c r="A9784"/>
  <c r="A9782"/>
  <c r="A9781"/>
  <c r="A9780"/>
  <c r="A9779"/>
  <c r="A9778"/>
  <c r="A9777"/>
  <c r="A9776"/>
  <c r="A9775"/>
  <c r="A9774"/>
  <c r="A9773"/>
  <c r="A9772"/>
  <c r="A9771"/>
  <c r="A9770"/>
  <c r="A9769"/>
  <c r="A9768"/>
  <c r="A9767"/>
  <c r="A9766"/>
  <c r="A9765"/>
  <c r="A9764"/>
  <c r="A9762"/>
  <c r="A9761"/>
  <c r="A9760"/>
  <c r="A9759"/>
  <c r="A9758"/>
  <c r="A9757"/>
  <c r="A9756"/>
  <c r="A9755"/>
  <c r="A9754"/>
  <c r="A9753"/>
  <c r="A9752"/>
  <c r="A9751"/>
  <c r="A9750"/>
  <c r="A9749"/>
  <c r="A9748"/>
  <c r="A9747"/>
  <c r="A9746"/>
  <c r="A9745"/>
  <c r="A9744"/>
  <c r="A9743"/>
  <c r="A9742"/>
  <c r="A9741"/>
  <c r="A9740"/>
  <c r="A9739"/>
  <c r="A9738"/>
  <c r="A9737"/>
  <c r="A9736"/>
  <c r="A9734"/>
  <c r="A9733"/>
  <c r="A9732"/>
  <c r="A9731"/>
  <c r="A9730"/>
  <c r="A9729"/>
  <c r="A9727"/>
  <c r="A9726"/>
  <c r="A9724"/>
  <c r="A9723"/>
  <c r="A9722"/>
  <c r="A9721"/>
  <c r="A9720"/>
  <c r="A9718"/>
  <c r="A9717"/>
  <c r="A9716"/>
  <c r="A9715"/>
  <c r="A9714"/>
  <c r="A9713"/>
  <c r="A9711"/>
  <c r="A9710"/>
  <c r="A9709"/>
  <c r="A9708"/>
  <c r="A9706"/>
  <c r="A9705"/>
  <c r="A9704"/>
  <c r="A9703"/>
  <c r="A9702"/>
  <c r="A9701"/>
  <c r="A9700"/>
  <c r="A9699"/>
  <c r="A9697"/>
  <c r="A9696"/>
  <c r="A9695"/>
  <c r="A9694"/>
  <c r="A9693"/>
  <c r="A9691"/>
  <c r="A9690"/>
  <c r="A9688"/>
  <c r="A9687"/>
  <c r="A9686"/>
  <c r="A9685"/>
  <c r="A9684"/>
  <c r="A9683"/>
  <c r="A9682"/>
  <c r="A9681"/>
  <c r="A9680"/>
  <c r="A9679"/>
  <c r="A9677"/>
  <c r="A9676"/>
  <c r="A9675"/>
  <c r="A9674"/>
  <c r="A9673"/>
  <c r="A9672"/>
  <c r="A9671"/>
  <c r="A9670"/>
  <c r="A9668"/>
  <c r="A9667"/>
  <c r="A9666"/>
  <c r="A9665"/>
  <c r="A9664"/>
  <c r="A9663"/>
  <c r="A9662"/>
  <c r="A9661"/>
  <c r="A9660"/>
  <c r="A9659"/>
  <c r="A9658"/>
  <c r="A9657"/>
  <c r="A9656"/>
  <c r="A9655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49"/>
  <c r="A9548"/>
  <c r="A9547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5"/>
  <c r="A9504"/>
  <c r="A9503"/>
  <c r="A9502"/>
  <c r="A9501"/>
  <c r="A9500"/>
  <c r="A9498"/>
  <c r="A9497"/>
  <c r="A9495"/>
  <c r="A9494"/>
  <c r="A9493"/>
  <c r="A9491"/>
  <c r="A9490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59"/>
  <c r="A9458"/>
  <c r="A9457"/>
  <c r="A9456"/>
  <c r="A9455"/>
  <c r="A9454"/>
  <c r="A9453"/>
  <c r="A9451"/>
  <c r="A9450"/>
  <c r="A9449"/>
  <c r="A9448"/>
  <c r="A9446"/>
  <c r="A9445"/>
  <c r="A9443"/>
  <c r="A9442"/>
  <c r="A9440"/>
  <c r="A9437"/>
  <c r="A9436"/>
  <c r="A9434"/>
  <c r="A9433"/>
  <c r="A9432"/>
  <c r="A9431"/>
  <c r="A9430"/>
  <c r="A9429"/>
  <c r="A9428"/>
  <c r="A9427"/>
  <c r="A9426"/>
  <c r="A9425"/>
  <c r="A9423"/>
  <c r="A9422"/>
  <c r="A9421"/>
  <c r="A9420"/>
  <c r="A9419"/>
  <c r="A9418"/>
  <c r="A9417"/>
  <c r="A9416"/>
  <c r="A9415"/>
  <c r="A9414"/>
  <c r="A9413"/>
  <c r="A9412"/>
  <c r="A9411"/>
  <c r="A9410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0"/>
  <c r="A9388"/>
  <c r="A9386"/>
  <c r="A9385"/>
  <c r="A9384"/>
  <c r="A9383"/>
  <c r="A9382"/>
  <c r="A9381"/>
  <c r="A9380"/>
  <c r="A9379"/>
  <c r="A9378"/>
  <c r="A9376"/>
  <c r="A9375"/>
  <c r="A9374"/>
  <c r="A9373"/>
  <c r="A9372"/>
  <c r="A9370"/>
  <c r="A9369"/>
  <c r="A9368"/>
  <c r="A9367"/>
  <c r="A9366"/>
  <c r="A9364"/>
  <c r="A9362"/>
  <c r="A9361"/>
  <c r="A9360"/>
  <c r="A9359"/>
  <c r="A9358"/>
  <c r="A9357"/>
  <c r="A9356"/>
  <c r="A9355"/>
  <c r="A9354"/>
  <c r="A9353"/>
  <c r="A9352"/>
  <c r="A9351"/>
  <c r="A9350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29"/>
  <c r="A9328"/>
  <c r="A9327"/>
  <c r="A9326"/>
  <c r="A9325"/>
  <c r="A9324"/>
  <c r="A9323"/>
  <c r="A9322"/>
  <c r="A9321"/>
  <c r="A9320"/>
  <c r="A9319"/>
  <c r="A9318"/>
  <c r="A9317"/>
  <c r="A9316"/>
  <c r="A9315"/>
  <c r="A9313"/>
  <c r="A9312"/>
  <c r="A9311"/>
  <c r="A9310"/>
  <c r="A9309"/>
  <c r="A9308"/>
  <c r="A9306"/>
  <c r="A9305"/>
  <c r="A9303"/>
  <c r="A9302"/>
  <c r="A9300"/>
  <c r="A9299"/>
  <c r="A9298"/>
  <c r="A9297"/>
  <c r="A9296"/>
  <c r="A9295"/>
  <c r="A9293"/>
  <c r="A9292"/>
  <c r="A9291"/>
  <c r="A9290"/>
  <c r="A9289"/>
  <c r="A9287"/>
  <c r="A9286"/>
  <c r="A9285"/>
  <c r="A9283"/>
  <c r="A9282"/>
  <c r="A9281"/>
  <c r="A9279"/>
  <c r="A9278"/>
  <c r="A9276"/>
  <c r="A9274"/>
  <c r="A9272"/>
  <c r="A9271"/>
  <c r="A9269"/>
  <c r="A9267"/>
  <c r="A9266"/>
  <c r="A9264"/>
  <c r="A9262"/>
  <c r="A9261"/>
  <c r="A9260"/>
  <c r="A9259"/>
  <c r="A9258"/>
  <c r="A9256"/>
  <c r="A9255"/>
  <c r="A9254"/>
  <c r="A9253"/>
  <c r="A9251"/>
  <c r="A9250"/>
  <c r="A9249"/>
  <c r="A9248"/>
  <c r="A9247"/>
  <c r="A9246"/>
  <c r="A9245"/>
  <c r="A9244"/>
  <c r="A9243"/>
  <c r="A9242"/>
  <c r="A9241"/>
  <c r="A9240"/>
  <c r="A9239"/>
  <c r="A9238"/>
  <c r="A9236"/>
  <c r="A9235"/>
  <c r="A9234"/>
  <c r="A9233"/>
  <c r="A9232"/>
  <c r="A9231"/>
  <c r="A9230"/>
  <c r="A9229"/>
  <c r="A9228"/>
  <c r="A9227"/>
  <c r="A9226"/>
  <c r="A9224"/>
  <c r="A9223"/>
  <c r="A9222"/>
  <c r="A9221"/>
  <c r="A9220"/>
  <c r="A9219"/>
  <c r="A9218"/>
  <c r="A9217"/>
  <c r="A9216"/>
  <c r="A9215"/>
  <c r="A9213"/>
  <c r="A9212"/>
  <c r="A9211"/>
  <c r="A9210"/>
  <c r="A9209"/>
  <c r="A9208"/>
  <c r="A9206"/>
  <c r="A9205"/>
  <c r="A9203"/>
  <c r="A9202"/>
  <c r="A9200"/>
  <c r="A9199"/>
  <c r="A9197"/>
  <c r="A9195"/>
  <c r="A9194"/>
  <c r="A9192"/>
  <c r="A9191"/>
  <c r="A9190"/>
  <c r="A9189"/>
  <c r="A9188"/>
  <c r="A9187"/>
  <c r="A9185"/>
  <c r="A9183"/>
  <c r="A9181"/>
  <c r="A9179"/>
  <c r="A9178"/>
  <c r="A9177"/>
  <c r="A9176"/>
  <c r="A9175"/>
  <c r="A9174"/>
  <c r="A9173"/>
  <c r="A9172"/>
  <c r="A9171"/>
  <c r="A9170"/>
  <c r="A9169"/>
  <c r="A9168"/>
  <c r="A9167"/>
  <c r="A9165"/>
  <c r="A9164"/>
  <c r="A9163"/>
  <c r="A9162"/>
  <c r="A9161"/>
  <c r="A9160"/>
  <c r="A9159"/>
  <c r="A9157"/>
  <c r="A9156"/>
  <c r="A9155"/>
  <c r="A9154"/>
  <c r="A9152"/>
  <c r="A9150"/>
  <c r="A9149"/>
  <c r="A9148"/>
  <c r="A9146"/>
  <c r="A9145"/>
  <c r="A9144"/>
  <c r="A9143"/>
  <c r="A9142"/>
  <c r="A9141"/>
  <c r="A9139"/>
  <c r="A9138"/>
  <c r="A9137"/>
  <c r="A9136"/>
  <c r="A9135"/>
  <c r="A9134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4"/>
  <c r="A9083"/>
  <c r="A9082"/>
  <c r="A9081"/>
  <c r="A9080"/>
  <c r="A9079"/>
  <c r="A9078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5"/>
  <c r="A9054"/>
  <c r="A9053"/>
  <c r="A9052"/>
  <c r="A9051"/>
  <c r="A9050"/>
  <c r="A9049"/>
  <c r="A9048"/>
  <c r="A9047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6"/>
  <c r="A9024"/>
  <c r="A9023"/>
  <c r="A9022"/>
  <c r="A9020"/>
  <c r="A9019"/>
  <c r="A9018"/>
  <c r="A9017"/>
  <c r="A9016"/>
  <c r="A9015"/>
  <c r="A9014"/>
  <c r="A9012"/>
  <c r="A9010"/>
  <c r="A9009"/>
  <c r="A9008"/>
  <c r="A9006"/>
  <c r="A9005"/>
  <c r="A9004"/>
  <c r="A9002"/>
  <c r="A9001"/>
  <c r="A9000"/>
  <c r="A8999"/>
  <c r="A8998"/>
  <c r="A8996"/>
  <c r="A8995"/>
  <c r="A8993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6"/>
  <c r="A8965"/>
  <c r="A8964"/>
  <c r="A8963"/>
  <c r="A8962"/>
  <c r="A8961"/>
  <c r="A8960"/>
  <c r="A8959"/>
  <c r="A8958"/>
  <c r="A8957"/>
  <c r="A8956"/>
  <c r="A8955"/>
  <c r="A8953"/>
  <c r="A8951"/>
  <c r="A8950"/>
  <c r="A8949"/>
  <c r="A8948"/>
  <c r="A8947"/>
  <c r="A8946"/>
  <c r="A8945"/>
  <c r="A8944"/>
  <c r="A8942"/>
  <c r="A8941"/>
  <c r="A8940"/>
  <c r="A8939"/>
  <c r="A8938"/>
  <c r="A8937"/>
  <c r="A8936"/>
  <c r="A8935"/>
  <c r="A8934"/>
  <c r="A8933"/>
  <c r="A8932"/>
  <c r="A8931"/>
  <c r="A8929"/>
  <c r="A8928"/>
  <c r="A8927"/>
  <c r="A8926"/>
  <c r="A8925"/>
  <c r="A8923"/>
  <c r="A8922"/>
  <c r="A8921"/>
  <c r="A8920"/>
  <c r="A8919"/>
  <c r="A8918"/>
  <c r="A8916"/>
  <c r="A8915"/>
  <c r="A8914"/>
  <c r="A8913"/>
  <c r="A8912"/>
  <c r="A8911"/>
  <c r="A8910"/>
  <c r="A8909"/>
  <c r="A8908"/>
  <c r="A8907"/>
  <c r="A8906"/>
  <c r="A8904"/>
  <c r="A8903"/>
  <c r="A8902"/>
  <c r="A8901"/>
  <c r="A8900"/>
  <c r="A8898"/>
  <c r="A8897"/>
  <c r="A8896"/>
  <c r="A8895"/>
  <c r="A8894"/>
  <c r="A8893"/>
  <c r="A8892"/>
  <c r="A8891"/>
  <c r="A8890"/>
  <c r="A8889"/>
  <c r="A8887"/>
  <c r="A8886"/>
  <c r="A8885"/>
  <c r="A8884"/>
  <c r="A8883"/>
  <c r="A8882"/>
  <c r="A8881"/>
  <c r="A8880"/>
  <c r="A8879"/>
  <c r="A8878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0"/>
  <c r="A8839"/>
  <c r="A8838"/>
  <c r="A8836"/>
  <c r="A8835"/>
  <c r="A8834"/>
  <c r="A8833"/>
  <c r="A8832"/>
  <c r="A8831"/>
  <c r="A8830"/>
  <c r="A8829"/>
  <c r="A8828"/>
  <c r="A8827"/>
  <c r="A8826"/>
  <c r="A8825"/>
  <c r="A8824"/>
  <c r="A8823"/>
  <c r="A8822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79"/>
  <c r="A8778"/>
  <c r="A8777"/>
  <c r="A8776"/>
  <c r="A8774"/>
  <c r="A8773"/>
  <c r="A8772"/>
  <c r="A8771"/>
  <c r="A8770"/>
  <c r="A8769"/>
  <c r="A8768"/>
  <c r="A8767"/>
  <c r="A8766"/>
  <c r="A8765"/>
  <c r="A8764"/>
  <c r="A8763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3"/>
  <c r="A8742"/>
  <c r="A8741"/>
  <c r="A8740"/>
  <c r="A8738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3"/>
  <c r="A8712"/>
  <c r="A8711"/>
  <c r="A8710"/>
  <c r="A8709"/>
  <c r="A8708"/>
  <c r="A8707"/>
  <c r="A8706"/>
  <c r="A8705"/>
  <c r="A8703"/>
  <c r="A8702"/>
  <c r="A8701"/>
  <c r="A8700"/>
  <c r="A8699"/>
  <c r="A8698"/>
  <c r="A8697"/>
  <c r="A8696"/>
  <c r="A8694"/>
  <c r="A8693"/>
  <c r="A8692"/>
  <c r="A8691"/>
  <c r="A8690"/>
  <c r="A8689"/>
  <c r="A8688"/>
  <c r="A8687"/>
  <c r="A8686"/>
  <c r="A8685"/>
  <c r="A8684"/>
  <c r="A8682"/>
  <c r="A8681"/>
  <c r="A8680"/>
  <c r="A8679"/>
  <c r="A8678"/>
  <c r="A8677"/>
  <c r="A8676"/>
  <c r="A8674"/>
  <c r="A8673"/>
  <c r="A8672"/>
  <c r="A8671"/>
  <c r="A8670"/>
  <c r="A8669"/>
  <c r="A8668"/>
  <c r="A8667"/>
  <c r="A8665"/>
  <c r="A8664"/>
  <c r="A8663"/>
  <c r="A8662"/>
  <c r="A8661"/>
  <c r="A8660"/>
  <c r="A8659"/>
  <c r="A8658"/>
  <c r="A8657"/>
  <c r="A8656"/>
  <c r="A8655"/>
  <c r="A8654"/>
  <c r="A8652"/>
  <c r="A8651"/>
  <c r="A8650"/>
  <c r="A8648"/>
  <c r="A8647"/>
  <c r="A8645"/>
  <c r="A8644"/>
  <c r="A8643"/>
  <c r="A8642"/>
  <c r="A8641"/>
  <c r="A8639"/>
  <c r="A8638"/>
  <c r="A8637"/>
  <c r="A8636"/>
  <c r="A8635"/>
  <c r="A8634"/>
  <c r="A8633"/>
  <c r="A8632"/>
  <c r="A8631"/>
  <c r="A8630"/>
  <c r="A8629"/>
  <c r="A8628"/>
  <c r="A8627"/>
  <c r="A8625"/>
  <c r="A8624"/>
  <c r="A8623"/>
  <c r="A8622"/>
  <c r="A8621"/>
  <c r="A8619"/>
  <c r="A8618"/>
  <c r="A8617"/>
  <c r="A8616"/>
  <c r="A8615"/>
  <c r="A8613"/>
  <c r="A8612"/>
  <c r="A8611"/>
  <c r="A8610"/>
  <c r="A8608"/>
  <c r="A8607"/>
  <c r="A8606"/>
  <c r="A8605"/>
  <c r="A8604"/>
  <c r="A8603"/>
  <c r="A8602"/>
  <c r="A8601"/>
  <c r="A8600"/>
  <c r="A8599"/>
  <c r="A8598"/>
  <c r="A8597"/>
  <c r="A8596"/>
  <c r="A8594"/>
  <c r="A8593"/>
  <c r="A8592"/>
  <c r="A8590"/>
  <c r="A8589"/>
  <c r="A8587"/>
  <c r="A8586"/>
  <c r="A8585"/>
  <c r="A8584"/>
  <c r="A8583"/>
  <c r="A8582"/>
  <c r="A8581"/>
  <c r="A8578"/>
  <c r="A8576"/>
  <c r="A8575"/>
  <c r="A8574"/>
  <c r="A8572"/>
  <c r="A8571"/>
  <c r="A8570"/>
  <c r="A8569"/>
  <c r="A8568"/>
  <c r="A8566"/>
  <c r="A8565"/>
  <c r="A8564"/>
  <c r="A8563"/>
  <c r="A8562"/>
  <c r="A8561"/>
  <c r="A8560"/>
  <c r="A8559"/>
  <c r="A8557"/>
  <c r="A8556"/>
  <c r="A8555"/>
  <c r="A8554"/>
  <c r="A8552"/>
  <c r="A8551"/>
  <c r="A8550"/>
  <c r="A8549"/>
  <c r="A8548"/>
  <c r="A8547"/>
  <c r="A8546"/>
  <c r="A8545"/>
  <c r="A8544"/>
  <c r="A8543"/>
  <c r="A8541"/>
  <c r="A8540"/>
  <c r="A8539"/>
  <c r="A8538"/>
  <c r="A8537"/>
  <c r="A8535"/>
  <c r="A8534"/>
  <c r="A8533"/>
  <c r="A8532"/>
  <c r="A8531"/>
  <c r="A8530"/>
  <c r="A8529"/>
  <c r="A8528"/>
  <c r="A8526"/>
  <c r="A8525"/>
  <c r="A8524"/>
  <c r="A8523"/>
  <c r="A8522"/>
  <c r="A8521"/>
  <c r="A8520"/>
  <c r="A8519"/>
  <c r="A8518"/>
  <c r="A8517"/>
  <c r="A8516"/>
  <c r="A8514"/>
  <c r="A8513"/>
  <c r="A8512"/>
  <c r="A8510"/>
  <c r="A8509"/>
  <c r="A8507"/>
  <c r="A8506"/>
  <c r="A8505"/>
  <c r="A8504"/>
  <c r="A8503"/>
  <c r="A8502"/>
  <c r="A8501"/>
  <c r="A8500"/>
  <c r="A8498"/>
  <c r="A8497"/>
  <c r="A8496"/>
  <c r="A8494"/>
  <c r="A8493"/>
  <c r="A8492"/>
  <c r="A8491"/>
  <c r="A8490"/>
  <c r="A8489"/>
  <c r="A8487"/>
  <c r="A8486"/>
  <c r="A8485"/>
  <c r="A8484"/>
  <c r="A8483"/>
  <c r="A8482"/>
  <c r="A8481"/>
  <c r="A8480"/>
  <c r="A8478"/>
  <c r="A8477"/>
  <c r="A8475"/>
  <c r="A8474"/>
  <c r="A8473"/>
  <c r="A8472"/>
  <c r="A8471"/>
  <c r="A8469"/>
  <c r="A8468"/>
  <c r="A8467"/>
  <c r="A8466"/>
  <c r="A8465"/>
  <c r="A8464"/>
  <c r="A8462"/>
  <c r="A8460"/>
  <c r="A8457"/>
  <c r="A8456"/>
  <c r="A8455"/>
  <c r="A8454"/>
  <c r="A8453"/>
  <c r="A8452"/>
  <c r="A8451"/>
  <c r="A8450"/>
  <c r="A8449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19"/>
  <c r="A8418"/>
  <c r="A8417"/>
  <c r="A8416"/>
  <c r="A8415"/>
  <c r="A8414"/>
  <c r="A8413"/>
  <c r="A8411"/>
  <c r="A8410"/>
  <c r="A8409"/>
  <c r="A8408"/>
  <c r="A8407"/>
  <c r="A8406"/>
  <c r="A8405"/>
  <c r="A8404"/>
  <c r="A8402"/>
  <c r="A8401"/>
  <c r="A8400"/>
  <c r="A8398"/>
  <c r="A8395"/>
  <c r="A8394"/>
  <c r="A8393"/>
  <c r="A8391"/>
  <c r="A8390"/>
  <c r="A8389"/>
  <c r="A8388"/>
  <c r="A8387"/>
  <c r="A8385"/>
  <c r="A8384"/>
  <c r="A8383"/>
  <c r="A8382"/>
  <c r="A8381"/>
  <c r="A8380"/>
  <c r="A8379"/>
  <c r="A8378"/>
  <c r="A8377"/>
  <c r="A8376"/>
  <c r="A8375"/>
  <c r="A8374"/>
  <c r="A8373"/>
  <c r="A8372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4"/>
  <c r="A8253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3"/>
  <c r="A8162"/>
  <c r="A8161"/>
  <c r="A8160"/>
  <c r="A8159"/>
  <c r="A8158"/>
  <c r="A8157"/>
  <c r="A8156"/>
  <c r="A8155"/>
  <c r="A8154"/>
  <c r="A8153"/>
  <c r="A8151"/>
  <c r="A8150"/>
  <c r="A8149"/>
  <c r="A8148"/>
  <c r="A8147"/>
  <c r="A8146"/>
  <c r="A8145"/>
  <c r="A8144"/>
  <c r="A8143"/>
  <c r="A8142"/>
  <c r="A8141"/>
  <c r="A8140"/>
  <c r="A8138"/>
  <c r="A8137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2"/>
  <c r="A8111"/>
  <c r="A8110"/>
  <c r="A8109"/>
  <c r="A8108"/>
  <c r="A8107"/>
  <c r="A8106"/>
  <c r="A8105"/>
  <c r="A8104"/>
  <c r="A8102"/>
  <c r="A8101"/>
  <c r="A8100"/>
  <c r="A8099"/>
  <c r="A8098"/>
  <c r="A8097"/>
  <c r="A8096"/>
  <c r="A8095"/>
  <c r="A8094"/>
  <c r="A8093"/>
  <c r="A8092"/>
  <c r="A8091"/>
  <c r="A8090"/>
  <c r="A8088"/>
  <c r="A8087"/>
  <c r="A8086"/>
  <c r="A8085"/>
  <c r="A8084"/>
  <c r="A8083"/>
  <c r="A8082"/>
  <c r="A8081"/>
  <c r="A8079"/>
  <c r="A8078"/>
  <c r="A8077"/>
  <c r="A8076"/>
  <c r="A8074"/>
  <c r="A8073"/>
  <c r="A8072"/>
  <c r="A8071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49"/>
  <c r="A8048"/>
  <c r="A8047"/>
  <c r="A8046"/>
  <c r="A8045"/>
  <c r="A8044"/>
  <c r="A8042"/>
  <c r="A8040"/>
  <c r="A8039"/>
  <c r="A8037"/>
  <c r="A8036"/>
  <c r="A8035"/>
  <c r="A8034"/>
  <c r="A8033"/>
  <c r="A8032"/>
  <c r="A8029"/>
  <c r="A8028"/>
  <c r="A8027"/>
  <c r="A8026"/>
  <c r="A8025"/>
  <c r="A8024"/>
  <c r="A8023"/>
  <c r="A8022"/>
  <c r="A8021"/>
  <c r="A8019"/>
  <c r="A8018"/>
  <c r="A8016"/>
  <c r="A8015"/>
  <c r="A8013"/>
  <c r="A8011"/>
  <c r="A8010"/>
  <c r="A8008"/>
  <c r="A8007"/>
  <c r="A8006"/>
  <c r="A8005"/>
  <c r="A8004"/>
  <c r="A8003"/>
  <c r="A8002"/>
  <c r="A8001"/>
  <c r="A7999"/>
  <c r="A7998"/>
  <c r="A7997"/>
  <c r="A7996"/>
  <c r="A7995"/>
  <c r="A7994"/>
  <c r="A7993"/>
  <c r="A7991"/>
  <c r="A7989"/>
  <c r="A7986"/>
  <c r="A7984"/>
  <c r="A7982"/>
  <c r="A7981"/>
  <c r="A7979"/>
  <c r="A7977"/>
  <c r="A7976"/>
  <c r="A7974"/>
  <c r="A7973"/>
  <c r="A7972"/>
  <c r="A7971"/>
  <c r="A7970"/>
  <c r="A7969"/>
  <c r="A7968"/>
  <c r="A7967"/>
  <c r="A7965"/>
  <c r="A7964"/>
  <c r="A7962"/>
  <c r="A7961"/>
  <c r="A7959"/>
  <c r="A7958"/>
  <c r="A7957"/>
  <c r="A7956"/>
  <c r="A7955"/>
  <c r="A7954"/>
  <c r="A7953"/>
  <c r="A7952"/>
  <c r="A7951"/>
  <c r="A7949"/>
  <c r="A7948"/>
  <c r="A7947"/>
  <c r="A7946"/>
  <c r="A7945"/>
  <c r="A7944"/>
  <c r="A7943"/>
  <c r="A7942"/>
  <c r="A7941"/>
  <c r="A7940"/>
  <c r="A7939"/>
  <c r="A7937"/>
  <c r="A7936"/>
  <c r="A7935"/>
  <c r="A7934"/>
  <c r="A7933"/>
  <c r="A7932"/>
  <c r="A7931"/>
  <c r="A7930"/>
  <c r="A7928"/>
  <c r="A7927"/>
  <c r="A7926"/>
  <c r="A7925"/>
  <c r="A7924"/>
  <c r="A7923"/>
  <c r="A7922"/>
  <c r="A7921"/>
  <c r="A7920"/>
  <c r="A7919"/>
  <c r="A7918"/>
  <c r="A7916"/>
  <c r="A7914"/>
  <c r="A7913"/>
  <c r="A7912"/>
  <c r="A7911"/>
  <c r="A7910"/>
  <c r="A7909"/>
  <c r="A7908"/>
  <c r="A7907"/>
  <c r="A7906"/>
  <c r="A7905"/>
  <c r="A7904"/>
  <c r="A7903"/>
  <c r="A7902"/>
  <c r="A7899"/>
  <c r="A7898"/>
  <c r="A7897"/>
  <c r="A7896"/>
  <c r="A7895"/>
  <c r="A7893"/>
  <c r="A7892"/>
  <c r="A7891"/>
  <c r="A7890"/>
  <c r="A7888"/>
  <c r="A7887"/>
  <c r="A7886"/>
  <c r="A7885"/>
  <c r="A7884"/>
  <c r="A7883"/>
  <c r="A7882"/>
  <c r="A7881"/>
  <c r="A7880"/>
  <c r="A7879"/>
  <c r="A7878"/>
  <c r="A7877"/>
  <c r="A7876"/>
  <c r="A7875"/>
  <c r="A7874"/>
  <c r="A7872"/>
  <c r="A7871"/>
  <c r="A7869"/>
  <c r="A7867"/>
  <c r="A7866"/>
  <c r="A7865"/>
  <c r="A7864"/>
  <c r="A7862"/>
  <c r="A7861"/>
  <c r="A7859"/>
  <c r="A7857"/>
  <c r="A7856"/>
  <c r="A7855"/>
  <c r="A7854"/>
  <c r="A7853"/>
  <c r="A7852"/>
  <c r="A7851"/>
  <c r="A7850"/>
  <c r="A7849"/>
  <c r="A7848"/>
  <c r="A7847"/>
  <c r="A7846"/>
  <c r="A7844"/>
  <c r="A7843"/>
  <c r="A7841"/>
  <c r="A7840"/>
  <c r="A7839"/>
  <c r="A7838"/>
  <c r="A7837"/>
  <c r="A7836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7"/>
  <c r="A7806"/>
  <c r="A7805"/>
  <c r="A7804"/>
  <c r="A7803"/>
  <c r="A7802"/>
  <c r="A7801"/>
  <c r="A7800"/>
  <c r="A7798"/>
  <c r="A7797"/>
  <c r="A7796"/>
  <c r="A7795"/>
  <c r="A7794"/>
  <c r="A7793"/>
  <c r="A7792"/>
  <c r="A7791"/>
  <c r="A7790"/>
  <c r="A7788"/>
  <c r="A7787"/>
  <c r="A7786"/>
  <c r="A7785"/>
  <c r="A7784"/>
  <c r="A7783"/>
  <c r="A7782"/>
  <c r="A7781"/>
  <c r="A7780"/>
  <c r="A7779"/>
  <c r="A7778"/>
  <c r="A7777"/>
  <c r="A7776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29"/>
  <c r="A7727"/>
  <c r="A7726"/>
  <c r="A7725"/>
  <c r="A7724"/>
  <c r="A7723"/>
  <c r="A7722"/>
  <c r="A7721"/>
  <c r="A7719"/>
  <c r="A7717"/>
  <c r="A7716"/>
  <c r="A7715"/>
  <c r="A7714"/>
  <c r="A7713"/>
  <c r="A7712"/>
  <c r="A7711"/>
  <c r="A7709"/>
  <c r="A7708"/>
  <c r="A7707"/>
  <c r="A7706"/>
  <c r="A7705"/>
  <c r="A7704"/>
  <c r="A7703"/>
  <c r="A7702"/>
  <c r="A7700"/>
  <c r="A7699"/>
  <c r="A7698"/>
  <c r="A7697"/>
  <c r="A7696"/>
  <c r="A7695"/>
  <c r="A7694"/>
  <c r="A7693"/>
  <c r="A7692"/>
  <c r="A7691"/>
  <c r="A7690"/>
  <c r="A7689"/>
  <c r="A7688"/>
  <c r="A7687"/>
  <c r="A7686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5"/>
  <c r="A7654"/>
  <c r="A7653"/>
  <c r="A7652"/>
  <c r="A7651"/>
  <c r="A7650"/>
  <c r="A7649"/>
  <c r="A7648"/>
  <c r="A7647"/>
  <c r="A7646"/>
  <c r="A7644"/>
  <c r="A7643"/>
  <c r="A7642"/>
  <c r="A7641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5"/>
  <c r="A7614"/>
  <c r="A7613"/>
  <c r="A7612"/>
  <c r="A7611"/>
  <c r="A7610"/>
  <c r="A7609"/>
  <c r="A7608"/>
  <c r="A7607"/>
  <c r="A7606"/>
  <c r="A7605"/>
  <c r="A7604"/>
  <c r="A7603"/>
  <c r="A7602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5"/>
  <c r="A7573"/>
  <c r="A7572"/>
  <c r="A7571"/>
  <c r="A7570"/>
  <c r="A7569"/>
  <c r="A7568"/>
  <c r="A7567"/>
  <c r="A7566"/>
  <c r="A7565"/>
  <c r="A7564"/>
  <c r="A7563"/>
  <c r="A7562"/>
  <c r="A7561"/>
  <c r="A7560"/>
  <c r="A7559"/>
  <c r="A7557"/>
  <c r="A7555"/>
  <c r="A7554"/>
  <c r="A7553"/>
  <c r="A7552"/>
  <c r="A7551"/>
  <c r="A7550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3"/>
  <c r="A7492"/>
  <c r="A7490"/>
  <c r="A7489"/>
  <c r="A7488"/>
  <c r="A7487"/>
  <c r="A7486"/>
  <c r="A7485"/>
  <c r="A7484"/>
  <c r="A7483"/>
  <c r="A7482"/>
  <c r="A7481"/>
  <c r="A7480"/>
  <c r="A7479"/>
  <c r="A7478"/>
  <c r="A7477"/>
  <c r="A7476"/>
  <c r="A7474"/>
  <c r="A7473"/>
  <c r="A7471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8"/>
  <c r="A7437"/>
  <c r="A7436"/>
  <c r="A7435"/>
  <c r="A7434"/>
  <c r="A7433"/>
  <c r="A7432"/>
  <c r="A7431"/>
  <c r="A7430"/>
  <c r="A7429"/>
  <c r="A7428"/>
  <c r="A7427"/>
  <c r="A7425"/>
  <c r="A7424"/>
  <c r="A7423"/>
  <c r="A7422"/>
  <c r="A7421"/>
  <c r="A7420"/>
  <c r="A7419"/>
  <c r="A7418"/>
  <c r="A7417"/>
  <c r="A7416"/>
  <c r="A7415"/>
  <c r="A7413"/>
  <c r="A7412"/>
  <c r="A7411"/>
  <c r="A7410"/>
  <c r="A7408"/>
  <c r="A7407"/>
  <c r="A7406"/>
  <c r="A7405"/>
  <c r="A7404"/>
  <c r="A7403"/>
  <c r="A7402"/>
  <c r="A7401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3"/>
  <c r="A7322"/>
  <c r="A7321"/>
  <c r="A7320"/>
  <c r="A7319"/>
  <c r="A7318"/>
  <c r="A7315"/>
  <c r="A7313"/>
  <c r="A7311"/>
  <c r="A7310"/>
  <c r="A7309"/>
  <c r="A7308"/>
  <c r="A7305"/>
  <c r="A7304"/>
  <c r="A7303"/>
  <c r="A7302"/>
  <c r="A7300"/>
  <c r="A7299"/>
  <c r="A7298"/>
  <c r="A7297"/>
  <c r="A7296"/>
  <c r="A7295"/>
  <c r="A7293"/>
  <c r="A7291"/>
  <c r="A7290"/>
  <c r="A7289"/>
  <c r="A7287"/>
  <c r="A7286"/>
  <c r="A7284"/>
  <c r="A7281"/>
  <c r="A7279"/>
  <c r="A7276"/>
  <c r="A7275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5"/>
  <c r="A7204"/>
  <c r="A7203"/>
  <c r="A7202"/>
  <c r="A7201"/>
  <c r="A7200"/>
  <c r="A7198"/>
  <c r="A7197"/>
  <c r="A7196"/>
  <c r="A7195"/>
  <c r="A7194"/>
  <c r="A7193"/>
  <c r="A7192"/>
  <c r="A7191"/>
  <c r="A7190"/>
  <c r="A7189"/>
  <c r="A7187"/>
  <c r="A7185"/>
  <c r="A7184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3"/>
  <c r="A7162"/>
  <c r="A7161"/>
  <c r="A7160"/>
  <c r="A7159"/>
  <c r="A7158"/>
  <c r="A7157"/>
  <c r="A7156"/>
  <c r="A7155"/>
  <c r="A7154"/>
  <c r="A7152"/>
  <c r="A7151"/>
  <c r="A7150"/>
  <c r="A7149"/>
  <c r="A7148"/>
  <c r="A7147"/>
  <c r="A7146"/>
  <c r="A7145"/>
  <c r="A7144"/>
  <c r="A7143"/>
  <c r="A7142"/>
  <c r="A7141"/>
  <c r="A7139"/>
  <c r="A7138"/>
  <c r="A7137"/>
  <c r="A7136"/>
  <c r="A7135"/>
  <c r="A7134"/>
  <c r="A7133"/>
  <c r="A7132"/>
  <c r="A7131"/>
  <c r="A7129"/>
  <c r="A7127"/>
  <c r="A7126"/>
  <c r="A7124"/>
  <c r="A7122"/>
  <c r="A7121"/>
  <c r="A7120"/>
  <c r="A7119"/>
  <c r="A7118"/>
  <c r="A7116"/>
  <c r="A7115"/>
  <c r="A7114"/>
  <c r="A7113"/>
  <c r="A7112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2"/>
  <c r="A7091"/>
  <c r="A7090"/>
  <c r="A7089"/>
  <c r="A7088"/>
  <c r="A7087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8"/>
  <c r="A7017"/>
  <c r="A7016"/>
  <c r="A7015"/>
  <c r="A7014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6"/>
  <c r="A6985"/>
  <c r="A6984"/>
  <c r="A6983"/>
  <c r="A6982"/>
  <c r="A6981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2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6"/>
  <c r="A6914"/>
  <c r="A6912"/>
  <c r="A6911"/>
  <c r="A6910"/>
  <c r="A6909"/>
  <c r="A6907"/>
  <c r="A6906"/>
  <c r="A6905"/>
  <c r="A6904"/>
  <c r="A6903"/>
  <c r="A6902"/>
  <c r="A6901"/>
  <c r="A6900"/>
  <c r="A6899"/>
  <c r="A6898"/>
  <c r="A6897"/>
  <c r="A6896"/>
  <c r="A6895"/>
  <c r="A6893"/>
  <c r="A6892"/>
  <c r="A6891"/>
  <c r="A6890"/>
  <c r="A6889"/>
  <c r="A6888"/>
  <c r="A6887"/>
  <c r="A6886"/>
  <c r="A6885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0"/>
  <c r="A6839"/>
  <c r="A6838"/>
  <c r="A6837"/>
  <c r="A6836"/>
  <c r="A6835"/>
  <c r="A6834"/>
  <c r="A6833"/>
  <c r="A6832"/>
  <c r="A6831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8"/>
  <c r="A6785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4"/>
  <c r="A6653"/>
  <c r="A6652"/>
  <c r="A6651"/>
  <c r="A6650"/>
  <c r="A6649"/>
  <c r="A6648"/>
  <c r="A6647"/>
  <c r="A6646"/>
  <c r="A6645"/>
  <c r="A6644"/>
  <c r="A6643"/>
  <c r="A6642"/>
  <c r="A6641"/>
  <c r="A6640"/>
  <c r="A6638"/>
  <c r="A6637"/>
  <c r="A6635"/>
  <c r="A6634"/>
  <c r="A6633"/>
  <c r="A6632"/>
  <c r="A6631"/>
  <c r="A6630"/>
  <c r="A6628"/>
  <c r="A6627"/>
  <c r="A6626"/>
  <c r="A6625"/>
  <c r="A6624"/>
  <c r="A6623"/>
  <c r="A6622"/>
  <c r="A6621"/>
  <c r="A6619"/>
  <c r="A6617"/>
  <c r="A6615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5"/>
  <c r="A6594"/>
  <c r="A6593"/>
  <c r="A6592"/>
  <c r="A6591"/>
  <c r="A6590"/>
  <c r="A6589"/>
  <c r="A6588"/>
  <c r="A6587"/>
  <c r="A6586"/>
  <c r="A6585"/>
  <c r="A6583"/>
  <c r="A6582"/>
  <c r="A6580"/>
  <c r="A6579"/>
  <c r="A6578"/>
  <c r="A6577"/>
  <c r="A6576"/>
  <c r="A6575"/>
  <c r="A6574"/>
  <c r="A6572"/>
  <c r="A6571"/>
  <c r="A6569"/>
  <c r="A6568"/>
  <c r="A6567"/>
  <c r="A6566"/>
  <c r="A6565"/>
  <c r="A6564"/>
  <c r="A6563"/>
  <c r="A6562"/>
  <c r="A6561"/>
  <c r="A6560"/>
  <c r="A6559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09"/>
  <c r="A6508"/>
  <c r="A6507"/>
  <c r="A6506"/>
  <c r="A6504"/>
  <c r="A6503"/>
  <c r="A6502"/>
  <c r="A6501"/>
  <c r="A6500"/>
  <c r="A6498"/>
  <c r="A6497"/>
  <c r="A6496"/>
  <c r="A6495"/>
  <c r="A6494"/>
  <c r="A6493"/>
  <c r="A6492"/>
  <c r="A6490"/>
  <c r="A6489"/>
  <c r="A6488"/>
  <c r="A6487"/>
  <c r="A6486"/>
  <c r="A6485"/>
  <c r="A6484"/>
  <c r="A6483"/>
  <c r="A6482"/>
  <c r="A6481"/>
  <c r="A6480"/>
  <c r="A6478"/>
  <c r="A6477"/>
  <c r="A6476"/>
  <c r="A6475"/>
  <c r="A6474"/>
  <c r="A6473"/>
  <c r="A6472"/>
  <c r="A6471"/>
  <c r="A6470"/>
  <c r="A6469"/>
  <c r="A6468"/>
  <c r="A6467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2"/>
  <c r="A6391"/>
  <c r="A6390"/>
  <c r="A6389"/>
  <c r="A6388"/>
  <c r="A6386"/>
  <c r="A6384"/>
  <c r="A6383"/>
  <c r="A6382"/>
  <c r="A6381"/>
  <c r="A6379"/>
  <c r="A6377"/>
  <c r="A6375"/>
  <c r="A6374"/>
  <c r="A6373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7"/>
  <c r="A6346"/>
  <c r="A6345"/>
  <c r="A6344"/>
  <c r="A6343"/>
  <c r="A6342"/>
  <c r="A6340"/>
  <c r="A6339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6"/>
  <c r="A6305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0"/>
  <c r="A6269"/>
  <c r="A6268"/>
  <c r="A6267"/>
  <c r="A6266"/>
  <c r="A6265"/>
  <c r="A6264"/>
  <c r="A6263"/>
  <c r="A6262"/>
  <c r="A6261"/>
  <c r="A6260"/>
  <c r="A6258"/>
  <c r="A6257"/>
  <c r="A6255"/>
  <c r="A6254"/>
  <c r="A6253"/>
  <c r="A6251"/>
  <c r="A6250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4"/>
  <c r="A6223"/>
  <c r="A6222"/>
  <c r="A6221"/>
  <c r="A6220"/>
  <c r="A6219"/>
  <c r="A6218"/>
  <c r="A6217"/>
  <c r="A6216"/>
  <c r="A6215"/>
  <c r="A6214"/>
  <c r="A6213"/>
  <c r="A6212"/>
  <c r="A6210"/>
  <c r="A6209"/>
  <c r="A6208"/>
  <c r="A6207"/>
  <c r="A6206"/>
  <c r="A6205"/>
  <c r="A6204"/>
  <c r="A6203"/>
  <c r="A6202"/>
  <c r="A6201"/>
  <c r="A6199"/>
  <c r="A6197"/>
  <c r="A6195"/>
  <c r="A6194"/>
  <c r="A6193"/>
  <c r="A6192"/>
  <c r="A6190"/>
  <c r="A6189"/>
  <c r="A6187"/>
  <c r="A6186"/>
  <c r="A6185"/>
  <c r="A6184"/>
  <c r="A6183"/>
  <c r="A6182"/>
  <c r="A6181"/>
  <c r="A6180"/>
  <c r="A6179"/>
  <c r="A6177"/>
  <c r="A6176"/>
  <c r="A6175"/>
  <c r="A6174"/>
  <c r="A6173"/>
  <c r="A6172"/>
  <c r="A6171"/>
  <c r="A6170"/>
  <c r="A6169"/>
  <c r="A6168"/>
  <c r="A6167"/>
  <c r="A6165"/>
  <c r="A6164"/>
  <c r="A6163"/>
  <c r="A6162"/>
  <c r="A6161"/>
  <c r="A6160"/>
  <c r="A6159"/>
  <c r="A6158"/>
  <c r="A6157"/>
  <c r="A6155"/>
  <c r="A6153"/>
  <c r="A6151"/>
  <c r="A6150"/>
  <c r="A6149"/>
  <c r="A6147"/>
  <c r="A6146"/>
  <c r="A6145"/>
  <c r="A6144"/>
  <c r="A6143"/>
  <c r="A6142"/>
  <c r="A6141"/>
  <c r="A6140"/>
  <c r="A6139"/>
  <c r="A6138"/>
  <c r="A6137"/>
  <c r="A6136"/>
  <c r="A6135"/>
  <c r="A6133"/>
  <c r="A6132"/>
  <c r="A6131"/>
  <c r="A6130"/>
  <c r="A6129"/>
  <c r="A6128"/>
  <c r="A6127"/>
  <c r="A6126"/>
  <c r="A6125"/>
  <c r="A6124"/>
  <c r="A6122"/>
  <c r="A6121"/>
  <c r="A6119"/>
  <c r="A6117"/>
  <c r="A6115"/>
  <c r="A6114"/>
  <c r="A6113"/>
  <c r="A6112"/>
  <c r="A6111"/>
  <c r="A6110"/>
  <c r="A6109"/>
  <c r="A6108"/>
  <c r="A6107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5"/>
  <c r="A6044"/>
  <c r="A6043"/>
  <c r="A6042"/>
  <c r="A6041"/>
  <c r="A6040"/>
  <c r="A6038"/>
  <c r="A6037"/>
  <c r="A6036"/>
  <c r="A6035"/>
  <c r="A6034"/>
  <c r="A6033"/>
  <c r="A6032"/>
  <c r="A6031"/>
  <c r="A6030"/>
  <c r="A6029"/>
  <c r="A6028"/>
  <c r="A6027"/>
  <c r="A6026"/>
  <c r="A6025"/>
  <c r="A6024"/>
  <c r="A6022"/>
  <c r="A6021"/>
  <c r="A6020"/>
  <c r="A6019"/>
  <c r="A6018"/>
  <c r="A6017"/>
  <c r="A6015"/>
  <c r="A6014"/>
  <c r="A6012"/>
  <c r="A6010"/>
  <c r="A6009"/>
  <c r="A6008"/>
  <c r="A6007"/>
  <c r="A6006"/>
  <c r="A6005"/>
  <c r="A6004"/>
  <c r="A6003"/>
  <c r="A6001"/>
  <c r="A6000"/>
  <c r="A5999"/>
  <c r="A5998"/>
  <c r="A5997"/>
  <c r="A5996"/>
  <c r="A5994"/>
  <c r="A5993"/>
  <c r="A5992"/>
  <c r="A5991"/>
  <c r="A5990"/>
  <c r="A5989"/>
  <c r="A5988"/>
  <c r="A5987"/>
  <c r="A5986"/>
  <c r="A5985"/>
  <c r="A5984"/>
  <c r="A5983"/>
  <c r="A5982"/>
  <c r="A5980"/>
  <c r="A5979"/>
  <c r="A5978"/>
  <c r="A5977"/>
  <c r="A5976"/>
  <c r="A5975"/>
  <c r="A5974"/>
  <c r="A5973"/>
  <c r="A5971"/>
  <c r="A5970"/>
  <c r="A5969"/>
  <c r="A5968"/>
  <c r="A5967"/>
  <c r="A5966"/>
  <c r="A5965"/>
  <c r="A5964"/>
  <c r="A5963"/>
  <c r="A5962"/>
  <c r="A5961"/>
  <c r="A5960"/>
  <c r="A5959"/>
  <c r="A5957"/>
  <c r="A5955"/>
  <c r="A5954"/>
  <c r="A5953"/>
  <c r="A5952"/>
  <c r="A5950"/>
  <c r="A5949"/>
  <c r="A5947"/>
  <c r="A5945"/>
  <c r="A5944"/>
  <c r="A5943"/>
  <c r="A5942"/>
  <c r="A5941"/>
  <c r="A5940"/>
  <c r="A5939"/>
  <c r="A5938"/>
  <c r="A5937"/>
  <c r="A5936"/>
  <c r="A5935"/>
  <c r="A5934"/>
  <c r="A5933"/>
  <c r="A5932"/>
  <c r="A5931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3"/>
  <c r="A5902"/>
  <c r="A5901"/>
  <c r="A5900"/>
  <c r="A5899"/>
  <c r="A5898"/>
  <c r="A5897"/>
  <c r="A5896"/>
  <c r="A5894"/>
  <c r="A5893"/>
  <c r="A5892"/>
  <c r="A5891"/>
  <c r="A5890"/>
  <c r="A5889"/>
  <c r="A5888"/>
  <c r="A5887"/>
  <c r="A5885"/>
  <c r="A5884"/>
  <c r="A5883"/>
  <c r="A5882"/>
  <c r="A5881"/>
  <c r="A5880"/>
  <c r="A5879"/>
  <c r="A5878"/>
  <c r="A5877"/>
  <c r="A5875"/>
  <c r="A5874"/>
  <c r="A5873"/>
  <c r="A5872"/>
  <c r="A5871"/>
  <c r="A5870"/>
  <c r="A5868"/>
  <c r="A5866"/>
  <c r="A5865"/>
  <c r="A5864"/>
  <c r="A5863"/>
  <c r="A5862"/>
  <c r="A5861"/>
  <c r="A5860"/>
  <c r="A5859"/>
  <c r="A5858"/>
  <c r="A5856"/>
  <c r="A5855"/>
  <c r="A5854"/>
  <c r="A5853"/>
  <c r="A5852"/>
  <c r="A5851"/>
  <c r="A5850"/>
  <c r="A5848"/>
  <c r="A5847"/>
  <c r="A5846"/>
  <c r="A5845"/>
  <c r="A5844"/>
  <c r="A5843"/>
  <c r="A5842"/>
  <c r="A5840"/>
  <c r="A5838"/>
  <c r="A5836"/>
  <c r="A5834"/>
  <c r="A5832"/>
  <c r="A5831"/>
  <c r="A5830"/>
  <c r="A5829"/>
  <c r="A5828"/>
  <c r="A5827"/>
  <c r="A5826"/>
  <c r="A5824"/>
  <c r="A5823"/>
  <c r="A5822"/>
  <c r="A5821"/>
  <c r="A5820"/>
  <c r="A5819"/>
  <c r="A5818"/>
  <c r="A5816"/>
  <c r="A5815"/>
  <c r="A5814"/>
  <c r="A5813"/>
  <c r="A5812"/>
  <c r="A5811"/>
  <c r="A5810"/>
  <c r="A5809"/>
  <c r="A5808"/>
  <c r="A5807"/>
  <c r="A5806"/>
  <c r="A5805"/>
  <c r="A5804"/>
  <c r="A5802"/>
  <c r="A5801"/>
  <c r="A5800"/>
  <c r="A5799"/>
  <c r="A5798"/>
  <c r="A5797"/>
  <c r="A5796"/>
  <c r="A5795"/>
  <c r="A5794"/>
  <c r="A5792"/>
  <c r="A5791"/>
  <c r="A5790"/>
  <c r="A5789"/>
  <c r="A5788"/>
  <c r="A5787"/>
  <c r="A5786"/>
  <c r="A5785"/>
  <c r="A5784"/>
  <c r="A5783"/>
  <c r="A5782"/>
  <c r="A5781"/>
  <c r="A5780"/>
  <c r="A5779"/>
  <c r="A5778"/>
  <c r="A5776"/>
  <c r="A5774"/>
  <c r="A5772"/>
  <c r="A5771"/>
  <c r="A5768"/>
  <c r="A5766"/>
  <c r="A5763"/>
  <c r="A5762"/>
  <c r="A5761"/>
  <c r="A5760"/>
  <c r="A5759"/>
  <c r="A5758"/>
  <c r="A5756"/>
  <c r="A5755"/>
  <c r="A5754"/>
  <c r="A5753"/>
  <c r="A5752"/>
  <c r="A5751"/>
  <c r="A5750"/>
  <c r="A5748"/>
  <c r="A5747"/>
  <c r="A5745"/>
  <c r="A5744"/>
  <c r="A5743"/>
  <c r="A5742"/>
  <c r="A5741"/>
  <c r="A5740"/>
  <c r="A5739"/>
  <c r="A5738"/>
  <c r="A5737"/>
  <c r="A5736"/>
  <c r="A5734"/>
  <c r="A5732"/>
  <c r="A5731"/>
  <c r="A5730"/>
  <c r="A5728"/>
  <c r="A5727"/>
  <c r="A5726"/>
  <c r="A5725"/>
  <c r="A5724"/>
  <c r="A5723"/>
  <c r="A5722"/>
  <c r="A5721"/>
  <c r="A5720"/>
  <c r="A5718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3"/>
  <c r="A5672"/>
  <c r="A5671"/>
  <c r="A5670"/>
  <c r="A5669"/>
  <c r="A5668"/>
  <c r="A5667"/>
  <c r="A5666"/>
  <c r="A5665"/>
  <c r="A5664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4"/>
  <c r="A5643"/>
  <c r="A5642"/>
  <c r="A5641"/>
  <c r="A5640"/>
  <c r="A5639"/>
  <c r="A5638"/>
  <c r="A5637"/>
  <c r="A5636"/>
  <c r="A5635"/>
  <c r="A5633"/>
  <c r="A5632"/>
  <c r="A5631"/>
  <c r="A5630"/>
  <c r="A5629"/>
  <c r="A5628"/>
  <c r="A5627"/>
  <c r="A5625"/>
  <c r="A5624"/>
  <c r="A5623"/>
  <c r="A5622"/>
  <c r="A5621"/>
  <c r="A5620"/>
  <c r="A5619"/>
  <c r="A5618"/>
  <c r="A5617"/>
  <c r="A5615"/>
  <c r="A5614"/>
  <c r="A5613"/>
  <c r="A5612"/>
  <c r="A5611"/>
  <c r="A5610"/>
  <c r="A5609"/>
  <c r="A5608"/>
  <c r="A5607"/>
  <c r="A5606"/>
  <c r="A5605"/>
  <c r="A5604"/>
  <c r="A5603"/>
  <c r="A5601"/>
  <c r="A5600"/>
  <c r="A5599"/>
  <c r="A5598"/>
  <c r="A5597"/>
  <c r="A5596"/>
  <c r="A5595"/>
  <c r="A5594"/>
  <c r="A5593"/>
  <c r="A5591"/>
  <c r="A5590"/>
  <c r="A5589"/>
  <c r="A5588"/>
  <c r="A5587"/>
  <c r="A5586"/>
  <c r="A5585"/>
  <c r="A5584"/>
  <c r="A5583"/>
  <c r="A5582"/>
  <c r="A5581"/>
  <c r="A5580"/>
  <c r="A5579"/>
  <c r="A5578"/>
  <c r="A5577"/>
  <c r="A5575"/>
  <c r="A5574"/>
  <c r="A5573"/>
  <c r="A5572"/>
  <c r="A5571"/>
  <c r="A5570"/>
  <c r="A5569"/>
  <c r="A5568"/>
  <c r="A5567"/>
  <c r="A5566"/>
  <c r="A5565"/>
  <c r="A5564"/>
  <c r="A5562"/>
  <c r="A5561"/>
  <c r="A5560"/>
  <c r="A5559"/>
  <c r="A5558"/>
  <c r="A5557"/>
  <c r="A5555"/>
  <c r="A5554"/>
  <c r="A5553"/>
  <c r="A5552"/>
  <c r="A5551"/>
  <c r="A5550"/>
  <c r="A5549"/>
  <c r="A5548"/>
  <c r="A5547"/>
  <c r="A5546"/>
  <c r="A5545"/>
  <c r="A5543"/>
  <c r="A5542"/>
  <c r="A5541"/>
  <c r="A5539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5"/>
  <c r="A5514"/>
  <c r="A5513"/>
  <c r="A5512"/>
  <c r="A5511"/>
  <c r="A5509"/>
  <c r="A5508"/>
  <c r="A5507"/>
  <c r="A5506"/>
  <c r="A5505"/>
  <c r="A5504"/>
  <c r="A5503"/>
  <c r="A5501"/>
  <c r="A5500"/>
  <c r="A5499"/>
  <c r="A5498"/>
  <c r="A5497"/>
  <c r="A5496"/>
  <c r="A5495"/>
  <c r="A5494"/>
  <c r="A5493"/>
  <c r="A5492"/>
  <c r="A5491"/>
  <c r="A5490"/>
  <c r="A5489"/>
  <c r="A5488"/>
  <c r="A5486"/>
  <c r="A5485"/>
  <c r="A5484"/>
  <c r="A5483"/>
  <c r="A5482"/>
  <c r="A5481"/>
  <c r="A5480"/>
  <c r="A5478"/>
  <c r="A5477"/>
  <c r="A5476"/>
  <c r="A5475"/>
  <c r="A5474"/>
  <c r="A5472"/>
  <c r="A5471"/>
  <c r="A5470"/>
  <c r="A5469"/>
  <c r="A5468"/>
  <c r="A5467"/>
  <c r="A5466"/>
  <c r="A5465"/>
  <c r="A5464"/>
  <c r="A5462"/>
  <c r="A5461"/>
  <c r="A5459"/>
  <c r="A5457"/>
  <c r="A5455"/>
  <c r="A5454"/>
  <c r="A5453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1"/>
  <c r="A5420"/>
  <c r="A5419"/>
  <c r="A5418"/>
  <c r="A5417"/>
  <c r="A5416"/>
  <c r="A5415"/>
  <c r="A5414"/>
  <c r="A5413"/>
  <c r="A5412"/>
  <c r="A5410"/>
  <c r="A5409"/>
  <c r="A5408"/>
  <c r="A5407"/>
  <c r="A5406"/>
  <c r="A5405"/>
  <c r="A5404"/>
  <c r="A5403"/>
  <c r="A5401"/>
  <c r="A5400"/>
  <c r="A5399"/>
  <c r="A5398"/>
  <c r="A5397"/>
  <c r="A5395"/>
  <c r="A5394"/>
  <c r="A5393"/>
  <c r="A5392"/>
  <c r="A5391"/>
  <c r="A5390"/>
  <c r="A5389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69"/>
  <c r="A5367"/>
  <c r="A5366"/>
  <c r="A5364"/>
  <c r="A5363"/>
  <c r="A5360"/>
  <c r="A5359"/>
  <c r="A5358"/>
  <c r="A5357"/>
  <c r="A5356"/>
  <c r="A5355"/>
  <c r="A5354"/>
  <c r="A5353"/>
  <c r="A5350"/>
  <c r="A5349"/>
  <c r="A5348"/>
  <c r="A5347"/>
  <c r="A5346"/>
  <c r="A5345"/>
  <c r="A5344"/>
  <c r="A5343"/>
  <c r="A5342"/>
  <c r="A5341"/>
  <c r="A5340"/>
  <c r="A5339"/>
  <c r="A5338"/>
  <c r="A5337"/>
  <c r="A5336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7"/>
  <c r="A5296"/>
  <c r="A5295"/>
  <c r="A5294"/>
  <c r="A5292"/>
  <c r="A5291"/>
  <c r="A5290"/>
  <c r="A5289"/>
  <c r="A5288"/>
  <c r="A5287"/>
  <c r="A5286"/>
  <c r="A5285"/>
  <c r="A5284"/>
  <c r="A5283"/>
  <c r="A5282"/>
  <c r="A5281"/>
  <c r="A5280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1"/>
  <c r="A5230"/>
  <c r="A5228"/>
  <c r="A5227"/>
  <c r="A5226"/>
  <c r="A5225"/>
  <c r="A5223"/>
  <c r="A5222"/>
  <c r="A5221"/>
  <c r="A5220"/>
  <c r="A5219"/>
  <c r="A5218"/>
  <c r="A5217"/>
  <c r="A5216"/>
  <c r="A5215"/>
  <c r="A5214"/>
  <c r="A5213"/>
  <c r="A5211"/>
  <c r="A5210"/>
  <c r="A5209"/>
  <c r="A5208"/>
  <c r="A5207"/>
  <c r="A5206"/>
  <c r="A5205"/>
  <c r="A5204"/>
  <c r="A5203"/>
  <c r="A5201"/>
  <c r="A5200"/>
  <c r="A5199"/>
  <c r="A5198"/>
  <c r="A5196"/>
  <c r="A5195"/>
  <c r="A5194"/>
  <c r="A5192"/>
  <c r="A5190"/>
  <c r="A5189"/>
  <c r="A5187"/>
  <c r="A5186"/>
  <c r="A5184"/>
  <c r="A5183"/>
  <c r="A5182"/>
  <c r="A5181"/>
  <c r="A5180"/>
  <c r="A5179"/>
  <c r="A5177"/>
  <c r="A5176"/>
  <c r="A5175"/>
  <c r="A5174"/>
  <c r="A5173"/>
  <c r="A5171"/>
  <c r="A5170"/>
  <c r="A5169"/>
  <c r="A5167"/>
  <c r="A5166"/>
  <c r="A5165"/>
  <c r="A5164"/>
  <c r="A5163"/>
  <c r="A5162"/>
  <c r="A5161"/>
  <c r="A5160"/>
  <c r="A5159"/>
  <c r="A5158"/>
  <c r="A5157"/>
  <c r="A5156"/>
  <c r="A5155"/>
  <c r="A5154"/>
  <c r="A5152"/>
  <c r="A5151"/>
  <c r="A5150"/>
  <c r="A5149"/>
  <c r="A5148"/>
  <c r="A5147"/>
  <c r="A5146"/>
  <c r="A5145"/>
  <c r="A5144"/>
  <c r="A5143"/>
  <c r="A5142"/>
  <c r="A5141"/>
  <c r="A5140"/>
  <c r="A5138"/>
  <c r="A5137"/>
  <c r="A5135"/>
  <c r="A5134"/>
  <c r="A5133"/>
  <c r="A5132"/>
  <c r="A5131"/>
  <c r="A5130"/>
  <c r="A5129"/>
  <c r="A5128"/>
  <c r="A5127"/>
  <c r="A5126"/>
  <c r="A5125"/>
  <c r="A5124"/>
  <c r="A5123"/>
  <c r="A5122"/>
  <c r="A5120"/>
  <c r="A5119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0"/>
  <c r="A5079"/>
  <c r="A5078"/>
  <c r="A5077"/>
  <c r="A5076"/>
  <c r="A5075"/>
  <c r="A5074"/>
  <c r="A5073"/>
  <c r="A5072"/>
  <c r="A5071"/>
  <c r="A5070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29"/>
  <c r="A5028"/>
  <c r="A5027"/>
  <c r="A5026"/>
  <c r="A5025"/>
  <c r="A5024"/>
  <c r="A5023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4"/>
  <c r="A4913"/>
  <c r="A4912"/>
  <c r="A4910"/>
  <c r="A4909"/>
  <c r="A4908"/>
  <c r="A4907"/>
  <c r="A4906"/>
  <c r="A4904"/>
  <c r="A4903"/>
  <c r="A4902"/>
  <c r="A4901"/>
  <c r="A4900"/>
  <c r="A4899"/>
  <c r="A4897"/>
  <c r="A4896"/>
  <c r="A4895"/>
  <c r="A4894"/>
  <c r="A4893"/>
  <c r="A4892"/>
  <c r="A4891"/>
  <c r="A4890"/>
  <c r="A4889"/>
  <c r="A4888"/>
  <c r="A4886"/>
  <c r="A4885"/>
  <c r="A4884"/>
  <c r="A4882"/>
  <c r="A4880"/>
  <c r="A4879"/>
  <c r="A4878"/>
  <c r="A4877"/>
  <c r="A4875"/>
  <c r="A4874"/>
  <c r="A4873"/>
  <c r="A4872"/>
  <c r="A4871"/>
  <c r="A4870"/>
  <c r="A4869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7"/>
  <c r="A4836"/>
  <c r="A4835"/>
  <c r="A4834"/>
  <c r="A4833"/>
  <c r="A4832"/>
  <c r="A4830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09"/>
  <c r="A4808"/>
  <c r="A4807"/>
  <c r="A4806"/>
  <c r="A4805"/>
  <c r="A4804"/>
  <c r="A4803"/>
  <c r="A4801"/>
  <c r="A4800"/>
  <c r="A4799"/>
  <c r="A4798"/>
  <c r="A4797"/>
  <c r="A4795"/>
  <c r="A4794"/>
  <c r="A4793"/>
  <c r="A4792"/>
  <c r="A4791"/>
  <c r="A4790"/>
  <c r="A4789"/>
  <c r="A4788"/>
  <c r="A4787"/>
  <c r="A4786"/>
  <c r="A4784"/>
  <c r="A4783"/>
  <c r="A4782"/>
  <c r="A4781"/>
  <c r="A4780"/>
  <c r="A4779"/>
  <c r="A4778"/>
  <c r="A4777"/>
  <c r="A4776"/>
  <c r="A4775"/>
  <c r="A4774"/>
  <c r="A4773"/>
  <c r="A4772"/>
  <c r="A4770"/>
  <c r="A4769"/>
  <c r="A4768"/>
  <c r="A4767"/>
  <c r="A4766"/>
  <c r="A4765"/>
  <c r="A4764"/>
  <c r="A4763"/>
  <c r="A4762"/>
  <c r="A4761"/>
  <c r="A4760"/>
  <c r="A4759"/>
  <c r="A4758"/>
  <c r="A4757"/>
  <c r="A4755"/>
  <c r="A4754"/>
  <c r="A4753"/>
  <c r="A4752"/>
  <c r="A4751"/>
  <c r="A4750"/>
  <c r="A4748"/>
  <c r="A4747"/>
  <c r="A4746"/>
  <c r="A4745"/>
  <c r="A4744"/>
  <c r="A4743"/>
  <c r="A4742"/>
  <c r="A4741"/>
  <c r="A4740"/>
  <c r="A4739"/>
  <c r="A4738"/>
  <c r="A4736"/>
  <c r="A4735"/>
  <c r="A4734"/>
  <c r="A4733"/>
  <c r="A4732"/>
  <c r="A4730"/>
  <c r="A4729"/>
  <c r="A4728"/>
  <c r="A4727"/>
  <c r="A4726"/>
  <c r="A4725"/>
  <c r="A4724"/>
  <c r="A4723"/>
  <c r="A4721"/>
  <c r="A4720"/>
  <c r="A4718"/>
  <c r="A4717"/>
  <c r="A4716"/>
  <c r="A4715"/>
  <c r="A4714"/>
  <c r="A4713"/>
  <c r="A4712"/>
  <c r="A4711"/>
  <c r="A4710"/>
  <c r="A4709"/>
  <c r="A4708"/>
  <c r="A4707"/>
  <c r="A4706"/>
  <c r="A4705"/>
  <c r="A4703"/>
  <c r="A4702"/>
  <c r="A4701"/>
  <c r="A4700"/>
  <c r="A4699"/>
  <c r="A4698"/>
  <c r="A4697"/>
  <c r="A4696"/>
  <c r="A4695"/>
  <c r="A4694"/>
  <c r="A4693"/>
  <c r="A4692"/>
  <c r="A4691"/>
  <c r="A4690"/>
  <c r="A4689"/>
  <c r="A4686"/>
  <c r="A4685"/>
  <c r="A4684"/>
  <c r="A4683"/>
  <c r="A4682"/>
  <c r="A4681"/>
  <c r="A4680"/>
  <c r="A4678"/>
  <c r="A4677"/>
  <c r="A4676"/>
  <c r="A4675"/>
  <c r="A4674"/>
  <c r="A4673"/>
  <c r="A4672"/>
  <c r="A4671"/>
  <c r="A4670"/>
  <c r="A4669"/>
  <c r="A4668"/>
  <c r="A4667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4"/>
  <c r="A4643"/>
  <c r="A4641"/>
  <c r="A4640"/>
  <c r="A4639"/>
  <c r="A4638"/>
  <c r="A4637"/>
  <c r="A4636"/>
  <c r="A4634"/>
  <c r="A4633"/>
  <c r="A4632"/>
  <c r="A4631"/>
  <c r="A4630"/>
  <c r="A4629"/>
  <c r="A4628"/>
  <c r="A4627"/>
  <c r="A4625"/>
  <c r="A4624"/>
  <c r="A4623"/>
  <c r="A4622"/>
  <c r="A4621"/>
  <c r="A4620"/>
  <c r="A4619"/>
  <c r="A4618"/>
  <c r="A4617"/>
  <c r="A4616"/>
  <c r="A4614"/>
  <c r="A4612"/>
  <c r="A4611"/>
  <c r="A4610"/>
  <c r="A4609"/>
  <c r="A4608"/>
  <c r="A4606"/>
  <c r="A4604"/>
  <c r="A4603"/>
  <c r="A4602"/>
  <c r="A4601"/>
  <c r="A4600"/>
  <c r="A4599"/>
  <c r="A4597"/>
  <c r="A4596"/>
  <c r="A4595"/>
  <c r="A4594"/>
  <c r="A4592"/>
  <c r="A4591"/>
  <c r="A4590"/>
  <c r="A4589"/>
  <c r="A4588"/>
  <c r="A4586"/>
  <c r="A4585"/>
  <c r="A4584"/>
  <c r="A4583"/>
  <c r="A4582"/>
  <c r="A4581"/>
  <c r="A4579"/>
  <c r="A4578"/>
  <c r="A4577"/>
  <c r="A4575"/>
  <c r="A4574"/>
  <c r="A4573"/>
  <c r="A4572"/>
  <c r="A4571"/>
  <c r="A4569"/>
  <c r="A4567"/>
  <c r="A4566"/>
  <c r="A4565"/>
  <c r="A4564"/>
  <c r="A4563"/>
  <c r="A4562"/>
  <c r="A4561"/>
  <c r="A4560"/>
  <c r="A4559"/>
  <c r="A4558"/>
  <c r="A4556"/>
  <c r="A4554"/>
  <c r="A4552"/>
  <c r="A4550"/>
  <c r="A4548"/>
  <c r="A4547"/>
  <c r="A4546"/>
  <c r="A4545"/>
  <c r="A4544"/>
  <c r="A4543"/>
  <c r="A4542"/>
  <c r="A4541"/>
  <c r="A4540"/>
  <c r="A4539"/>
  <c r="A4538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8"/>
  <c r="A4516"/>
  <c r="A4515"/>
  <c r="A4514"/>
  <c r="A4513"/>
  <c r="A4512"/>
  <c r="A4511"/>
  <c r="A4510"/>
  <c r="A4509"/>
  <c r="A4508"/>
  <c r="A4507"/>
  <c r="A4506"/>
  <c r="A4505"/>
  <c r="A4504"/>
  <c r="A4503"/>
  <c r="A4501"/>
  <c r="A4500"/>
  <c r="A4499"/>
  <c r="A4498"/>
  <c r="A4497"/>
  <c r="A4496"/>
  <c r="A4495"/>
  <c r="A4494"/>
  <c r="A4493"/>
  <c r="A4492"/>
  <c r="A4491"/>
  <c r="A4490"/>
  <c r="A4489"/>
  <c r="A4488"/>
  <c r="A4487"/>
  <c r="A4485"/>
  <c r="A4484"/>
  <c r="A4483"/>
  <c r="A4482"/>
  <c r="A4481"/>
  <c r="A4480"/>
  <c r="A4479"/>
  <c r="A4478"/>
  <c r="A4476"/>
  <c r="A4475"/>
  <c r="A4474"/>
  <c r="A4473"/>
  <c r="A4472"/>
  <c r="A4471"/>
  <c r="A4470"/>
  <c r="A4468"/>
  <c r="A4467"/>
  <c r="A4465"/>
  <c r="A4463"/>
  <c r="A4462"/>
  <c r="A4461"/>
  <c r="A4460"/>
  <c r="A4459"/>
  <c r="A4458"/>
  <c r="A4457"/>
  <c r="A4456"/>
  <c r="A4455"/>
  <c r="A4454"/>
  <c r="A4453"/>
  <c r="A4452"/>
  <c r="A4451"/>
  <c r="A4449"/>
  <c r="A4448"/>
  <c r="A4447"/>
  <c r="A4446"/>
  <c r="A4445"/>
  <c r="A4444"/>
  <c r="A4443"/>
  <c r="A4442"/>
  <c r="A4441"/>
  <c r="A4440"/>
  <c r="A4439"/>
  <c r="A4438"/>
  <c r="A4437"/>
  <c r="A4435"/>
  <c r="A4434"/>
  <c r="A4433"/>
  <c r="A4432"/>
  <c r="A4431"/>
  <c r="A4430"/>
  <c r="A4429"/>
  <c r="A4428"/>
  <c r="A4427"/>
  <c r="A4426"/>
  <c r="A4425"/>
  <c r="A4424"/>
  <c r="A4423"/>
  <c r="A4421"/>
  <c r="A4420"/>
  <c r="A4419"/>
  <c r="A4418"/>
  <c r="A4417"/>
  <c r="A4416"/>
  <c r="A4415"/>
  <c r="A4413"/>
  <c r="A4412"/>
  <c r="A4411"/>
  <c r="A4410"/>
  <c r="A4409"/>
  <c r="A4408"/>
  <c r="A4407"/>
  <c r="A4405"/>
  <c r="A4404"/>
  <c r="A4403"/>
  <c r="A4402"/>
  <c r="A4401"/>
  <c r="A4400"/>
  <c r="A4399"/>
  <c r="A4398"/>
  <c r="A4396"/>
  <c r="A4395"/>
  <c r="A4394"/>
  <c r="A4393"/>
  <c r="A4392"/>
  <c r="A4391"/>
  <c r="A4390"/>
  <c r="A4389"/>
  <c r="A4387"/>
  <c r="A4386"/>
  <c r="A4384"/>
  <c r="A4383"/>
  <c r="A4382"/>
  <c r="A4381"/>
  <c r="A4380"/>
  <c r="A4379"/>
  <c r="A4378"/>
  <c r="A4377"/>
  <c r="A4376"/>
  <c r="A4375"/>
  <c r="A4374"/>
  <c r="A4372"/>
  <c r="A4371"/>
  <c r="A4370"/>
  <c r="A4369"/>
  <c r="A4367"/>
  <c r="A4365"/>
  <c r="A4364"/>
  <c r="A4363"/>
  <c r="A4362"/>
  <c r="A4361"/>
  <c r="A4360"/>
  <c r="A4359"/>
  <c r="A4358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0"/>
  <c r="A4329"/>
  <c r="A4328"/>
  <c r="A4327"/>
  <c r="A4326"/>
  <c r="A4325"/>
  <c r="A4324"/>
  <c r="A4323"/>
  <c r="A4322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7"/>
  <c r="A4276"/>
  <c r="A4275"/>
  <c r="A4274"/>
  <c r="A4273"/>
  <c r="A4271"/>
  <c r="A4270"/>
  <c r="A4269"/>
  <c r="A4268"/>
  <c r="A4267"/>
  <c r="A4266"/>
  <c r="A4265"/>
  <c r="A4264"/>
  <c r="A4263"/>
  <c r="A4262"/>
  <c r="A4261"/>
  <c r="A4260"/>
  <c r="A4257"/>
  <c r="A4254"/>
  <c r="A4253"/>
  <c r="A4252"/>
  <c r="A4251"/>
  <c r="A4250"/>
  <c r="A4249"/>
  <c r="A4248"/>
  <c r="A4247"/>
  <c r="A4246"/>
  <c r="A4245"/>
  <c r="A4244"/>
  <c r="A4242"/>
  <c r="A4241"/>
  <c r="A4239"/>
  <c r="A4238"/>
  <c r="A4237"/>
  <c r="A4236"/>
  <c r="A4235"/>
  <c r="A4234"/>
  <c r="A4233"/>
  <c r="A4232"/>
  <c r="A4230"/>
  <c r="A4228"/>
  <c r="A4226"/>
  <c r="A4225"/>
  <c r="A4224"/>
  <c r="A4223"/>
  <c r="A4222"/>
  <c r="A4221"/>
  <c r="A4220"/>
  <c r="A4218"/>
  <c r="A4217"/>
  <c r="A4216"/>
  <c r="A4215"/>
  <c r="A4214"/>
  <c r="A4213"/>
  <c r="A4212"/>
  <c r="A4210"/>
  <c r="A4209"/>
  <c r="A4208"/>
  <c r="A4205"/>
  <c r="A4202"/>
  <c r="A4201"/>
  <c r="A4199"/>
  <c r="A4198"/>
  <c r="A4196"/>
  <c r="A4195"/>
  <c r="A4194"/>
  <c r="A4193"/>
  <c r="A4191"/>
  <c r="A4189"/>
  <c r="A4188"/>
  <c r="A4187"/>
  <c r="A4185"/>
  <c r="A4184"/>
  <c r="A4183"/>
  <c r="A4181"/>
  <c r="A4179"/>
  <c r="A4178"/>
  <c r="A4176"/>
  <c r="A4173"/>
  <c r="A4172"/>
  <c r="A4171"/>
  <c r="A4169"/>
  <c r="A4168"/>
  <c r="A4165"/>
  <c r="A4163"/>
  <c r="A4162"/>
  <c r="A4161"/>
  <c r="A4160"/>
  <c r="A4159"/>
  <c r="A4158"/>
  <c r="A4157"/>
  <c r="A4156"/>
  <c r="A4155"/>
  <c r="A4154"/>
  <c r="A4153"/>
  <c r="A4152"/>
  <c r="A4151"/>
  <c r="A4150"/>
  <c r="A4148"/>
  <c r="A4147"/>
  <c r="A4146"/>
  <c r="A4145"/>
  <c r="A4144"/>
  <c r="A4143"/>
  <c r="A4142"/>
  <c r="A4141"/>
  <c r="A4140"/>
  <c r="A4139"/>
  <c r="A4138"/>
  <c r="A4137"/>
  <c r="A4136"/>
  <c r="A4134"/>
  <c r="A4133"/>
  <c r="A4132"/>
  <c r="A4130"/>
  <c r="A4129"/>
  <c r="A4128"/>
  <c r="A4127"/>
  <c r="A4126"/>
  <c r="A4125"/>
  <c r="A4124"/>
  <c r="A4123"/>
  <c r="A4122"/>
  <c r="A4121"/>
  <c r="A4118"/>
  <c r="A4117"/>
  <c r="A4116"/>
  <c r="A4115"/>
  <c r="A4114"/>
  <c r="A4113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6"/>
  <c r="A4075"/>
  <c r="A4074"/>
  <c r="A4073"/>
  <c r="A4072"/>
  <c r="A4071"/>
  <c r="A4070"/>
  <c r="A4069"/>
  <c r="A4068"/>
  <c r="A4066"/>
  <c r="A4065"/>
  <c r="A4064"/>
  <c r="A4063"/>
  <c r="A4062"/>
  <c r="A4060"/>
  <c r="A4059"/>
  <c r="A4058"/>
  <c r="A4055"/>
  <c r="A4054"/>
  <c r="A4051"/>
  <c r="A4050"/>
  <c r="A4049"/>
  <c r="A4048"/>
  <c r="A4047"/>
  <c r="A4046"/>
  <c r="A4045"/>
  <c r="A4044"/>
  <c r="A4043"/>
  <c r="A4041"/>
  <c r="A4040"/>
  <c r="A4038"/>
  <c r="A4037"/>
  <c r="A4036"/>
  <c r="A4035"/>
  <c r="A4034"/>
  <c r="A4033"/>
  <c r="A4031"/>
  <c r="A4030"/>
  <c r="A4029"/>
  <c r="A4028"/>
  <c r="A4027"/>
  <c r="A4026"/>
  <c r="A4025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2"/>
  <c r="A4001"/>
  <c r="A3999"/>
  <c r="A3998"/>
  <c r="A3997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6"/>
  <c r="A3975"/>
  <c r="A3973"/>
  <c r="A3972"/>
  <c r="A3971"/>
  <c r="A3970"/>
  <c r="A3969"/>
  <c r="A3968"/>
  <c r="A3967"/>
  <c r="A3966"/>
  <c r="A3965"/>
  <c r="A3964"/>
  <c r="A3963"/>
  <c r="A3961"/>
  <c r="A3960"/>
  <c r="A3959"/>
  <c r="A3958"/>
  <c r="A3957"/>
  <c r="A3956"/>
  <c r="A3954"/>
  <c r="A3952"/>
  <c r="A3951"/>
  <c r="A3950"/>
  <c r="A3949"/>
  <c r="A3947"/>
  <c r="A3946"/>
  <c r="A3945"/>
  <c r="A3944"/>
  <c r="A3943"/>
  <c r="A3942"/>
  <c r="A3941"/>
  <c r="A3938"/>
  <c r="A3936"/>
  <c r="A3934"/>
  <c r="A3933"/>
  <c r="A3932"/>
  <c r="A3931"/>
  <c r="A3930"/>
  <c r="A3928"/>
  <c r="A3927"/>
  <c r="A3926"/>
  <c r="A3925"/>
  <c r="A3924"/>
  <c r="A3923"/>
  <c r="A3922"/>
  <c r="A3921"/>
  <c r="A3919"/>
  <c r="A3918"/>
  <c r="A3917"/>
  <c r="A3916"/>
  <c r="A3915"/>
  <c r="A3914"/>
  <c r="A3913"/>
  <c r="A3912"/>
  <c r="A3911"/>
  <c r="A3910"/>
  <c r="A3909"/>
  <c r="A3908"/>
  <c r="A3907"/>
  <c r="A3905"/>
  <c r="A3903"/>
  <c r="A3902"/>
  <c r="A3901"/>
  <c r="A3900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8"/>
  <c r="A3877"/>
  <c r="A3876"/>
  <c r="A3875"/>
  <c r="A3874"/>
  <c r="A3873"/>
  <c r="A3872"/>
  <c r="A3871"/>
  <c r="A3870"/>
  <c r="A3869"/>
  <c r="A3867"/>
  <c r="A3866"/>
  <c r="A3865"/>
  <c r="A3864"/>
  <c r="A3863"/>
  <c r="A3862"/>
  <c r="A3861"/>
  <c r="A3860"/>
  <c r="A3859"/>
  <c r="A3858"/>
  <c r="A3857"/>
  <c r="A3856"/>
  <c r="A3854"/>
  <c r="A3852"/>
  <c r="A3851"/>
  <c r="A3850"/>
  <c r="A3849"/>
  <c r="A3848"/>
  <c r="A3847"/>
  <c r="A3846"/>
  <c r="A3844"/>
  <c r="A3843"/>
  <c r="A3842"/>
  <c r="A3841"/>
  <c r="A3840"/>
  <c r="A3839"/>
  <c r="A3838"/>
  <c r="A3837"/>
  <c r="A3836"/>
  <c r="A3835"/>
  <c r="A3834"/>
  <c r="A3833"/>
  <c r="A3831"/>
  <c r="A3830"/>
  <c r="A3828"/>
  <c r="A3827"/>
  <c r="A3826"/>
  <c r="A3824"/>
  <c r="A3823"/>
  <c r="A3822"/>
  <c r="A3821"/>
  <c r="A3820"/>
  <c r="A3819"/>
  <c r="A3817"/>
  <c r="A3816"/>
  <c r="A3815"/>
  <c r="A3813"/>
  <c r="A3812"/>
  <c r="A3811"/>
  <c r="A3810"/>
  <c r="A3809"/>
  <c r="A3808"/>
  <c r="A3807"/>
  <c r="A3806"/>
  <c r="A3804"/>
  <c r="A3803"/>
  <c r="A3802"/>
  <c r="A3801"/>
  <c r="A3799"/>
  <c r="A3798"/>
  <c r="A3797"/>
  <c r="A3796"/>
  <c r="A3795"/>
  <c r="A3794"/>
  <c r="A3793"/>
  <c r="A3791"/>
  <c r="A3790"/>
  <c r="A3789"/>
  <c r="A3788"/>
  <c r="A3787"/>
  <c r="A3785"/>
  <c r="A3783"/>
  <c r="A3782"/>
  <c r="A3781"/>
  <c r="A3780"/>
  <c r="A3779"/>
  <c r="A3777"/>
  <c r="A3776"/>
  <c r="A3775"/>
  <c r="A3774"/>
  <c r="A3773"/>
  <c r="A3772"/>
  <c r="A3771"/>
  <c r="A3769"/>
  <c r="A3767"/>
  <c r="A3766"/>
  <c r="A3765"/>
  <c r="A3764"/>
  <c r="A3763"/>
  <c r="A3762"/>
  <c r="A3761"/>
  <c r="A3760"/>
  <c r="A3758"/>
  <c r="A3757"/>
  <c r="A3756"/>
  <c r="A3755"/>
  <c r="A3754"/>
  <c r="A3753"/>
  <c r="A3752"/>
  <c r="A3751"/>
  <c r="A3750"/>
  <c r="A3748"/>
  <c r="A3747"/>
  <c r="A3746"/>
  <c r="A3745"/>
  <c r="A3744"/>
  <c r="A3743"/>
  <c r="A3742"/>
  <c r="A3741"/>
  <c r="A3740"/>
  <c r="A3739"/>
  <c r="A3738"/>
  <c r="A3737"/>
  <c r="A3736"/>
  <c r="A3735"/>
  <c r="A3734"/>
  <c r="A3732"/>
  <c r="A3731"/>
  <c r="A3730"/>
  <c r="A3729"/>
  <c r="A3728"/>
  <c r="A3727"/>
  <c r="A3725"/>
  <c r="A3724"/>
  <c r="A3723"/>
  <c r="A3722"/>
  <c r="A3721"/>
  <c r="A3720"/>
  <c r="A3719"/>
  <c r="A3718"/>
  <c r="A3717"/>
  <c r="A3716"/>
  <c r="A3715"/>
  <c r="A3713"/>
  <c r="A3712"/>
  <c r="A3711"/>
  <c r="A3710"/>
  <c r="A3709"/>
  <c r="A3707"/>
  <c r="A3706"/>
  <c r="A3705"/>
  <c r="A3704"/>
  <c r="A3702"/>
  <c r="A3699"/>
  <c r="A3698"/>
  <c r="A3696"/>
  <c r="A3695"/>
  <c r="A3694"/>
  <c r="A3693"/>
  <c r="A3692"/>
  <c r="A3691"/>
  <c r="A3690"/>
  <c r="A3689"/>
  <c r="A3688"/>
  <c r="A3687"/>
  <c r="A3685"/>
  <c r="A3684"/>
  <c r="A3682"/>
  <c r="A3681"/>
  <c r="A3680"/>
  <c r="A3679"/>
  <c r="A3678"/>
  <c r="A3677"/>
  <c r="A3675"/>
  <c r="A3672"/>
  <c r="A3670"/>
  <c r="A3669"/>
  <c r="A3667"/>
  <c r="A3665"/>
  <c r="A3663"/>
  <c r="A3662"/>
  <c r="A3660"/>
  <c r="A3659"/>
  <c r="A3658"/>
  <c r="A3657"/>
  <c r="A3656"/>
  <c r="A3655"/>
  <c r="A3654"/>
  <c r="A3652"/>
  <c r="A3651"/>
  <c r="A3650"/>
  <c r="A3649"/>
  <c r="A3648"/>
  <c r="A3647"/>
  <c r="A3646"/>
  <c r="A3643"/>
  <c r="A3642"/>
  <c r="A3641"/>
  <c r="A3640"/>
  <c r="A3639"/>
  <c r="A3638"/>
  <c r="A3637"/>
  <c r="A3636"/>
  <c r="A3635"/>
  <c r="A3633"/>
  <c r="A3632"/>
  <c r="A3631"/>
  <c r="A3630"/>
  <c r="A3629"/>
  <c r="A3628"/>
  <c r="A3627"/>
  <c r="A3626"/>
  <c r="A3625"/>
  <c r="A3624"/>
  <c r="A3622"/>
  <c r="A3620"/>
  <c r="A3618"/>
  <c r="A3615"/>
  <c r="A3613"/>
  <c r="A3610"/>
  <c r="A3609"/>
  <c r="A3608"/>
  <c r="A3606"/>
  <c r="A3605"/>
  <c r="A3604"/>
  <c r="A3603"/>
  <c r="A3602"/>
  <c r="A3601"/>
  <c r="A3599"/>
  <c r="A3598"/>
  <c r="A3597"/>
  <c r="A3596"/>
  <c r="A3595"/>
  <c r="A3593"/>
  <c r="A3592"/>
  <c r="A3591"/>
  <c r="A3590"/>
  <c r="A3589"/>
  <c r="A3588"/>
  <c r="A3587"/>
  <c r="A3585"/>
  <c r="A3584"/>
  <c r="A3583"/>
  <c r="A3582"/>
  <c r="A3581"/>
  <c r="A3580"/>
  <c r="A3579"/>
  <c r="A3578"/>
  <c r="A3577"/>
  <c r="A3576"/>
  <c r="A3574"/>
  <c r="A3573"/>
  <c r="A3572"/>
  <c r="A3571"/>
  <c r="A3570"/>
  <c r="A3568"/>
  <c r="A3567"/>
  <c r="A3566"/>
  <c r="A3565"/>
  <c r="A3564"/>
  <c r="A3563"/>
  <c r="A3562"/>
  <c r="A3561"/>
  <c r="A3559"/>
  <c r="A3558"/>
  <c r="A3557"/>
  <c r="A3556"/>
  <c r="A3555"/>
  <c r="A3554"/>
  <c r="A3553"/>
  <c r="A3551"/>
  <c r="A3550"/>
  <c r="A3549"/>
  <c r="A3548"/>
  <c r="A3547"/>
  <c r="A3546"/>
  <c r="A3545"/>
  <c r="A3544"/>
  <c r="A3543"/>
  <c r="A3541"/>
  <c r="A3540"/>
  <c r="A3539"/>
  <c r="A3538"/>
  <c r="A3537"/>
  <c r="A3535"/>
  <c r="A3533"/>
  <c r="A3531"/>
  <c r="A3530"/>
  <c r="A3529"/>
  <c r="A3528"/>
  <c r="A3527"/>
  <c r="A3526"/>
  <c r="A3525"/>
  <c r="A3524"/>
  <c r="A3523"/>
  <c r="A3522"/>
  <c r="A3521"/>
  <c r="A3520"/>
  <c r="A3518"/>
  <c r="A3517"/>
  <c r="A3516"/>
  <c r="A3515"/>
  <c r="A3514"/>
  <c r="A3513"/>
  <c r="A3512"/>
  <c r="A3510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1"/>
  <c r="A3490"/>
  <c r="A3489"/>
  <c r="A3488"/>
  <c r="A3487"/>
  <c r="A3485"/>
  <c r="A3484"/>
  <c r="A3483"/>
  <c r="A3482"/>
  <c r="A3481"/>
  <c r="A3480"/>
  <c r="A3479"/>
  <c r="A3477"/>
  <c r="A3476"/>
  <c r="A3475"/>
  <c r="A3474"/>
  <c r="A3473"/>
  <c r="A3472"/>
  <c r="A3471"/>
  <c r="A3470"/>
  <c r="A3469"/>
  <c r="A3468"/>
  <c r="A3466"/>
  <c r="A3465"/>
  <c r="A3464"/>
  <c r="A3463"/>
  <c r="A3462"/>
  <c r="A3461"/>
  <c r="A3460"/>
  <c r="A3458"/>
  <c r="A3456"/>
  <c r="A3455"/>
  <c r="A3454"/>
  <c r="A3452"/>
  <c r="A3451"/>
  <c r="A3450"/>
  <c r="A3449"/>
  <c r="A3448"/>
  <c r="A3447"/>
  <c r="A3445"/>
  <c r="A3444"/>
  <c r="A3443"/>
  <c r="A3442"/>
  <c r="A3441"/>
  <c r="A3440"/>
  <c r="A3439"/>
  <c r="A3438"/>
  <c r="A3437"/>
  <c r="A3435"/>
  <c r="A3434"/>
  <c r="A3433"/>
  <c r="A3431"/>
  <c r="A3430"/>
  <c r="A3429"/>
  <c r="A3428"/>
  <c r="A3426"/>
  <c r="A3425"/>
  <c r="A3424"/>
  <c r="A3422"/>
  <c r="A3421"/>
  <c r="A3420"/>
  <c r="A3419"/>
  <c r="A3417"/>
  <c r="A3416"/>
  <c r="A3415"/>
  <c r="A3414"/>
  <c r="A3413"/>
  <c r="A3412"/>
  <c r="A3410"/>
  <c r="A3409"/>
  <c r="A3408"/>
  <c r="A3407"/>
  <c r="A3406"/>
  <c r="A3405"/>
  <c r="A3404"/>
  <c r="A3403"/>
  <c r="A3402"/>
  <c r="A3401"/>
  <c r="A3400"/>
  <c r="A3399"/>
  <c r="A3398"/>
  <c r="A3397"/>
  <c r="A3395"/>
  <c r="A3394"/>
  <c r="A3393"/>
  <c r="A3392"/>
  <c r="A3390"/>
  <c r="A3389"/>
  <c r="A3387"/>
  <c r="A3386"/>
  <c r="A3385"/>
  <c r="A3384"/>
  <c r="A3383"/>
  <c r="A3382"/>
  <c r="A3381"/>
  <c r="A3380"/>
  <c r="A3379"/>
  <c r="A3378"/>
  <c r="A3377"/>
  <c r="A3376"/>
  <c r="A3375"/>
  <c r="A3373"/>
  <c r="A3372"/>
  <c r="A3371"/>
  <c r="A3370"/>
  <c r="A3369"/>
  <c r="A3367"/>
  <c r="A3366"/>
  <c r="A3365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4"/>
  <c r="A3343"/>
  <c r="A3342"/>
  <c r="A3341"/>
  <c r="A3340"/>
  <c r="A3339"/>
  <c r="A3338"/>
  <c r="A3337"/>
  <c r="A3336"/>
  <c r="A3335"/>
  <c r="A3334"/>
  <c r="A3333"/>
  <c r="A3332"/>
  <c r="A3331"/>
  <c r="A3328"/>
  <c r="A3327"/>
  <c r="A3326"/>
  <c r="A3325"/>
  <c r="A3324"/>
  <c r="A3322"/>
  <c r="A3321"/>
  <c r="A3320"/>
  <c r="A3319"/>
  <c r="A3318"/>
  <c r="A3317"/>
  <c r="A3314"/>
  <c r="A3313"/>
  <c r="A3312"/>
  <c r="A3310"/>
  <c r="A3309"/>
  <c r="A3308"/>
  <c r="A3307"/>
  <c r="A3306"/>
  <c r="A3305"/>
  <c r="A3304"/>
  <c r="A3303"/>
  <c r="A3302"/>
  <c r="A3300"/>
  <c r="A3298"/>
  <c r="A3297"/>
  <c r="A3296"/>
  <c r="A3295"/>
  <c r="A3294"/>
  <c r="A3292"/>
  <c r="A3291"/>
  <c r="A3290"/>
  <c r="A3289"/>
  <c r="A3288"/>
  <c r="A3287"/>
  <c r="A3286"/>
  <c r="A3284"/>
  <c r="A3283"/>
  <c r="A3282"/>
  <c r="A3281"/>
  <c r="A3280"/>
  <c r="A3278"/>
  <c r="A3277"/>
  <c r="A3276"/>
  <c r="A3274"/>
  <c r="A3272"/>
  <c r="A3270"/>
  <c r="A3269"/>
  <c r="A3268"/>
  <c r="A3267"/>
  <c r="A3266"/>
  <c r="A3264"/>
  <c r="A3262"/>
  <c r="A3261"/>
  <c r="A3260"/>
  <c r="A3259"/>
  <c r="A3257"/>
  <c r="A3256"/>
  <c r="A3254"/>
  <c r="A3253"/>
  <c r="A3252"/>
  <c r="A3251"/>
  <c r="A3250"/>
  <c r="A3249"/>
  <c r="A3248"/>
  <c r="A3247"/>
  <c r="A3246"/>
  <c r="A3245"/>
  <c r="A3243"/>
  <c r="A3241"/>
  <c r="A3239"/>
  <c r="A3237"/>
  <c r="A3236"/>
  <c r="A3235"/>
  <c r="A3234"/>
  <c r="A3233"/>
  <c r="A3232"/>
  <c r="A3231"/>
  <c r="A3230"/>
  <c r="A3229"/>
  <c r="A3228"/>
  <c r="A3227"/>
  <c r="A3226"/>
  <c r="A3224"/>
  <c r="A3223"/>
  <c r="A3222"/>
  <c r="A3221"/>
  <c r="A3219"/>
  <c r="A3218"/>
  <c r="A3216"/>
  <c r="A3215"/>
  <c r="A3214"/>
  <c r="A3213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6"/>
  <c r="A3185"/>
  <c r="A3184"/>
  <c r="A3183"/>
  <c r="A3182"/>
  <c r="A3181"/>
  <c r="A3180"/>
  <c r="A3179"/>
  <c r="A3178"/>
  <c r="A3177"/>
  <c r="A3176"/>
  <c r="A3175"/>
  <c r="A3174"/>
  <c r="A3172"/>
  <c r="A3171"/>
  <c r="A3170"/>
  <c r="A3169"/>
  <c r="A3168"/>
  <c r="A3167"/>
  <c r="A3166"/>
  <c r="A3165"/>
  <c r="A3164"/>
  <c r="A3163"/>
  <c r="A3162"/>
  <c r="A3161"/>
  <c r="A3159"/>
  <c r="A3158"/>
  <c r="A3157"/>
  <c r="A3156"/>
  <c r="A3154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5"/>
  <c r="A3134"/>
  <c r="A3133"/>
  <c r="A3132"/>
  <c r="A3131"/>
  <c r="A3130"/>
  <c r="A3129"/>
  <c r="A3128"/>
  <c r="A3127"/>
  <c r="A3126"/>
  <c r="A3124"/>
  <c r="A3123"/>
  <c r="A3122"/>
  <c r="A3121"/>
  <c r="A3120"/>
  <c r="A3119"/>
  <c r="A3118"/>
  <c r="A3117"/>
  <c r="A3116"/>
  <c r="A3114"/>
  <c r="A3113"/>
  <c r="A3112"/>
  <c r="A3111"/>
  <c r="A3109"/>
  <c r="A3108"/>
  <c r="A3107"/>
  <c r="A3106"/>
  <c r="A3105"/>
  <c r="A3104"/>
  <c r="A3102"/>
  <c r="A3101"/>
  <c r="A3100"/>
  <c r="A3099"/>
  <c r="A3098"/>
  <c r="A3097"/>
  <c r="A3096"/>
  <c r="A3095"/>
  <c r="A3094"/>
  <c r="A3093"/>
  <c r="A3092"/>
  <c r="A3091"/>
  <c r="A3090"/>
  <c r="A3088"/>
  <c r="A3087"/>
  <c r="A3086"/>
  <c r="A3085"/>
  <c r="A3084"/>
  <c r="A3083"/>
  <c r="A3082"/>
  <c r="A3081"/>
  <c r="A3079"/>
  <c r="A3078"/>
  <c r="A3077"/>
  <c r="A3076"/>
  <c r="A3075"/>
  <c r="A3074"/>
  <c r="A3073"/>
  <c r="A3072"/>
  <c r="A3070"/>
  <c r="A3069"/>
  <c r="A3068"/>
  <c r="A3067"/>
  <c r="A3066"/>
  <c r="A3064"/>
  <c r="A3063"/>
  <c r="A3062"/>
  <c r="A3061"/>
  <c r="A3059"/>
  <c r="A3058"/>
  <c r="A3057"/>
  <c r="A3056"/>
  <c r="A3055"/>
  <c r="A3054"/>
  <c r="A3053"/>
  <c r="A3052"/>
  <c r="A3051"/>
  <c r="A3050"/>
  <c r="A3048"/>
  <c r="A3047"/>
  <c r="A3046"/>
  <c r="A3045"/>
  <c r="A3044"/>
  <c r="A3043"/>
  <c r="A3042"/>
  <c r="A3041"/>
  <c r="A3039"/>
  <c r="A3038"/>
  <c r="A3037"/>
  <c r="A3036"/>
  <c r="A3035"/>
  <c r="A3034"/>
  <c r="A3033"/>
  <c r="A3031"/>
  <c r="A3030"/>
  <c r="A3029"/>
  <c r="A3027"/>
  <c r="A3026"/>
  <c r="A3025"/>
  <c r="A3024"/>
  <c r="A3023"/>
  <c r="A3022"/>
  <c r="A3021"/>
  <c r="A3019"/>
  <c r="A3018"/>
  <c r="A3016"/>
  <c r="A3014"/>
  <c r="A3013"/>
  <c r="A3012"/>
  <c r="A3010"/>
  <c r="A3008"/>
  <c r="A3007"/>
  <c r="A3006"/>
  <c r="A3005"/>
  <c r="A3003"/>
  <c r="A3001"/>
  <c r="A3000"/>
  <c r="A2998"/>
  <c r="A2997"/>
  <c r="A2996"/>
  <c r="A2995"/>
  <c r="A2994"/>
  <c r="A2993"/>
  <c r="A2992"/>
  <c r="A2991"/>
  <c r="A2990"/>
  <c r="A2989"/>
  <c r="A2988"/>
  <c r="A2987"/>
  <c r="A2986"/>
  <c r="A2985"/>
  <c r="A2983"/>
  <c r="A2982"/>
  <c r="A2981"/>
  <c r="A2980"/>
  <c r="A2979"/>
  <c r="A2978"/>
  <c r="A2977"/>
  <c r="A2976"/>
  <c r="A2974"/>
  <c r="A2973"/>
  <c r="A2972"/>
  <c r="A2971"/>
  <c r="A2970"/>
  <c r="A2969"/>
  <c r="A2968"/>
  <c r="A2967"/>
  <c r="A2966"/>
  <c r="A2965"/>
  <c r="A2963"/>
  <c r="A2962"/>
  <c r="A2961"/>
  <c r="A2960"/>
  <c r="A2959"/>
  <c r="A2958"/>
  <c r="A2957"/>
  <c r="A2956"/>
  <c r="A2955"/>
  <c r="A2954"/>
  <c r="A2953"/>
  <c r="A2951"/>
  <c r="A2950"/>
  <c r="A2948"/>
  <c r="A2947"/>
  <c r="A2946"/>
  <c r="A2945"/>
  <c r="A2944"/>
  <c r="A2943"/>
  <c r="A2942"/>
  <c r="A2941"/>
  <c r="A2940"/>
  <c r="A2938"/>
  <c r="A2937"/>
  <c r="A2936"/>
  <c r="A2935"/>
  <c r="A2934"/>
  <c r="A2932"/>
  <c r="A2930"/>
  <c r="A2929"/>
  <c r="A2927"/>
  <c r="A2926"/>
  <c r="A2923"/>
  <c r="A2920"/>
  <c r="A2918"/>
  <c r="A2917"/>
  <c r="A2916"/>
  <c r="A2915"/>
  <c r="A2914"/>
  <c r="A2913"/>
  <c r="A2912"/>
  <c r="A2911"/>
  <c r="A2910"/>
  <c r="A2909"/>
  <c r="A2908"/>
  <c r="A2907"/>
  <c r="A2906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5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7"/>
  <c r="A2816"/>
  <c r="A2815"/>
  <c r="A2814"/>
  <c r="A2813"/>
  <c r="A2812"/>
  <c r="A2811"/>
  <c r="A2810"/>
  <c r="A2809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6"/>
  <c r="A2785"/>
  <c r="A2784"/>
  <c r="A2783"/>
  <c r="A2782"/>
  <c r="A2781"/>
  <c r="A2780"/>
  <c r="A2779"/>
  <c r="A2778"/>
  <c r="A2777"/>
  <c r="A2776"/>
  <c r="A2775"/>
  <c r="A2773"/>
  <c r="A2772"/>
  <c r="A2771"/>
  <c r="A2769"/>
  <c r="A2768"/>
  <c r="A2767"/>
  <c r="A2765"/>
  <c r="A2764"/>
  <c r="A2763"/>
  <c r="A2762"/>
  <c r="A2761"/>
  <c r="A2759"/>
  <c r="A2757"/>
  <c r="A2756"/>
  <c r="A2755"/>
  <c r="A2753"/>
  <c r="A2751"/>
  <c r="A2749"/>
  <c r="A2747"/>
  <c r="A2746"/>
  <c r="A2745"/>
  <c r="A2744"/>
  <c r="A2743"/>
  <c r="A2742"/>
  <c r="A2741"/>
  <c r="A2740"/>
  <c r="A2739"/>
  <c r="A2738"/>
  <c r="A2737"/>
  <c r="A2736"/>
  <c r="A2735"/>
  <c r="A2734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5"/>
  <c r="A2674"/>
  <c r="A2673"/>
  <c r="A2672"/>
  <c r="A2671"/>
  <c r="A2669"/>
  <c r="A2668"/>
  <c r="A2667"/>
  <c r="A2666"/>
  <c r="A2665"/>
  <c r="A2664"/>
  <c r="A2663"/>
  <c r="A2662"/>
  <c r="A2660"/>
  <c r="A2659"/>
  <c r="A2658"/>
  <c r="A2657"/>
  <c r="A2656"/>
  <c r="A2655"/>
  <c r="A2654"/>
  <c r="A2653"/>
  <c r="A2652"/>
  <c r="A2651"/>
  <c r="A2650"/>
  <c r="A2648"/>
  <c r="A2647"/>
  <c r="A2645"/>
  <c r="A2644"/>
  <c r="A2643"/>
  <c r="A2642"/>
  <c r="A2640"/>
  <c r="A2639"/>
  <c r="A2638"/>
  <c r="A2637"/>
  <c r="A2636"/>
  <c r="A2635"/>
  <c r="A2634"/>
  <c r="A2633"/>
  <c r="A2632"/>
  <c r="A2631"/>
  <c r="A2629"/>
  <c r="A2628"/>
  <c r="A2627"/>
  <c r="A2626"/>
  <c r="A2625"/>
  <c r="A2624"/>
  <c r="A2623"/>
  <c r="A2622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0"/>
  <c r="A2599"/>
  <c r="A2598"/>
  <c r="A2597"/>
  <c r="A2596"/>
  <c r="A2595"/>
  <c r="A2594"/>
  <c r="A2593"/>
  <c r="A2592"/>
  <c r="A2591"/>
  <c r="A2590"/>
  <c r="A2589"/>
  <c r="A2588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1"/>
  <c r="A2560"/>
  <c r="A2559"/>
  <c r="A2558"/>
  <c r="A2557"/>
  <c r="A2556"/>
  <c r="A2555"/>
  <c r="A2554"/>
  <c r="A2553"/>
  <c r="A2552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89"/>
  <c r="A2488"/>
  <c r="A2487"/>
  <c r="A2486"/>
  <c r="A2485"/>
  <c r="A2484"/>
  <c r="A2483"/>
  <c r="A2482"/>
  <c r="A2481"/>
  <c r="A2480"/>
  <c r="A2478"/>
  <c r="A2477"/>
  <c r="A2476"/>
  <c r="A2475"/>
  <c r="A2474"/>
  <c r="A2473"/>
  <c r="A2472"/>
  <c r="A2471"/>
  <c r="A2470"/>
  <c r="A2469"/>
  <c r="A2468"/>
  <c r="A2467"/>
  <c r="A2466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6"/>
  <c r="A2395"/>
  <c r="A2394"/>
  <c r="A2393"/>
  <c r="A2392"/>
  <c r="A2391"/>
  <c r="A2389"/>
  <c r="A2388"/>
  <c r="A2387"/>
  <c r="A2386"/>
  <c r="A2385"/>
  <c r="A2384"/>
  <c r="A2382"/>
  <c r="A2380"/>
  <c r="A2378"/>
  <c r="A2376"/>
  <c r="A2374"/>
  <c r="A2372"/>
  <c r="A2371"/>
  <c r="A2370"/>
  <c r="A2369"/>
  <c r="A2368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8"/>
  <c r="A2286"/>
  <c r="A2284"/>
  <c r="A2283"/>
  <c r="A2281"/>
  <c r="A2279"/>
  <c r="A2278"/>
  <c r="A2277"/>
  <c r="A2276"/>
  <c r="A2275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49"/>
  <c r="A2248"/>
  <c r="A2247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2"/>
  <c r="A2201"/>
  <c r="A2200"/>
  <c r="A2199"/>
  <c r="A2198"/>
  <c r="A2197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2"/>
  <c r="A2170"/>
  <c r="A2168"/>
  <c r="A2167"/>
  <c r="A2166"/>
  <c r="A2165"/>
  <c r="A2164"/>
  <c r="A2163"/>
  <c r="A2162"/>
  <c r="A2160"/>
  <c r="A2159"/>
  <c r="A2158"/>
  <c r="A2157"/>
  <c r="A2156"/>
  <c r="A2155"/>
  <c r="A2154"/>
  <c r="A2153"/>
  <c r="A2152"/>
  <c r="A2150"/>
  <c r="A2149"/>
  <c r="A2148"/>
  <c r="A2147"/>
  <c r="A2146"/>
  <c r="A2145"/>
  <c r="A2144"/>
  <c r="A2143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099"/>
  <c r="A2098"/>
  <c r="A2097"/>
  <c r="A2096"/>
  <c r="A2095"/>
  <c r="A2094"/>
  <c r="A2093"/>
  <c r="A2092"/>
  <c r="A2091"/>
  <c r="A2090"/>
  <c r="A2089"/>
  <c r="A2088"/>
  <c r="A2087"/>
  <c r="A2086"/>
  <c r="A2085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6"/>
  <c r="A2065"/>
  <c r="A2064"/>
  <c r="A2062"/>
  <c r="A2060"/>
  <c r="A2059"/>
  <c r="A2058"/>
  <c r="A2057"/>
  <c r="A2056"/>
  <c r="A2055"/>
  <c r="A2054"/>
  <c r="A2052"/>
  <c r="A2051"/>
  <c r="A2050"/>
  <c r="A2049"/>
  <c r="A2048"/>
  <c r="A2047"/>
  <c r="A2046"/>
  <c r="A2045"/>
  <c r="A2044"/>
  <c r="A2042"/>
  <c r="A2041"/>
  <c r="A2040"/>
  <c r="A2039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09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8"/>
  <c r="A1987"/>
  <c r="A1986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5"/>
  <c r="A1964"/>
  <c r="A1963"/>
  <c r="A1962"/>
  <c r="A1961"/>
  <c r="A1960"/>
  <c r="A1959"/>
  <c r="A1958"/>
  <c r="A1956"/>
  <c r="A1954"/>
  <c r="A1953"/>
  <c r="A1952"/>
  <c r="A1951"/>
  <c r="A1950"/>
  <c r="A1948"/>
  <c r="A1947"/>
  <c r="A1946"/>
  <c r="A1945"/>
  <c r="A1944"/>
  <c r="A1943"/>
  <c r="A1942"/>
  <c r="A1941"/>
  <c r="A1940"/>
  <c r="A1939"/>
  <c r="A1937"/>
  <c r="A1936"/>
  <c r="A1935"/>
  <c r="A1934"/>
  <c r="A1933"/>
  <c r="A1932"/>
  <c r="A1931"/>
  <c r="A1930"/>
  <c r="A1928"/>
  <c r="A1927"/>
  <c r="A1926"/>
  <c r="A1925"/>
  <c r="A1924"/>
  <c r="A1923"/>
  <c r="A1922"/>
  <c r="A1921"/>
  <c r="A1920"/>
  <c r="A1919"/>
  <c r="A1917"/>
  <c r="A1916"/>
  <c r="A1915"/>
  <c r="A1914"/>
  <c r="A1913"/>
  <c r="A1912"/>
  <c r="A1911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8"/>
  <c r="A1887"/>
  <c r="A1886"/>
  <c r="A1885"/>
  <c r="A1883"/>
  <c r="A1882"/>
  <c r="A1881"/>
  <c r="A1880"/>
  <c r="A1879"/>
  <c r="A1878"/>
  <c r="A1877"/>
  <c r="A1876"/>
  <c r="A1874"/>
  <c r="A1873"/>
  <c r="A1872"/>
  <c r="A1871"/>
  <c r="A1870"/>
  <c r="A1868"/>
  <c r="A1866"/>
  <c r="A1863"/>
  <c r="A1860"/>
  <c r="A1857"/>
  <c r="A1856"/>
  <c r="A1855"/>
  <c r="A1853"/>
  <c r="A1851"/>
  <c r="A1850"/>
  <c r="A1849"/>
  <c r="A1848"/>
  <c r="A1847"/>
  <c r="A1846"/>
  <c r="A1844"/>
  <c r="A1841"/>
  <c r="A1839"/>
  <c r="A1838"/>
  <c r="A1837"/>
  <c r="A1836"/>
  <c r="A1835"/>
  <c r="A1834"/>
  <c r="A1832"/>
  <c r="A1831"/>
  <c r="A1829"/>
  <c r="A1828"/>
  <c r="A1827"/>
  <c r="A1826"/>
  <c r="A1825"/>
  <c r="A1824"/>
  <c r="A1822"/>
  <c r="A1821"/>
  <c r="A1819"/>
  <c r="A1818"/>
  <c r="A1817"/>
  <c r="A1815"/>
  <c r="A1814"/>
  <c r="A1812"/>
  <c r="A1811"/>
  <c r="A1810"/>
  <c r="A1808"/>
  <c r="A1807"/>
  <c r="A1805"/>
  <c r="A1804"/>
  <c r="A1803"/>
  <c r="A1801"/>
  <c r="A1800"/>
  <c r="A1798"/>
  <c r="A1797"/>
  <c r="A1795"/>
  <c r="A1793"/>
  <c r="A1791"/>
  <c r="A1790"/>
  <c r="A1789"/>
  <c r="A1788"/>
  <c r="A1787"/>
  <c r="A1785"/>
  <c r="A1784"/>
  <c r="A1783"/>
  <c r="A1782"/>
  <c r="A1781"/>
  <c r="A1779"/>
  <c r="A1777"/>
  <c r="A1774"/>
  <c r="A1772"/>
  <c r="A1770"/>
  <c r="A1768"/>
  <c r="A1765"/>
  <c r="A1764"/>
  <c r="A1763"/>
  <c r="A1762"/>
  <c r="A1761"/>
  <c r="A1760"/>
  <c r="A1758"/>
  <c r="A1757"/>
  <c r="A1756"/>
  <c r="A1755"/>
  <c r="A1754"/>
  <c r="A1751"/>
  <c r="A1750"/>
  <c r="A1749"/>
  <c r="A1748"/>
  <c r="A1746"/>
  <c r="A1745"/>
  <c r="A1744"/>
  <c r="A1743"/>
  <c r="A1741"/>
  <c r="A1740"/>
  <c r="A1739"/>
  <c r="A1738"/>
  <c r="A1737"/>
  <c r="A1736"/>
  <c r="A1734"/>
  <c r="A1733"/>
  <c r="A1732"/>
  <c r="A1731"/>
  <c r="A1730"/>
  <c r="A1729"/>
  <c r="A1728"/>
  <c r="A1727"/>
  <c r="A1726"/>
  <c r="A1725"/>
  <c r="A1724"/>
  <c r="A1723"/>
  <c r="A1722"/>
  <c r="A1719"/>
  <c r="A1718"/>
  <c r="A1716"/>
  <c r="A1715"/>
  <c r="A1714"/>
  <c r="A1713"/>
  <c r="A1712"/>
  <c r="A1711"/>
  <c r="A1710"/>
  <c r="A1709"/>
  <c r="A1708"/>
  <c r="A1707"/>
  <c r="A1706"/>
  <c r="A1704"/>
  <c r="A1702"/>
  <c r="A1699"/>
  <c r="A1697"/>
  <c r="A1696"/>
  <c r="A1694"/>
  <c r="A1693"/>
  <c r="A1692"/>
  <c r="A1690"/>
  <c r="A1688"/>
  <c r="A1686"/>
  <c r="A1684"/>
  <c r="A1681"/>
  <c r="A1679"/>
  <c r="A1677"/>
  <c r="A1676"/>
  <c r="A1674"/>
  <c r="A1672"/>
  <c r="A1671"/>
  <c r="A1670"/>
  <c r="A1669"/>
  <c r="A1668"/>
  <c r="A1667"/>
  <c r="A1666"/>
  <c r="A1664"/>
  <c r="A1662"/>
  <c r="A1661"/>
  <c r="A1660"/>
  <c r="A1659"/>
  <c r="A1658"/>
  <c r="A1657"/>
  <c r="A1656"/>
  <c r="A1654"/>
  <c r="A1651"/>
  <c r="A1650"/>
  <c r="A1649"/>
  <c r="A1648"/>
  <c r="A1647"/>
  <c r="A1646"/>
  <c r="A1645"/>
  <c r="A1644"/>
  <c r="A1643"/>
  <c r="A1642"/>
  <c r="A1640"/>
  <c r="A1639"/>
  <c r="A1638"/>
  <c r="A1637"/>
  <c r="A1636"/>
  <c r="A1635"/>
  <c r="A1634"/>
  <c r="A1633"/>
  <c r="A1632"/>
  <c r="A1631"/>
  <c r="A1630"/>
  <c r="A1629"/>
  <c r="A1628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6"/>
  <c r="A1605"/>
  <c r="A1604"/>
  <c r="A1603"/>
  <c r="A1602"/>
  <c r="A1601"/>
  <c r="A1600"/>
  <c r="A1599"/>
  <c r="A1598"/>
  <c r="A1597"/>
  <c r="A1596"/>
  <c r="A1595"/>
  <c r="A1593"/>
  <c r="A1592"/>
  <c r="A1591"/>
  <c r="A1590"/>
  <c r="A1589"/>
  <c r="A1588"/>
  <c r="A1587"/>
  <c r="A1586"/>
  <c r="A1585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0"/>
  <c r="A1559"/>
  <c r="A1558"/>
  <c r="A1557"/>
  <c r="A1556"/>
  <c r="A1555"/>
  <c r="A1554"/>
  <c r="A1553"/>
  <c r="A1551"/>
  <c r="A1550"/>
  <c r="A1549"/>
  <c r="A1548"/>
  <c r="A1547"/>
  <c r="A1546"/>
  <c r="A1545"/>
  <c r="A1544"/>
  <c r="A1543"/>
  <c r="A1542"/>
  <c r="A1541"/>
  <c r="A1540"/>
  <c r="A1539"/>
  <c r="A1538"/>
  <c r="A1537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4"/>
  <c r="A1513"/>
  <c r="A1512"/>
  <c r="A1511"/>
  <c r="A1510"/>
  <c r="A1509"/>
  <c r="A1508"/>
  <c r="A1507"/>
  <c r="A1506"/>
  <c r="A1505"/>
  <c r="A1504"/>
  <c r="A1503"/>
  <c r="A1502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5"/>
  <c r="A1474"/>
  <c r="A1473"/>
  <c r="A1472"/>
  <c r="A1471"/>
  <c r="A1470"/>
  <c r="A1469"/>
  <c r="A1468"/>
  <c r="A1467"/>
  <c r="A1465"/>
  <c r="A1464"/>
  <c r="A1463"/>
  <c r="A1462"/>
  <c r="A1461"/>
  <c r="A1460"/>
  <c r="A1459"/>
  <c r="A1458"/>
  <c r="A1457"/>
  <c r="A1456"/>
  <c r="A1455"/>
  <c r="A1454"/>
  <c r="A1453"/>
  <c r="A1452"/>
  <c r="A1451"/>
  <c r="A1449"/>
  <c r="A1448"/>
  <c r="A1447"/>
  <c r="A1446"/>
  <c r="A1445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2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4"/>
  <c r="A1373"/>
  <c r="A1372"/>
  <c r="A1371"/>
  <c r="A1370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0"/>
  <c r="A1349"/>
  <c r="A1347"/>
  <c r="A1346"/>
  <c r="A1345"/>
  <c r="A1343"/>
  <c r="A1341"/>
  <c r="A1340"/>
  <c r="A1339"/>
  <c r="A1338"/>
  <c r="A1337"/>
  <c r="A1336"/>
  <c r="A1334"/>
  <c r="A1333"/>
  <c r="A1332"/>
  <c r="A1331"/>
  <c r="A1329"/>
  <c r="A1328"/>
  <c r="A1327"/>
  <c r="A1326"/>
  <c r="A1325"/>
  <c r="A1324"/>
  <c r="A1323"/>
  <c r="A1321"/>
  <c r="A1320"/>
  <c r="A1318"/>
  <c r="A1317"/>
  <c r="A1316"/>
  <c r="A1315"/>
  <c r="A1314"/>
  <c r="A1313"/>
  <c r="A1312"/>
  <c r="A1311"/>
  <c r="A1310"/>
  <c r="A1309"/>
  <c r="A1308"/>
  <c r="A1307"/>
  <c r="A1306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79"/>
  <c r="A1278"/>
  <c r="A1277"/>
  <c r="A1276"/>
  <c r="A1275"/>
  <c r="A1274"/>
  <c r="A1273"/>
  <c r="A1272"/>
  <c r="A1271"/>
  <c r="A1269"/>
  <c r="A1268"/>
  <c r="A1267"/>
  <c r="A1266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3"/>
  <c r="A1242"/>
  <c r="A1240"/>
  <c r="A1239"/>
  <c r="A1238"/>
  <c r="A1237"/>
  <c r="A1236"/>
  <c r="A1234"/>
  <c r="A1233"/>
  <c r="A1232"/>
  <c r="A1231"/>
  <c r="A1230"/>
  <c r="A1229"/>
  <c r="A1228"/>
  <c r="A1227"/>
  <c r="A1226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3"/>
  <c r="A1162"/>
  <c r="A1161"/>
  <c r="A1160"/>
  <c r="A1159"/>
  <c r="A1158"/>
  <c r="A1157"/>
  <c r="A1156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1"/>
  <c r="A1088"/>
  <c r="A1086"/>
  <c r="A1085"/>
  <c r="A1084"/>
  <c r="A1082"/>
  <c r="A1081"/>
  <c r="A1080"/>
  <c r="A1079"/>
  <c r="A1078"/>
  <c r="A1077"/>
  <c r="A1075"/>
  <c r="A1072"/>
  <c r="A1071"/>
  <c r="A1070"/>
  <c r="A1069"/>
  <c r="A1068"/>
  <c r="A1067"/>
  <c r="A1066"/>
  <c r="A1065"/>
  <c r="A1064"/>
  <c r="A1062"/>
  <c r="A1061"/>
  <c r="A1060"/>
  <c r="A1058"/>
  <c r="A1057"/>
  <c r="A1056"/>
  <c r="A1055"/>
  <c r="A1054"/>
  <c r="A1053"/>
  <c r="A1052"/>
  <c r="A1051"/>
  <c r="A1050"/>
  <c r="A1048"/>
  <c r="A1047"/>
  <c r="A1046"/>
  <c r="A1044"/>
  <c r="A1043"/>
  <c r="A1042"/>
  <c r="A1041"/>
  <c r="A1039"/>
  <c r="A1037"/>
  <c r="A1036"/>
  <c r="A1035"/>
  <c r="A1034"/>
  <c r="A1032"/>
  <c r="A1031"/>
  <c r="A1030"/>
  <c r="A1029"/>
  <c r="A1028"/>
  <c r="A1027"/>
  <c r="A1026"/>
  <c r="A1024"/>
  <c r="A1023"/>
  <c r="A1022"/>
  <c r="A1021"/>
  <c r="A1020"/>
  <c r="A1019"/>
  <c r="A1018"/>
  <c r="A1017"/>
  <c r="A1015"/>
  <c r="A1014"/>
  <c r="A1013"/>
  <c r="A1012"/>
  <c r="A1011"/>
  <c r="A1010"/>
  <c r="A1008"/>
  <c r="A1007"/>
  <c r="A1005"/>
  <c r="A1004"/>
  <c r="A1002"/>
  <c r="A1001"/>
  <c r="A1000"/>
  <c r="A998"/>
  <c r="A997"/>
  <c r="A995"/>
  <c r="A994"/>
  <c r="A993"/>
  <c r="A991"/>
  <c r="A990"/>
  <c r="A988"/>
  <c r="A987"/>
  <c r="A986"/>
  <c r="A985"/>
  <c r="A984"/>
  <c r="A983"/>
  <c r="A982"/>
  <c r="A981"/>
  <c r="A980"/>
  <c r="A979"/>
  <c r="A978"/>
  <c r="A977"/>
  <c r="A976"/>
  <c r="A974"/>
  <c r="A973"/>
  <c r="A972"/>
  <c r="A971"/>
  <c r="A970"/>
  <c r="A968"/>
  <c r="A967"/>
  <c r="A966"/>
  <c r="A965"/>
  <c r="A964"/>
  <c r="A961"/>
  <c r="A960"/>
  <c r="A959"/>
  <c r="A958"/>
  <c r="A956"/>
  <c r="A955"/>
  <c r="A954"/>
  <c r="A952"/>
  <c r="A950"/>
  <c r="A949"/>
  <c r="A947"/>
  <c r="A946"/>
  <c r="A945"/>
  <c r="A944"/>
  <c r="A943"/>
  <c r="A942"/>
  <c r="A941"/>
  <c r="A940"/>
  <c r="A939"/>
  <c r="A938"/>
  <c r="A937"/>
  <c r="A936"/>
  <c r="A935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4"/>
  <c r="A912"/>
  <c r="A911"/>
  <c r="A910"/>
  <c r="A909"/>
  <c r="A908"/>
  <c r="A907"/>
  <c r="A906"/>
  <c r="A905"/>
  <c r="A903"/>
  <c r="A901"/>
  <c r="A899"/>
  <c r="A897"/>
  <c r="A896"/>
  <c r="A895"/>
  <c r="A894"/>
  <c r="A893"/>
  <c r="A892"/>
  <c r="A891"/>
  <c r="A889"/>
  <c r="A887"/>
  <c r="A885"/>
  <c r="A883"/>
  <c r="A882"/>
  <c r="A880"/>
  <c r="A878"/>
  <c r="A877"/>
  <c r="A876"/>
  <c r="A875"/>
  <c r="A874"/>
  <c r="A873"/>
  <c r="A872"/>
  <c r="A869"/>
  <c r="A868"/>
  <c r="A867"/>
  <c r="A866"/>
  <c r="A865"/>
  <c r="A864"/>
  <c r="A863"/>
  <c r="A862"/>
  <c r="A860"/>
  <c r="A859"/>
  <c r="A858"/>
  <c r="A857"/>
  <c r="A856"/>
  <c r="A855"/>
  <c r="A854"/>
  <c r="A853"/>
  <c r="A852"/>
  <c r="A850"/>
  <c r="A849"/>
  <c r="A848"/>
  <c r="A847"/>
  <c r="A846"/>
  <c r="A845"/>
  <c r="A844"/>
  <c r="A843"/>
  <c r="A842"/>
  <c r="A841"/>
  <c r="A840"/>
  <c r="A839"/>
  <c r="A836"/>
  <c r="A835"/>
  <c r="A834"/>
  <c r="A833"/>
  <c r="A832"/>
  <c r="A830"/>
  <c r="A828"/>
  <c r="A827"/>
  <c r="A824"/>
  <c r="A822"/>
  <c r="A821"/>
  <c r="A820"/>
  <c r="A818"/>
  <c r="A816"/>
  <c r="A815"/>
  <c r="A814"/>
  <c r="A812"/>
  <c r="A811"/>
  <c r="A810"/>
  <c r="A809"/>
  <c r="A806"/>
  <c r="A805"/>
  <c r="A804"/>
  <c r="A803"/>
  <c r="A801"/>
  <c r="A800"/>
  <c r="A798"/>
  <c r="A797"/>
  <c r="A796"/>
  <c r="A795"/>
  <c r="A794"/>
  <c r="A793"/>
  <c r="A791"/>
  <c r="A790"/>
  <c r="A789"/>
  <c r="A787"/>
  <c r="A786"/>
  <c r="A785"/>
  <c r="A784"/>
  <c r="A783"/>
  <c r="A782"/>
  <c r="A781"/>
  <c r="A780"/>
  <c r="A779"/>
  <c r="A778"/>
  <c r="A777"/>
  <c r="A776"/>
  <c r="A775"/>
  <c r="A774"/>
  <c r="A773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0"/>
  <c r="A749"/>
  <c r="A748"/>
  <c r="A747"/>
  <c r="A745"/>
  <c r="A744"/>
  <c r="A743"/>
  <c r="A742"/>
  <c r="A741"/>
  <c r="A740"/>
  <c r="A739"/>
  <c r="A738"/>
  <c r="A737"/>
  <c r="A736"/>
  <c r="A735"/>
  <c r="A734"/>
  <c r="A733"/>
  <c r="A732"/>
  <c r="A731"/>
  <c r="A730"/>
  <c r="A728"/>
  <c r="A727"/>
  <c r="A726"/>
  <c r="A725"/>
  <c r="A724"/>
  <c r="A723"/>
  <c r="A722"/>
  <c r="A721"/>
  <c r="A720"/>
  <c r="A719"/>
  <c r="A717"/>
  <c r="A716"/>
  <c r="A714"/>
  <c r="A713"/>
  <c r="A712"/>
  <c r="A711"/>
  <c r="A710"/>
  <c r="A709"/>
  <c r="A708"/>
  <c r="A707"/>
  <c r="A706"/>
  <c r="A705"/>
  <c r="A704"/>
  <c r="A702"/>
  <c r="A700"/>
  <c r="A699"/>
  <c r="A697"/>
  <c r="A696"/>
  <c r="A695"/>
  <c r="A693"/>
  <c r="A692"/>
  <c r="A691"/>
  <c r="A690"/>
  <c r="A689"/>
  <c r="A688"/>
  <c r="A687"/>
  <c r="A686"/>
  <c r="A685"/>
  <c r="A684"/>
  <c r="A683"/>
  <c r="A682"/>
  <c r="A681"/>
  <c r="A679"/>
  <c r="A678"/>
  <c r="A677"/>
  <c r="A676"/>
  <c r="A675"/>
  <c r="A674"/>
  <c r="A673"/>
  <c r="A672"/>
  <c r="A671"/>
  <c r="A670"/>
  <c r="A669"/>
  <c r="A668"/>
  <c r="A667"/>
  <c r="A666"/>
  <c r="A664"/>
  <c r="A663"/>
  <c r="A662"/>
  <c r="A661"/>
  <c r="A660"/>
  <c r="A659"/>
  <c r="A658"/>
  <c r="A657"/>
  <c r="A656"/>
  <c r="A655"/>
  <c r="A654"/>
  <c r="A652"/>
  <c r="A650"/>
  <c r="A649"/>
  <c r="A648"/>
  <c r="A647"/>
  <c r="A646"/>
  <c r="A645"/>
  <c r="A644"/>
  <c r="A643"/>
  <c r="A641"/>
  <c r="A640"/>
  <c r="A639"/>
  <c r="A638"/>
  <c r="A636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8"/>
  <c r="A567"/>
  <c r="A566"/>
  <c r="A565"/>
  <c r="A564"/>
  <c r="A563"/>
  <c r="A562"/>
  <c r="A561"/>
  <c r="A560"/>
  <c r="A559"/>
  <c r="A558"/>
  <c r="A557"/>
  <c r="A556"/>
  <c r="A555"/>
  <c r="A553"/>
  <c r="A552"/>
  <c r="A551"/>
  <c r="A550"/>
  <c r="A548"/>
  <c r="A546"/>
  <c r="A545"/>
  <c r="A544"/>
  <c r="A543"/>
  <c r="A542"/>
  <c r="A541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19"/>
  <c r="A518"/>
  <c r="A517"/>
  <c r="A516"/>
  <c r="A515"/>
  <c r="A514"/>
  <c r="A513"/>
  <c r="A512"/>
  <c r="A511"/>
  <c r="A510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8"/>
  <c r="A487"/>
  <c r="A486"/>
  <c r="A485"/>
  <c r="A484"/>
  <c r="A483"/>
  <c r="A482"/>
  <c r="A481"/>
  <c r="A480"/>
  <c r="A479"/>
  <c r="A478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4"/>
  <c r="A443"/>
  <c r="A442"/>
  <c r="A441"/>
  <c r="A440"/>
  <c r="A439"/>
  <c r="A438"/>
  <c r="A437"/>
  <c r="A436"/>
  <c r="A435"/>
  <c r="A434"/>
  <c r="A432"/>
  <c r="A431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6"/>
  <c r="A395"/>
  <c r="A394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3"/>
  <c r="A371"/>
  <c r="A368"/>
  <c r="A367"/>
  <c r="A366"/>
  <c r="A365"/>
  <c r="A363"/>
  <c r="A362"/>
  <c r="A361"/>
  <c r="A360"/>
  <c r="A358"/>
  <c r="A357"/>
  <c r="A355"/>
  <c r="A354"/>
  <c r="A353"/>
  <c r="A352"/>
  <c r="A351"/>
  <c r="A350"/>
  <c r="A349"/>
  <c r="A348"/>
  <c r="A347"/>
  <c r="A346"/>
  <c r="A345"/>
  <c r="A344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19"/>
  <c r="A318"/>
  <c r="A317"/>
  <c r="A315"/>
  <c r="A313"/>
  <c r="A312"/>
  <c r="A311"/>
  <c r="A309"/>
  <c r="A308"/>
  <c r="A307"/>
  <c r="A306"/>
  <c r="A305"/>
  <c r="A303"/>
  <c r="A302"/>
  <c r="A301"/>
  <c r="A299"/>
  <c r="A297"/>
  <c r="A296"/>
  <c r="A295"/>
  <c r="A294"/>
  <c r="A293"/>
  <c r="A291"/>
  <c r="A289"/>
  <c r="A288"/>
  <c r="A287"/>
  <c r="A286"/>
  <c r="A285"/>
  <c r="A284"/>
  <c r="A283"/>
  <c r="A282"/>
  <c r="A281"/>
  <c r="A279"/>
  <c r="A278"/>
  <c r="A277"/>
  <c r="A276"/>
  <c r="A275"/>
  <c r="A274"/>
  <c r="A273"/>
  <c r="A272"/>
  <c r="A271"/>
  <c r="A270"/>
  <c r="A269"/>
  <c r="A268"/>
  <c r="A266"/>
  <c r="A265"/>
  <c r="A264"/>
  <c r="A263"/>
  <c r="A261"/>
  <c r="A260"/>
  <c r="A259"/>
  <c r="A258"/>
  <c r="A257"/>
  <c r="A256"/>
  <c r="A255"/>
  <c r="A254"/>
  <c r="A252"/>
  <c r="A251"/>
  <c r="A250"/>
  <c r="A249"/>
  <c r="A248"/>
  <c r="A247"/>
  <c r="A246"/>
  <c r="A245"/>
  <c r="A244"/>
  <c r="A243"/>
  <c r="A242"/>
  <c r="A241"/>
  <c r="A240"/>
  <c r="A239"/>
  <c r="A237"/>
  <c r="A236"/>
  <c r="A235"/>
  <c r="A234"/>
  <c r="A233"/>
  <c r="A232"/>
  <c r="A231"/>
  <c r="A230"/>
  <c r="A229"/>
  <c r="A228"/>
  <c r="A227"/>
  <c r="A226"/>
  <c r="A224"/>
  <c r="A223"/>
  <c r="A221"/>
  <c r="A220"/>
  <c r="A219"/>
  <c r="A218"/>
  <c r="A217"/>
  <c r="A216"/>
  <c r="A215"/>
  <c r="A214"/>
  <c r="A213"/>
  <c r="A212"/>
  <c r="A211"/>
  <c r="A210"/>
  <c r="A209"/>
  <c r="A207"/>
  <c r="A206"/>
  <c r="A205"/>
  <c r="A204"/>
  <c r="A203"/>
  <c r="A202"/>
  <c r="A201"/>
  <c r="A200"/>
  <c r="A199"/>
  <c r="A198"/>
  <c r="A197"/>
  <c r="A196"/>
  <c r="A195"/>
  <c r="A194"/>
  <c r="A193"/>
  <c r="A192"/>
  <c r="A190"/>
  <c r="A189"/>
  <c r="A188"/>
  <c r="A186"/>
  <c r="A185"/>
  <c r="A184"/>
  <c r="A182"/>
  <c r="A181"/>
  <c r="A180"/>
  <c r="A179"/>
  <c r="A178"/>
  <c r="A177"/>
  <c r="A176"/>
  <c r="A175"/>
  <c r="A174"/>
  <c r="A173"/>
  <c r="A172"/>
  <c r="A171"/>
  <c r="A170"/>
  <c r="A169"/>
  <c r="A168"/>
  <c r="A167"/>
  <c r="A165"/>
  <c r="A164"/>
  <c r="A163"/>
  <c r="A162"/>
  <c r="A161"/>
  <c r="A160"/>
  <c r="A159"/>
  <c r="A158"/>
  <c r="A157"/>
  <c r="A156"/>
  <c r="A155"/>
  <c r="A153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8"/>
  <c r="A127"/>
  <c r="A126"/>
  <c r="A125"/>
  <c r="A123"/>
  <c r="A120"/>
  <c r="A117"/>
  <c r="A116"/>
  <c r="A114"/>
  <c r="A113"/>
  <c r="A112"/>
  <c r="A111"/>
  <c r="A110"/>
  <c r="A109"/>
  <c r="A108"/>
  <c r="A107"/>
  <c r="A106"/>
  <c r="A105"/>
  <c r="A103"/>
  <c r="A102"/>
  <c r="A101"/>
  <c r="A100"/>
  <c r="A99"/>
  <c r="A98"/>
  <c r="A97"/>
  <c r="A96"/>
  <c r="A95"/>
  <c r="A94"/>
  <c r="A92"/>
  <c r="A91"/>
  <c r="A90"/>
  <c r="A89"/>
  <c r="A88"/>
  <c r="A87"/>
  <c r="A85"/>
  <c r="A84"/>
  <c r="A83"/>
  <c r="A82"/>
  <c r="A81"/>
  <c r="A80"/>
  <c r="A79"/>
  <c r="A78"/>
  <c r="A77"/>
  <c r="A76"/>
  <c r="A75"/>
  <c r="A74"/>
  <c r="A73"/>
  <c r="A72"/>
  <c r="A71"/>
  <c r="A70"/>
  <c r="A69"/>
  <c r="A67"/>
  <c r="A66"/>
  <c r="A65"/>
  <c r="A64"/>
  <c r="A63"/>
  <c r="A62"/>
  <c r="A61"/>
  <c r="A60"/>
  <c r="A59"/>
  <c r="A57"/>
  <c r="A56"/>
  <c r="A55"/>
  <c r="A54"/>
  <c r="A53"/>
  <c r="A52"/>
  <c r="A51"/>
  <c r="A50"/>
  <c r="A49"/>
  <c r="A48"/>
  <c r="A47"/>
  <c r="A46"/>
  <c r="A44"/>
  <c r="A43"/>
  <c r="A42"/>
  <c r="A41"/>
  <c r="A40"/>
  <c r="A39"/>
  <c r="A38"/>
  <c r="A37"/>
  <c r="A36"/>
  <c r="A35"/>
  <c r="A33"/>
  <c r="A32"/>
  <c r="A31"/>
  <c r="A30"/>
  <c r="A29"/>
  <c r="A28"/>
  <c r="A27"/>
  <c r="A26"/>
  <c r="A25"/>
  <c r="A24"/>
  <c r="A23"/>
  <c r="A22"/>
  <c r="A20"/>
  <c r="A19"/>
  <c r="A18"/>
  <c r="A17"/>
  <c r="A16"/>
  <c r="A15"/>
  <c r="A13"/>
  <c r="A12"/>
  <c r="A11"/>
  <c r="A9"/>
  <c r="A8"/>
  <c r="A7"/>
  <c r="A6"/>
  <c r="A5"/>
  <c r="A4"/>
</calcChain>
</file>

<file path=xl/sharedStrings.xml><?xml version="1.0" encoding="utf-8"?>
<sst xmlns="http://schemas.openxmlformats.org/spreadsheetml/2006/main" count="28650" uniqueCount="10608">
  <si>
    <t>Номер оригинального производителя</t>
  </si>
  <si>
    <t>Год выпуска</t>
  </si>
  <si>
    <t>Наименование</t>
  </si>
  <si>
    <t>Тип</t>
  </si>
  <si>
    <t>ALFAROMEO</t>
  </si>
  <si>
    <t>33 I 1983-1994</t>
  </si>
  <si>
    <t>1983-1990</t>
  </si>
  <si>
    <t>ALFAROMEO ALFA 33 СД+ХБ+УН 1983-1990  СТ ВЕТР ЗЛ</t>
  </si>
  <si>
    <t>ветровое</t>
  </si>
  <si>
    <t>ALFAROMEO ALFA 33 СД+ХБ+УН 1983-1990  СТ ПЕР ДВ ОП ЛВ ЗЛ</t>
  </si>
  <si>
    <t>боковое</t>
  </si>
  <si>
    <t>1983-1994</t>
  </si>
  <si>
    <t>ALFAROMEO ALFA 33 СД+ХБ 1983-1994  СТ ЗАДН ДВ ОП ЛВ ЗЛ</t>
  </si>
  <si>
    <t>ALFAROMEO ALFA 33 СД+ХБ 1983-1994  СТ БОК НЕП ЛВ ЗЛ</t>
  </si>
  <si>
    <t>ALFAROMEO ALFA 33 СД+ХБ 1983-1990  СТ ЗАДН ДВ ОП ПР ЗЛ</t>
  </si>
  <si>
    <t>ALFAROMEO ALFA 33 СД+ХБ 1983-1994  СТ БОК НЕП ПР ЗЛ</t>
  </si>
  <si>
    <t>33 II 1990-1994</t>
  </si>
  <si>
    <t>1990-1994</t>
  </si>
  <si>
    <t>ALFAROMEO ALFA 33 1990-1994  СТ ВЕТР ЗЛ</t>
  </si>
  <si>
    <t>-</t>
  </si>
  <si>
    <t>ALFAROMEO ALFA 33 1990-1994  МОЛД.  УСТ КОМПЛ ДЛЯ СТ ВЕТР ДЛЯ СТ ВЕТР</t>
  </si>
  <si>
    <t>молдинг</t>
  </si>
  <si>
    <t>ALFAROMEO ALFA 33 ХБ 1990-1994  СТ ЗАДН ЗЛ</t>
  </si>
  <si>
    <t>заднее</t>
  </si>
  <si>
    <t>75 1986-1992</t>
  </si>
  <si>
    <t>1986-1992</t>
  </si>
  <si>
    <t>ALFAROMEO ALFA 75 1986-1992  СТ ВЕТР ЗЛ</t>
  </si>
  <si>
    <t>ALFAROMEO ALFA 75 1987-1993 МОЛД.S   УСТ КОМПЛ ДЛЯ СТ ВЕТР ДЛЯ СТ ВЕТР</t>
  </si>
  <si>
    <t>ALFAROMEO ALFA 75 87-93 СТ ЗАДН ДВ ОП ЛВ ЗЛ</t>
  </si>
  <si>
    <t>ALFAROMEO ALFA 75 1986-1992  СТ БОК НЕП ЛВ ЗЛ</t>
  </si>
  <si>
    <t>ALFAROMEO ALFA 75 1986-1992  СТ ПЕР ДВ ОП ПР ЗЛ</t>
  </si>
  <si>
    <t>ALFAROMEO ALFA 75 1986-1992  СТ ЗАДН ДВ ОП ПР ЗЛ</t>
  </si>
  <si>
    <t>145 (3Д)/146 (5Д) 1994/1995-2001</t>
  </si>
  <si>
    <t>1994-2001</t>
  </si>
  <si>
    <t>ALFAROMEO ALFA 145 1994/146 1995-2001  СТ ВЕТР ЗЛ</t>
  </si>
  <si>
    <t>ALFAROMEO ALFA 145/146 1994-2001  МОЛД  ДЛЯ СТ ВЕТР С АЛЮМ ВСТАВКОЙ</t>
  </si>
  <si>
    <t>1995-2001</t>
  </si>
  <si>
    <t>ALFAROMEO ALFA 146 1995-2001  СТ ЗАДН ЗЛ+АНТ+ИЗМ ИНК</t>
  </si>
  <si>
    <t>ALFAROMEO ALFA 145 ХБ 1995-2001 СТ ЗАДН ЭО ЗЛ+ИНК</t>
  </si>
  <si>
    <t>ALFAROMEO ALFA 145 1994-2001  СТ ПЕР ДВ ОП ЛВ ЗЛ</t>
  </si>
  <si>
    <t>ALFAROMEO ALFA 145 1994-2001  СТ БОК НЕП ЛВ ЗЛ ОТКР</t>
  </si>
  <si>
    <t>ALFAROMEO ALFA 146 1995-2001  СТ ПЕР ДВ ОП ЛВ ЗЛ</t>
  </si>
  <si>
    <t>ALFAROMEO ALFA 146 1995-2001  СТ ЗАДН ДВ ОП ЛВ ЗЛ</t>
  </si>
  <si>
    <t>ALFAROMEO ALFA 145 1994-2001  СТ ПЕР ДВ ОП ПР ЗЛ</t>
  </si>
  <si>
    <t>ALFAROMEO ALFA 145 1994-2001  СТ БОК НЕП ПР ЗЛ ОТКР</t>
  </si>
  <si>
    <t>ALFAROMEO ALFA 146 1995-2001  СТ ПЕР ДВ ОП ПР ЗЛ</t>
  </si>
  <si>
    <t>ALFAROMEO ALFA 146 1995-2001  СТ ЗАДН ДВ ОП ПР ЗЛ</t>
  </si>
  <si>
    <t>147 2000-</t>
  </si>
  <si>
    <t>2000-2010</t>
  </si>
  <si>
    <t>ALFAROMEO 147 2000-  СТ ВЕТР ЗЛ</t>
  </si>
  <si>
    <t>ALFAROMEO 147 2000-  СТ ВЕТР ЗЛ+ДД</t>
  </si>
  <si>
    <t>ALFAROMEO 147 3Д/5Д 2000-  МОЛД  ДЛЯ СТ ВЕТР</t>
  </si>
  <si>
    <t>ALFAROMEO 147 ХБ 2000-  СТ ЗАДН ЗЛ+СТОП+УО</t>
  </si>
  <si>
    <t>ALFAROMEO 147 2000-  СТ ПЕР ДВ ОП ЛВ ЗЛ+УО</t>
  </si>
  <si>
    <t>ALFAROMEO 147 2000-  СТ ЗАДН ДВ ОП ЛВ ЗЛ+УО</t>
  </si>
  <si>
    <t>ALFAROMEO 147 2000-  СТ ПЕР ДВ ОП ПР ЗЛ+УО</t>
  </si>
  <si>
    <t>ALFAROMEO 147 2000-  СТ ЗАДН ДВ ОП ПР ЗЛ+УО</t>
  </si>
  <si>
    <t>155 1992-1998</t>
  </si>
  <si>
    <t>1992-1998</t>
  </si>
  <si>
    <t>ALFAROMEO ALFA 155 1992-1998  СТ ВЕТР ГЛ</t>
  </si>
  <si>
    <t>ALFAROMEO ALFA 155 1992-1998  СТ ВЕТР ЗЛ</t>
  </si>
  <si>
    <t>ALFAROMEO ALFA 155 1992-1998  СТ ВЕТР ЗЛЗЛ/LANCIA DEDRA 1990- /DELTA 1993-1997  СТ ВЕТР ЗЛЗЛ</t>
  </si>
  <si>
    <t>ALFAROMEO ALFA 155 1991-1998  УСТ КОМПЛ ДЛЯ СТ ВЕТР</t>
  </si>
  <si>
    <t>ALFAROMEO ALFA 155 СД 1992-1998  СТ ЗАДН ЗЛ</t>
  </si>
  <si>
    <t>ALFAROMEO ALFA 155 1992-1998  СТ ПЕР ДВ ОП ЛВ ЗЛ+УО/FIAT TIPO/TEMPRA СД+УН 1988-1996 СТ ПЕР ДВ ОП ЛВ ЗЛ+ФИТ</t>
  </si>
  <si>
    <t>ALFAROMEO ALFA 155 1992-1998  СТ ЗАДН ДВ ОП ЛВ ГЛ+УО</t>
  </si>
  <si>
    <t>ALFAROMEO ALFA 155 1992-1998  СТ ЗАДН ДВ ОП ЛВ ЗЛ+УО/FIAT TIPO/TEMPRA СЕД+УН 1988-1996 СТ ЗАДН ДВ ОП ЗЛ ЛВ+УО</t>
  </si>
  <si>
    <t>ALFAROMEO ALFA 155 1992-1998  СТ ФОРТ ЗАДН НЕП ЛВ ГЛ</t>
  </si>
  <si>
    <t>ALFAROMEO ALFA 155 1992-1998  СТ ПЕР ДВ ОП ПР ГЛ+УО</t>
  </si>
  <si>
    <t>ALFAROMEO ALFA 155 1992-1998  СТ ЗАДН ДВ ОП ПР ЗЛ+УО/FIAT TIPO/TEMPRA СД+УН 1988-1996 СТ ЗАДН ДВ ОП ПР ЗЛ+ФИТ</t>
  </si>
  <si>
    <t>ALFAROMEO ALFA 155 1992-1998  СТ ФОРТ ЗАДН НЕП ПР ГЛ</t>
  </si>
  <si>
    <t>156 1997-2005</t>
  </si>
  <si>
    <t>1997-2005</t>
  </si>
  <si>
    <t>ALFAROMEO ALFA 156 1997-2005  СТ ВЕТР ЗЛ</t>
  </si>
  <si>
    <t>ALFAROMEO ALFA 156 1997-2005  СТ ВЕТР ЗЛ+ИЗМ ШЕЛК</t>
  </si>
  <si>
    <t>ALFAROMEO ALFA 156 1998-2005  МОЛД ДЛЯ СТ ВЕТР</t>
  </si>
  <si>
    <t>ALFAROMEO ALFA 156 СД 1997-2005  СТ ЗАДН ЭО ЗЛ+АНТ</t>
  </si>
  <si>
    <t>ALFAROMEO ALFA 156 1997-2005  МОЛД  ДЛЯ СТ ЗАДН</t>
  </si>
  <si>
    <t>ALFAROMEO ALFA 156 1997-2005  СТ ПЕР ДВ ОП ЛВ ЗЛ+УО</t>
  </si>
  <si>
    <t>ALFAROMEO ALFA 156 1997-2005  СТ ЗАДН ДВ ОП ЛВ ЗЛ+УО</t>
  </si>
  <si>
    <t>ALFAROMEO ALFA 156 1997-2005  СТ ПЕР ДВ ОП ПР ЗЛ+УО</t>
  </si>
  <si>
    <t>ALFAROMEO ALFA 156 1997-2005  СТ ЗАДН ДВ ОП ПР ЗЛ+УО</t>
  </si>
  <si>
    <t>159 СЕД+УН 2005-</t>
  </si>
  <si>
    <t>2005-2011</t>
  </si>
  <si>
    <t>ALFAROMEO 159 СЕД 2005-  СТ ВЕТР ЗЛ</t>
  </si>
  <si>
    <t>ALFAROMEO 159 СЕД 2005-  СТ ВЕТР ЗЛ+ДД+ИЗМ ШЕЛК</t>
  </si>
  <si>
    <t>ALFAROMEO 159 5Д УН 2005-  СТ ЗАДН ТЗЛ+ИНК</t>
  </si>
  <si>
    <t>ALFAROMEO 159 5Д УН 2005-  СТ ЗАДН ЗЛ+ИНК</t>
  </si>
  <si>
    <t>ALFAROMEO 159 5Д СД 2005-  СТ ЗАДН ЗЛ+СТОП</t>
  </si>
  <si>
    <t>ALFAROMEO 159 5Д УН 2005-  СТ ЗАДН ДВ ОП ЛВ ТЗЛ+УО</t>
  </si>
  <si>
    <t>ALFAROMEO 159 5Д УН 2005-  СТ БОК НЕП ЛВ ТЗЛ+ИНК</t>
  </si>
  <si>
    <t>ALFAROMEO 159 5Д УН 2005-  СТ ЗАДН ДВ ОП ЛВ ЗЛ+УО</t>
  </si>
  <si>
    <t>ALFAROMEO 159 5Д УН 2005-  СТ БОК НЕП ЛВ ЗЛ+ИНК</t>
  </si>
  <si>
    <t>ALFAROMEO 159 СЕД 2005-  СТ ПЕР ДВ ОП ЛВ ЗЛ</t>
  </si>
  <si>
    <t>ALFAROMEO 159 СЕД 2005-  СТ ЗАДН ДВ ОП ЛВ ЗЛ+УО</t>
  </si>
  <si>
    <t>ALFAROMEO 159 5Д УН 2005-  СТ ЗАДН ДВ ОП ПР ТЗЛ+УО</t>
  </si>
  <si>
    <t>ALFAROMEO 159 5Д УН 2005-  СТ БОК НЕП ПР ТЗЛ+ИНК</t>
  </si>
  <si>
    <t>ALFAROMEO 159 5Д УН 2005-  СТ ЗАДН ДВ ОП ПР ЗЛ+УО</t>
  </si>
  <si>
    <t>ALFAROMEO 159 5Д УН 2005-  СТ БОК НЕП ПР ЗЛ+ИНК</t>
  </si>
  <si>
    <t>ALFAROMEO 159 СЕД 2005-  СТ ПЕР ДВ ОП ПР ЗЛ</t>
  </si>
  <si>
    <t>ALFAROMEO 159 СЕД 2005-  СТ ЗАДН ДВ ОП ПР ЗЛ+УО</t>
  </si>
  <si>
    <t>164 1989-1998</t>
  </si>
  <si>
    <t>1989-1998</t>
  </si>
  <si>
    <t>ALFAROMEO ALFA 164 1989-1998  СТ ВЕТР ЗЛЗЛ</t>
  </si>
  <si>
    <t>ALFAROMEO ALFA 164 1989-1998  СТ ПЕР ДВ ОП ЛВ ЗЛ</t>
  </si>
  <si>
    <t>ALFAROMEO ALFA 164 1989-1998  СТ ЗАДН ДВ ОП ЛВ ЗЛ</t>
  </si>
  <si>
    <t>ALFAROMEO ALFA 164 1989-1998  СТ ПЕР ДВ ОП ПР ЗЛ</t>
  </si>
  <si>
    <t>ALFAROMEO ALFA 164 1989-1998  СТ ЗАДН ДВ ОП ПР ЗЛ</t>
  </si>
  <si>
    <t>ALFAROMEO ALFA 164 1989-1998  СТ ФОРТ ЗАДН НЕП ПР ЗЛ</t>
  </si>
  <si>
    <t>166 1998-</t>
  </si>
  <si>
    <t>1998-2007</t>
  </si>
  <si>
    <t>ALFAROMEO 166 1998-  СТ ВЕТР ЗЛГЛ</t>
  </si>
  <si>
    <t>ALFAROMEO 166 1998-  СТ ВЕТР ЗЛГЛ+ЭО</t>
  </si>
  <si>
    <t>ALFAROMEO 166 1998-  СТ ВЕТР ЗЛГЛ+ЭО+ДД</t>
  </si>
  <si>
    <t>ALFAROMEO 166 1998-  СТ ВЕТР ЗЛГЛ+ДД</t>
  </si>
  <si>
    <t>ALFAROMEO 166 1998-  МОЛД  ДЛЯ СТ ВЕТР ВЕРХ</t>
  </si>
  <si>
    <t>ALFAROMEO 166 СД 1998-  СТ ЗАДН ЗЛ+АНТ+СТОП+УО</t>
  </si>
  <si>
    <t>ALFAROMEO 166 1998-  СТ ПЕР ДВ ОП ЛВ ЗЛ</t>
  </si>
  <si>
    <t>ALFAROMEO 166 1998-  СТ ЗАДН ДВ ОП ЛВ ЗЛ+УО</t>
  </si>
  <si>
    <t>ALFAROMEO 166 1998-  СТ ПЕР ДВ ОП ПР ЗЛ</t>
  </si>
  <si>
    <t>ALFAROMEO 166 1998-  СТ ЗАДН ДВ ОП ПР ЗЛ+УО</t>
  </si>
  <si>
    <t>GT 2004-</t>
  </si>
  <si>
    <t>2004-2010</t>
  </si>
  <si>
    <t>ALFAROMEO GT 2004-  СТ ВЕТР ЗЛ</t>
  </si>
  <si>
    <t>ALFAROMEO GT 2004-  СТ ВЕТР ЗЛ+ДД+ИЗМ ШЕЛК</t>
  </si>
  <si>
    <t>ALFAROMEO GT КП 2004-  СТ ЗАДН ТЗЛ+ИНК</t>
  </si>
  <si>
    <t>ALFAROMEO GT КП 2004-  СТ ЗАДН ЗЛ+ИНК</t>
  </si>
  <si>
    <t>ALFAROMEO GT 2004-  СТ БОК НЕП ЛВ ТЗЛ+ИНК</t>
  </si>
  <si>
    <t>ALFAROMEO GT 2004-  СТ ПЕР ДВ ОП ЛВ ЗЛ+УО</t>
  </si>
  <si>
    <t>ALFAROMEO GT 2004-  СТ БОК НЕП ЛВ ЗЛ+ИНК</t>
  </si>
  <si>
    <t>ALFAROMEO GT 2004-  СТ БОК НЕП ПР ТЗЛ+ИНК</t>
  </si>
  <si>
    <t>ALFAROMEO GT 2004-  СТ ПЕР ДВ ОП ПР ЗЛ+УО</t>
  </si>
  <si>
    <t>ALFAROMEO GT 2004-  СТ БОК НЕП ПР ЗЛ+ИНК</t>
  </si>
  <si>
    <t>SPYDER+GTV COUPE 1995-2004</t>
  </si>
  <si>
    <t>1995-2004</t>
  </si>
  <si>
    <t>ALFAROMEO SPYDER+GTV COUPE 1995-2004  СТ ВЕТР ЗЛ</t>
  </si>
  <si>
    <t>ALFAROMEO SPYDER+GTV COUPE 1995-2004  МОЛД ДЛЯ СТ ВЕТР</t>
  </si>
  <si>
    <t>ASIA</t>
  </si>
  <si>
    <t>HI-TOPIC 1995-</t>
  </si>
  <si>
    <t>1995-</t>
  </si>
  <si>
    <t>ASIA HI TOPIC 1995-  СТ ВЕТР/MAZDA E00 МИН+ПИ 84  СТ ВЕТР</t>
  </si>
  <si>
    <t>AUDI</t>
  </si>
  <si>
    <t>80 I КП, QUATTRO 1980-1991</t>
  </si>
  <si>
    <t>1980-1991</t>
  </si>
  <si>
    <t>AUDI 80 I КП 1980-1991 СТ ВЕТР ЗЛЗЛ</t>
  </si>
  <si>
    <t>80 III 08.1978-08.1986</t>
  </si>
  <si>
    <t>1979-1986</t>
  </si>
  <si>
    <t>AUDI 80 III 1979-1986 СТ ВЕТР+ИЗМ КР</t>
  </si>
  <si>
    <t>AUDI 80 III 1979-1986 СТ ВЕТР ЗЛЗЛ+ИЗМ КР</t>
  </si>
  <si>
    <t>AUDI 80 79-86 В/С РЕЗ ПРОФ</t>
  </si>
  <si>
    <t>AUDI 80 III СД 1979-1986 СТ ЗАДН</t>
  </si>
  <si>
    <t>80 V 09.1986-1994</t>
  </si>
  <si>
    <t>1986-1994</t>
  </si>
  <si>
    <t>AUDI 80 V 1986-1994  СТ ВЕТР ЗЛГЛ</t>
  </si>
  <si>
    <t>AUDI 80 V 1986-1994  СТ ВЕТР ЗЛЗЛ КР</t>
  </si>
  <si>
    <t>AUDI 80 V 1986-1994  СТ ВЕТР ЗЛЗЛ КР+VIN</t>
  </si>
  <si>
    <t>AUDI 80 V 1987-1994 УСТ КОМПЛ ДЛЯ СТ ВЕТР ДЛЯ СТ ВЕТР ЧЕРН С СОЕД</t>
  </si>
  <si>
    <t>AUDI 80 V 1987-1994 УСТ КОМПЛ ДЛЯ СТ ВЕТР ДЛЯ СТ ВЕТР ХРОМ С СОЕД</t>
  </si>
  <si>
    <t>AUDI 80 V 1986-1994  СЕД МОЛД ДЛЯ СТ ВЕТР С БУТИЛОМ</t>
  </si>
  <si>
    <t>1992-1993</t>
  </si>
  <si>
    <t>AUDI 80 V УН 1992-1993  СТ ЗАДН ЗЛ+ИНК</t>
  </si>
  <si>
    <t>AUDI 80 V СД 1986-1994  СТ ЗАДН ЗЛ+АНТ</t>
  </si>
  <si>
    <t>AUDI 80 V СД 1986-1994  СТ ЗАДН ЗЛ+АНТ+ИЗМ КР</t>
  </si>
  <si>
    <t>AUDI 80 V 1987-1992 МОЛД ДЛЯ СТ ЗАДН</t>
  </si>
  <si>
    <t>AUDI 80 V 1987-1992 МОЛД ДЛЯ СТ ЗАДН РЕЗИН КАТ 21м+5 КЛИПС</t>
  </si>
  <si>
    <t>AUDI 80 V СД 1986-1994  СТ ПЕР ДВ ОП ЛВ ЗЛ</t>
  </si>
  <si>
    <t>AUDI 80 V СД 1986-1994  СТ ПЕР ДВ ОП ЛВ ЗЛ+ФИТ</t>
  </si>
  <si>
    <t>AUDI 80 V СД 1986-1994  СТ ЗАДН ДВ ОП ЛВ ЗЛ</t>
  </si>
  <si>
    <t>AUDI 80 V СД 1986-1994  СТ ЗАДН ДВ ОП ЛВ ЗЛ+ФИТ</t>
  </si>
  <si>
    <t>AUDI 80 V СД 1986-1994  СТ БОК НЕП ЛВ ЗЛ</t>
  </si>
  <si>
    <t>AUDI 80 V СД 1986-1994  СТ БОК НЕП ЛВ ЗЛ+ИНК</t>
  </si>
  <si>
    <t>AUDI 80 V СД 1986-1994  СТ ПЕР ДВ ОП ПР ЗЛ</t>
  </si>
  <si>
    <t>AUDI 80 V СД 1986-1994  СТ ПЕР ДВ ОП ПР ЗЛ+ФИТ</t>
  </si>
  <si>
    <t>AUDI 80 V СД 1986-1994  СТ ЗАДН ДВ ОП ПР ЗЛ</t>
  </si>
  <si>
    <t>AUDI 80 V СД 1986-1994  СТ ЗАДН ДВ ОП ПР ЗЛ+ФИТ</t>
  </si>
  <si>
    <t>AUDI 80 V СД 1986-1994  СТ БОК НЕП ПР ЗЛ+ИНК</t>
  </si>
  <si>
    <t>80 КБ 06.1991-2000</t>
  </si>
  <si>
    <t>1991-2000</t>
  </si>
  <si>
    <t>AUDI 80 КБ 1991-2000  СТ ВЕТР ЗЛЗЛ+КР</t>
  </si>
  <si>
    <t>100 III (200) 08.1982-1991</t>
  </si>
  <si>
    <t>1983-1991</t>
  </si>
  <si>
    <t>AUDI 100 III (200) 08.1982-1991  СТ ВЕТР ЗЛЗЛ</t>
  </si>
  <si>
    <t>AUDI 100 III (200) 08.1982-1991  СТ ВЕТР ЗЛЗЛ+КРУГЛ КР</t>
  </si>
  <si>
    <t>AUDI 100 III (200) 08.1982-1991  СТ ВЕТР ЗЛГЛ+ИЗМ КР</t>
  </si>
  <si>
    <t>AUDI 100 MKIII 83-91 В/С CHROME МОЛД.+ C</t>
  </si>
  <si>
    <t>AUDI 100 III (200) СД 1983-1991  СТ ЗАДН ЭО ЗЛ</t>
  </si>
  <si>
    <t>AUDI 100 III (200) СД+УН 1983-1991  СТ ПЕР ДВ ОП ЛВ ЗЛ</t>
  </si>
  <si>
    <t>AUDI 100 III (200) СД 1983-1991  СТ ЗАДН ДВ ОП ЛВ ЗЛ</t>
  </si>
  <si>
    <t>AUDI 100 III (200) СД 1983-1991  СТ БОК НЕП ЛВ ЗЛ</t>
  </si>
  <si>
    <t>AUDI 100 III (200) СД+УН 1983-1991  СТ ПЕР ДВ ОП ПР ЗЛ</t>
  </si>
  <si>
    <t>AUDI 100 III (200) СД 1983-1991  СТ ЗАДН ДВ ОП ПР ЗЛ</t>
  </si>
  <si>
    <t>AUDI 100 III (200) СД 1983-1991  СТ БОК НЕП ПР ЗЛ</t>
  </si>
  <si>
    <t>100 IV (A6 I) 12.1990-04.1997</t>
  </si>
  <si>
    <t>1991-1997</t>
  </si>
  <si>
    <t>AUDI 100 IV (A6 I) 1991-1997  СТ ВЕТР ЗЛГЛ</t>
  </si>
  <si>
    <t>AUDI 100 IV (A6 I) 1991-1997  СТ ВЕТР ЗЛЗЛ</t>
  </si>
  <si>
    <t>AUDI 100 IV (A6 I) 1991-1997  СТ ВЕТР ЗЛЗЛ+VIN</t>
  </si>
  <si>
    <t>AUDI 100 IV (A6 I) 1991-1994/A6 1994-1997 МОЛД  ДЛЯ СТ ВЕТР</t>
  </si>
  <si>
    <t>AUDI 100 IV (A6 I) QUATTRO УН 1991-1997  СТ ЗАДН ЗЛ+ИНК+ИЗМ ШЕЛК</t>
  </si>
  <si>
    <t>AUDI 100 IV (A6 I) СД 1991-1997  СТ ЗАДН ЭО ЗЛ+АНТ</t>
  </si>
  <si>
    <t>AUDI 100 IV (A6 I) СД 1991-1997  СТ ЗАДН ЗЛ+АНТ+СТОП</t>
  </si>
  <si>
    <t>AUDI 100 IV (A6 I) СЕД 1991-1997  МОЛД  ДЛЯ СТ ЗАДН</t>
  </si>
  <si>
    <t>AUDI 100 IV (A6 I) СД+УН 1991-1997  СТ ПЕР ДВ ОП ЛВ ЗЛ</t>
  </si>
  <si>
    <t>AUDI 100 IV (A6 I) СД+УН 1991-1997  СТ ПЕР ДВ ОП ЛВ ЗЛ+УО</t>
  </si>
  <si>
    <t>AUDI 100 IV (A6 I) СД 1991-1997  СТ ЗАДН ДВ ОП ЛВ ЗЛ</t>
  </si>
  <si>
    <t>AUDI 100 IV (A6 I) СД 1991-1997  СТ ЗАДН ДВ ОП ЛВ ЗЛ+УО</t>
  </si>
  <si>
    <t>AUDI 100 IV (A6 I) СД+УН 1991-1997  СТ ПЕР ДВ ОП ПР ЗЛ</t>
  </si>
  <si>
    <t>AUDI 100 IV (A6 I) СД+УН 1991-1997  СТ ПЕР ДВ ОП ПР ЗЛ+УО</t>
  </si>
  <si>
    <t>AUDI 100 IV (A6 I) СД 1991-1997  СТ ЗАДН ДВ ОП ПР ЗЛ</t>
  </si>
  <si>
    <t>AUDI 100 IV (A6 I) СД 1991-1997  СТ ЗАДН ДВ ОП ПР ЗЛ+УО</t>
  </si>
  <si>
    <t>A1 2009-</t>
  </si>
  <si>
    <t>2009-</t>
  </si>
  <si>
    <t>AUDI A1 2009-СТ ВЕТР ЗЛСР+ДД+VIN+ДО</t>
  </si>
  <si>
    <t>AUDI A1 2009-СТ ВЕТР ЗЛСР+VIN+ДО+ИНК</t>
  </si>
  <si>
    <t>AUDI A1 2009-СТ ВЕТР ЗЛ+VIN+ДО+ИНК</t>
  </si>
  <si>
    <t>A2 2000-</t>
  </si>
  <si>
    <t>2000-2007</t>
  </si>
  <si>
    <t>AUDI A2 2000-  СТ ВЕТР ЗЛСР+ИНК</t>
  </si>
  <si>
    <t>AUDI A2 2000-  СТ ПЕР ДВ ОП ЛВ ЗЛ</t>
  </si>
  <si>
    <t>AUDI A2 2000-  СТ ПЕР ДВ ОП ПР ЗЛ</t>
  </si>
  <si>
    <t>A3 2003-</t>
  </si>
  <si>
    <t>2003-2012</t>
  </si>
  <si>
    <t>AUDI A3 2003-  СТ ВЕТР ЗЛСР+ДД+VIN+УО+ИЗМ ШЕЛК</t>
  </si>
  <si>
    <t>AUDI A3 2003-  СТ ВЕТР ЗЛСР+КР+VIN+УО</t>
  </si>
  <si>
    <t>AUDI A3 2003-  СТ ВЕТР ЗЛСР+КР+УО</t>
  </si>
  <si>
    <t>AUDI A3 2003-  СТ ВЕТР ЗЛ+VIN+УО</t>
  </si>
  <si>
    <t>2004-2012</t>
  </si>
  <si>
    <t>AUDI A3 SPORTBACK УН 08/2004-  СТ ЗАДН ЗЛ+АНТ+GPS+ТВ АНТ+СИГН+УО</t>
  </si>
  <si>
    <t>AUDI A3 ХБ 2003-  СТ ЗАДН ЗЛ+АНТ+GPS+ИНК</t>
  </si>
  <si>
    <t>AUDI A3 SPORTBACK 08/2004-  СТ ПЕР ДВ ОП ЛВ ЗЛ</t>
  </si>
  <si>
    <t>AUDI A3 SPORTBACK 08/2004-  СТ ЗАДН ДВ ОП ЛВ ЗЛ</t>
  </si>
  <si>
    <t>AUDI A3 SPORTBACK 08/2004-  СТ БОК НЕП ЛВ ЗЛ+ИНК</t>
  </si>
  <si>
    <t>AUDI A3 3Д 2003-  СТ ПЕР ДВ ОП ЛВ ЗЛ</t>
  </si>
  <si>
    <t>AUDI A3 3Д 2003-  СТ БОК НЕП ЛВ ЗЛ+ИНК</t>
  </si>
  <si>
    <t>AUDI A3 SPORTBACK 08/2004-  СТ ПЕР ДВ ОП ПР ЗЛ</t>
  </si>
  <si>
    <t>AUDI A3 SPORTBACK 08/2004-  СТ ЗАДН ДВ ОП ПР ЗЛ</t>
  </si>
  <si>
    <t>AUDI A3 SPORTBACK 08/2004-  СТ БОК НЕП ПР ЗЛ+ИНК</t>
  </si>
  <si>
    <t>AUDI A3 3Д 2003-  СТ ПЕР ДВ ОП ПР ЗЛ</t>
  </si>
  <si>
    <t>AUDI A3 3Д 2003-  СТ БОК НЕП ПР ЗЛ+ИНК</t>
  </si>
  <si>
    <t>A3 1996-2003</t>
  </si>
  <si>
    <t>1996-2003</t>
  </si>
  <si>
    <t>AUDI A3 1996-2003  СТ ВЕТР ЗЛЗЛ+VIN+УО</t>
  </si>
  <si>
    <t>AUDI A3 1996-2003  СТ ВЕТР ЗЛЗЛ+ФИТ</t>
  </si>
  <si>
    <t>AUDI A3 1996-2003  СТ ВЕТР ЗЛСР+VIN ФИТ</t>
  </si>
  <si>
    <t>AUDI A3 1996-2003  СТ ВЕТР ЗЛСР+ФИТ</t>
  </si>
  <si>
    <t>AUDI A3 1996-2003  МОЛД  ДЛЯ СТ ВЕТР НИЖ</t>
  </si>
  <si>
    <t>AUDI A3 1996-2003  МОЛД  ДЛЯ СТ ВЕТР ВЕРХ</t>
  </si>
  <si>
    <t>AUDI A3 ХБ 1996-2003  СТ ЗАДН ДВ ЗЛ+СТОП+ИНК</t>
  </si>
  <si>
    <t>AUDI A3 1996-2003  СТ ПЕР ДВ ОП ЛВ ЗЛ 2 ОТВ</t>
  </si>
  <si>
    <t>AUDI A3 1996-2003  СТ БОК НЕП ЛВ ЗЛ+ОТКР+1ОТВ+ФИТ</t>
  </si>
  <si>
    <t>1998-2003</t>
  </si>
  <si>
    <t>AUDI A3 1998-2003  СТ ПЕР ДВ ОП ЛВ ЗЛ</t>
  </si>
  <si>
    <t>AUDI A3 1996-2003  СТ ПЕР ДВ ОП ПР ЗЛ+2 ОТВ</t>
  </si>
  <si>
    <t>AUDI A3 1996-2003  СТ БОК НЕП ПР ЗЛ+ОТКР+1ОТВ+ФИТ</t>
  </si>
  <si>
    <t>AUDI A3 1998-2003  СТ ПЕР ДВ ОП ПР ЗЛ</t>
  </si>
  <si>
    <t>A3 КБ 2008-</t>
  </si>
  <si>
    <t>2008-2012</t>
  </si>
  <si>
    <t>AUDI A3 КБ 2008- СТ ПЕР ДВ ОП ЛВ ЗЛ</t>
  </si>
  <si>
    <t>AUDI A3 КБ 2008- СТ ПЕР ДВ ПР ЗЛ</t>
  </si>
  <si>
    <t>A4 2001-2007</t>
  </si>
  <si>
    <t>AUDI A4 2001-2007  СТ ВЕТР ЗЛСР+АКУСТИК+ДД+VIN+УО+ИЗМ ШЕЛК</t>
  </si>
  <si>
    <t>2001-2007</t>
  </si>
  <si>
    <t>AUDI A4 2001-2007  СТ ВЕТР ЗЛСР+ДД+VIN+УО+ИЗМ ШЕЛК</t>
  </si>
  <si>
    <t>AUDI A4 2001-2007  СТ ВЕТР ЗЛСР VIN+УО</t>
  </si>
  <si>
    <t>AUDI A4 2001-2007  СТ ВЕТР ЗЛСР+УО</t>
  </si>
  <si>
    <t>2004-2007</t>
  </si>
  <si>
    <t>AUDI A4 2004-2007  СТ ВЕТР ЗЛСР+VIN+УО+ИЗМ ШЕЛК</t>
  </si>
  <si>
    <t>AUDI A4 2004-2007  СТ ВЕТР ЗЛ+VIN+УО+ИЗМ ШЕЛК</t>
  </si>
  <si>
    <t>AUDI A4 СЕД 2000-  КОМПЛ ПР И ЛВ МОЛД ДЛЯ СТ ВЕТР</t>
  </si>
  <si>
    <t>AUDI A4 УН 2001-2007  СТ ЗАДН ЗЛ+АНТ+ИНК</t>
  </si>
  <si>
    <t>AUDI A4 2001-2007  СТ ПЕР ДВ ОП ЛВ ЗЛ+УО</t>
  </si>
  <si>
    <t>AUDI A4 2001-2007  СТ ЗАДН ДВ ОП ЛВ ЗЛ+УО</t>
  </si>
  <si>
    <t>AUDI A4 2001-2007  СТ ПЕР ДВ ОП ПР ЗЛ+УО</t>
  </si>
  <si>
    <t>AUDI A4 2001-2007  СТ ЗАДН ДВ ОП ПР ЗЛ+УО</t>
  </si>
  <si>
    <t>A4 11.1994-2001</t>
  </si>
  <si>
    <t>AUDI A4 1995-2001  СТ ВЕТР ЗЛГЛ</t>
  </si>
  <si>
    <t>AUDI A4 1995-2001  СТ ВЕТР ЗЛГЛ+VIN+ИЗМ ШЕЛК+ИЗМ КР</t>
  </si>
  <si>
    <t>AUDI A4 1995-2001  СТ ВЕТР ЗЛЗЛ</t>
  </si>
  <si>
    <t>AUDI A4 1995-2001  СТ ВЕТР ЗЛЗЛ+VIN+ИЗМ ШЕЛК+ИЗМ КР</t>
  </si>
  <si>
    <t>AUDI A4 1995-2001  СТ ВЕТР ЗЛСР+VIN+ИЗМ ШЕЛК+ИЗМ КР</t>
  </si>
  <si>
    <t>AUDI A4 1994- 08/95 МОЛД  ДЛЯ СТ ВЕТР ВЕРХ ЖЕСТ</t>
  </si>
  <si>
    <t>AUDI A4 УН 1995-2001  СТ ЗАДН ЗЛ+СТОП+ИНК</t>
  </si>
  <si>
    <t>AUDI A4 СД 1995-2001 СТ ЗАДН ЭО ЗЛ+АНТ</t>
  </si>
  <si>
    <t>AUDI A4 УН 1995-2001 СТ ЗАДН ДВ ОП ЛВ ЗЛ</t>
  </si>
  <si>
    <t>AUDI A4 СД 1994 /УН 1995-2001  СТ ПЕР ДВ ОП ЛВ ЗЛ</t>
  </si>
  <si>
    <t>AUDI A4 1995-2001  СТ ЗАДН ДВ ОП ЛВ ЗЛ 2 ОТВ</t>
  </si>
  <si>
    <t>AUDI A4 УН 1995-2001 СТ ЗАДН ДВ ОП ПР ЗЛ</t>
  </si>
  <si>
    <t>AUDI A4 СД 94 /УН 1995-2001  СТ ПЕР ДВ ОП ПР ЗЛ</t>
  </si>
  <si>
    <t>AUDI A4 1995-2001  СТ ЗАДН ДВ ОП ПР ЗЛ 2 ОТВ</t>
  </si>
  <si>
    <t>A4 4Д 2007-</t>
  </si>
  <si>
    <t>2007-</t>
  </si>
  <si>
    <t>AUDI A4 2007-  СТ ВЕТР ЗЛСР+ДД+VIN+ИНК+ИЗМ КР+ИЗМ ШЕЛК</t>
  </si>
  <si>
    <t>AUDI A4 2007-  СТ ВЕТР ЗЛСР+VIN+ИНК</t>
  </si>
  <si>
    <t>AUDI A4 2007-  СТ ВЕТР ЗЛ+VIN+ИНК</t>
  </si>
  <si>
    <t>AUDI A4 СД 2007-  СТ ЗАДН ЗЛ+АНТ+СТОП+УО</t>
  </si>
  <si>
    <t>AUDI A4 СД 2007-  СТ ПЕР ДВ ОП ЛВ ЗЛ</t>
  </si>
  <si>
    <t>AUDI A4 СД 2007-  СТ ЗАДН ДВ ОП ЛВ ЗЛ</t>
  </si>
  <si>
    <t>AUDI A4 СД 2007-  СТ ПЕР ДВ ОП ПР ЗЛ</t>
  </si>
  <si>
    <t>AUDI A4 СД 2007-  СТ ЗАДН ДВ ОП ПР ЗЛ</t>
  </si>
  <si>
    <t>A5 КП 2007-</t>
  </si>
  <si>
    <t>AUDI A5 КП 2007-  СТ ВЕТР ЗЛСР+ДД+VIN+ИНК+ИЗМ КР+ИЗМ ШЕЛК</t>
  </si>
  <si>
    <t>AUDI A5 КП 2007-  СТ ВЕТР ЗЛ+VIN+ИНК</t>
  </si>
  <si>
    <t>AUDI A5 КП 2007-  СТ ПЕР ДВ ОП ЛВ ЗЛ</t>
  </si>
  <si>
    <t>AUDI A5 КП 2007-  СТ ПЕР ДВ ОП ПР ЗЛ</t>
  </si>
  <si>
    <t>A6 2004-</t>
  </si>
  <si>
    <t>2004-2011</t>
  </si>
  <si>
    <t>AUDI A6 2004-  СТ ВЕТР ТЕПЛООТРСР+ДД+УО+ИЗМ ШЕЛК</t>
  </si>
  <si>
    <t>AUDI A6 2004-  СТ ВЕТР ЗЛСР+ДД+VIN+УО</t>
  </si>
  <si>
    <t>AUDI A6 СД 2004-  СТ ЗАДН ТЕПЛООТР+СТОП+АНТ+ТВ АНТ+GPS+ИНК+ТРИПЛ+АНТ МОБ ТЕЛ</t>
  </si>
  <si>
    <t>AUDI A6 УН 2005-  СТ ЗАДН ЗЛ+АНТ+УО</t>
  </si>
  <si>
    <t>AUDI A6 СД 2004-  СТ ЗАДН ЗЛ+АНТ+СТОП+ИНК+GPS+ТВ АНТ+АНТ МОБ ТЕЛ</t>
  </si>
  <si>
    <t>AUDI A6 УН 2005-  СТ ЗАДН БР+АНТ+УО</t>
  </si>
  <si>
    <t>AUDI A6 УН 2005-  СТ ЗАДН ДВ ОП ЛВ ЗЛ</t>
  </si>
  <si>
    <t>AUDI A6 2004-  СТ ПЕР ДВ ОП ЛВ ЗЛ</t>
  </si>
  <si>
    <t>AUDI A6 СЕД 2004-  СТ ЗАДН ДВ ОП ЛВ ЗЛ</t>
  </si>
  <si>
    <t>AUDI A6 УН 2005-  СТ ЗАДН ДВ ОП ПР ЗЛ</t>
  </si>
  <si>
    <t>AUDI A6 2004-  СТ ПЕР ДВ ОП ПР ЗЛ</t>
  </si>
  <si>
    <t>AUDI A6 СЕД 2004-  СТ ЗАДН ДВ ОП ПР ЗЛ</t>
  </si>
  <si>
    <t>A6 СД 05.1997-2004</t>
  </si>
  <si>
    <t>1998-2004</t>
  </si>
  <si>
    <t>AUDI A6 1998-2004  СТ ВЕТР ЗЛСР+VIN+ИНК</t>
  </si>
  <si>
    <t>2002-2004</t>
  </si>
  <si>
    <t>AUDI A6 2002-2004 СТ ВЕТР ЗЛСР+VIN+ИНК+ИЗМ ШЕЛК</t>
  </si>
  <si>
    <t>1997-2004</t>
  </si>
  <si>
    <t>AUDI A6 1997-2004  СТ ВЕТР ЗЛСР+ИНК</t>
  </si>
  <si>
    <t>AUDI A6 СД 1997-2004  СТ ЗАДН ЗЛ+АНТ+GPS+ИНК</t>
  </si>
  <si>
    <t>AUDI A6 СД 1997-2004  СТ ЗАДН ЗЛ+АНТ+ИНК</t>
  </si>
  <si>
    <t>AUDI A6 СД 1997-2004  СТ ПЕР ДВ ОП ЛВ ЗЛ</t>
  </si>
  <si>
    <t>AUDI A6 СД 1997-2004  СТ ЗАДН ДВ ОП ЛВ ЗЛ</t>
  </si>
  <si>
    <t>AUDI A6 СД 1997-2004  СТ ПЕР ДВ ОП ПР ЗЛ</t>
  </si>
  <si>
    <t>AUDI A6 СД 1997-2004  СТ ЗАДН ДВ ОП ПР ЗЛ</t>
  </si>
  <si>
    <t>A6 СД V8 1999-2004</t>
  </si>
  <si>
    <t>1999-2004</t>
  </si>
  <si>
    <t>AUDI A6 V8 СЕД 1999-2004  СТ ВЕТР ЗЛСР+VIN+ИНК</t>
  </si>
  <si>
    <t>A6 УН (AVANT) 12.1997-2005</t>
  </si>
  <si>
    <t>AUDI A6 УН 1997-2005  СТ ВЕТР ЗЛСР+VIN+ИНК</t>
  </si>
  <si>
    <t>AUDI A6 УН 1997-2005  СТ ВЕТР ЗЛСР+VIN+ИНК+ИЗМ ШЕЛК</t>
  </si>
  <si>
    <t>AUDI A6 УН 1997-2005 СТ ВЕТР ЗЛСР+ИНК</t>
  </si>
  <si>
    <t>AUDI A6 УН 1997-2005  СТ ЗАДН ЗЛ+ИНК</t>
  </si>
  <si>
    <t>AUDI A6 УН 1997-2005 /ALL ROAD QUATTRO 00 СТ ЗАДН ДВ ОП ПР ЗЛ</t>
  </si>
  <si>
    <t>A6/C7 2010-</t>
  </si>
  <si>
    <t>2010-</t>
  </si>
  <si>
    <t>AUDI A6/C7 2010-СТ ВЕТР ЗЛ+ДД+VIN+ДО+ИНК</t>
  </si>
  <si>
    <t>A7 2010-</t>
  </si>
  <si>
    <t>AUDI A7 2010-СТ ВЕТР ЗЛ+ДД+VIN+ДО+ИНК</t>
  </si>
  <si>
    <t>AUDI A7 2010- СТ ПЕР ДВ ОП ЛВ ЗЛ</t>
  </si>
  <si>
    <t>AUDI A7 2010- СТ ПЕР ДВ ОП ПР ЗЛ</t>
  </si>
  <si>
    <t>A8 2002-2004</t>
  </si>
  <si>
    <t>AUDI A8 02 УО 2002/04-2004 СТ ВЕТР ТЕПЛООТРСР+ДД+VIN+УО+ИЗМ ИЗГ</t>
  </si>
  <si>
    <t>AUDI A8 02 УО 2002/04-2004 СТ ВЕТР ЗЛСР+ДД+VIN+УО+ДЗ</t>
  </si>
  <si>
    <t>AUDI A8 02 УО 2002/04-2004 СТ ВЕТР ЗЛСР+ДД+VIN+УО</t>
  </si>
  <si>
    <t>AUDI A8 СД 2002/04-2004 СТ ЗАДН ТЕПЛООТР+АНТ+ТРИПЛ+ИНК+ПОЛ</t>
  </si>
  <si>
    <t>AUDI A8 СД 2002/04-2004 СТ ЗАДН ЗЛ+АНТ+ТРИПЛ+ИНК</t>
  </si>
  <si>
    <t>A8 1994-09.1998</t>
  </si>
  <si>
    <t>1994-1998</t>
  </si>
  <si>
    <t>AUDI A8 1994-1998  СТ ВЕТР ЗЛЗЛ</t>
  </si>
  <si>
    <t>AUDI A8 1994-1998  МОЛД  ДЛЯ СТ ВЕТР</t>
  </si>
  <si>
    <t>AUDI A8 СД 1994-1998  СТ ЗАДН ТЕПЛООТР+ТРИПЛ</t>
  </si>
  <si>
    <t>A8 1999-2002</t>
  </si>
  <si>
    <t>1998-2002</t>
  </si>
  <si>
    <t>AUDI A8 4Д 1999-2002 СТ ВЕТР ЗЛСР</t>
  </si>
  <si>
    <t>R8 2Д КП 2007- /SPYDER 2009-</t>
  </si>
  <si>
    <t>AUDI R8 2Д КП 2007- СТ ВЕТР ЗЛСР+VIN+ИНК</t>
  </si>
  <si>
    <t>AUDI R8 2Д КП 2007- /SPYDER 2009- СТ ПЕР ДВ ОП ЛВ ЗЛ</t>
  </si>
  <si>
    <t>AUDI R8 2Д КП 2007- /SPYDER 2009- СТ ПЕР ДВ ОП ПР ЗЛ+УО</t>
  </si>
  <si>
    <t>Q5 2008-</t>
  </si>
  <si>
    <t>2008-</t>
  </si>
  <si>
    <t>AUDI Q5 2008- СТ ВЕТР ЗЛ+VIN++УО+ИНК</t>
  </si>
  <si>
    <t>AUDI Q5 2008- СТ ВЕТР ЗЛ СР+ДД+VIN+ИНК</t>
  </si>
  <si>
    <t>AUDI Q5 2008- СТ ВЕТР ЗЛСР+ДД+VIN+ДО+ИНК</t>
  </si>
  <si>
    <t>8596AGAGYMVWZ1P</t>
  </si>
  <si>
    <t>AUDI Q5 2008- СТ ЗАДН ДВ ОП ЛВ ЗЛ</t>
  </si>
  <si>
    <t>AUDI Q5 2008- СТ ЗАДН ДВ ОП ЛВ СР</t>
  </si>
  <si>
    <t>AUDI Q5 2008- СТ ПЕР ДВ ОП ЛВ ЗЛ</t>
  </si>
  <si>
    <t>AUDI Q5 2008- СТ ЗАДН НЕП ЛВ ЗЛ+ИНК+ИЗМ ШЕЛК</t>
  </si>
  <si>
    <t>AUDI Q5 2008- СТ ЗАДН НЕП ЛВ ЗЛ+ИНК</t>
  </si>
  <si>
    <t>AUDI Q5 2008- СТ ЗАДН НЕП ЛВ ЗЛ+АНТ+ИЗМ ШЕЛК</t>
  </si>
  <si>
    <t>AUDI Q5 2008- СТ ЗАДН НЕП ЛВ СР+ИНК+ИЗМ ШЕЛК</t>
  </si>
  <si>
    <t>AUDI Q5 2008- СТ ПЕР ДВ ОП ПР ЗЛ</t>
  </si>
  <si>
    <t>AUDI Q5 2008- СТ ЗАДН ДВ ОП ПР ЗЛ</t>
  </si>
  <si>
    <t>AUDI Q5 2008- СТ ЗАДН ДВ ОП ПР СР PR</t>
  </si>
  <si>
    <t>AUDI Q5 2008- СТ ЗАДН ДВ ОП ПР СР</t>
  </si>
  <si>
    <t>AUDI Q5 2008- СТ ЗАДН НЕП ПР ТСР</t>
  </si>
  <si>
    <t>AUDI Q5 2008- СТ ЗАДН НЕП ПР ЗЛ+ИНК+ИЗМ ШЕЛК</t>
  </si>
  <si>
    <t>AUDI Q5 2008- СТ ЗАДН НЕП ПР ЗЛ+ИНК</t>
  </si>
  <si>
    <t>AUDI Q5 2008- СТ ЗАДН НЕП ПР СР+ИНК+ИЗМ ШЕЛК</t>
  </si>
  <si>
    <t>AUDI Q5 ВН 2008- СТ ЗАДН ЗЛ+АНТ+КЛЕММЫ+УО</t>
  </si>
  <si>
    <t>AUDI Q5 ВН 2008- СТ ЗАДН СР+АНТ+КЛЕММЫ+УО</t>
  </si>
  <si>
    <t>Q7 2006-</t>
  </si>
  <si>
    <t>2006-</t>
  </si>
  <si>
    <t>AUDI Q7 2006-  СТ ВЕТР ЗЛ+МЕСТО Д/КАМЕРЫ+ДД+ЭО+VIN+УО+ИЗМ ШЕЛК</t>
  </si>
  <si>
    <t>AUDI Q7 2006-  СТ ВЕТР ЗЛСР+ДД+VIN+УО</t>
  </si>
  <si>
    <t>AUDI Q7 2006 (JAPANESE MODEL)- МОЛД ДЛЯ СТ ВЕТР ЛЕВ</t>
  </si>
  <si>
    <t>AUDI Q7 2006 (JAPANESE MODEL)- МОЛД ДЛЯ СТ ВЕТР ПР</t>
  </si>
  <si>
    <t>AUDI Q7 ВН 2006-  СТ ЗАДН ЗЛ+АНТ+ИНК</t>
  </si>
  <si>
    <t>AUDI Q7 ВН 2006-  СТ ЗАДН БР+АНТ+ИНК</t>
  </si>
  <si>
    <t>AUDI Q7 2006-  СТ ПЕР ДВ ОП ЛВ ЗЛ</t>
  </si>
  <si>
    <t>AUDI Q7 2006-  СТ ЗАДН ДВ ОП ЛВ ЗЛ</t>
  </si>
  <si>
    <t>AUDI Q7 2006-  СТ ЗАДН ДВ ОП ЛВ БР</t>
  </si>
  <si>
    <t>AUDI Q7 2006-  СТ ПЕР ДВ ОП ПР ЗЛ</t>
  </si>
  <si>
    <t>AUDI Q7 2006-  СТ ЗАДН ДВ ОП ПР ЗЛ</t>
  </si>
  <si>
    <t>AUDI Q7 2006-  СТ ЗАДН ДВ ОП ПР БР</t>
  </si>
  <si>
    <t>TT ROADSTER CAB 2007-</t>
  </si>
  <si>
    <t>AUDI TT ROADSTER CABRIO 2007- СТ ВЕТР ЗЛСР+ДД+VIN+УО+ИЗМ КР</t>
  </si>
  <si>
    <t>AUDI TT ROADSTER CABRIO 2007- СТ ВЕТР ЗЛСР+VIN+УО</t>
  </si>
  <si>
    <t>TT COUPE 2006-</t>
  </si>
  <si>
    <t>AUDI TT КУП 2006-  СТ ВЕТР ЗЛСР+ДД+VIN+ИНК+ИЗМ КР</t>
  </si>
  <si>
    <t>AUDI TT КУП 2006-  СТ ВЕТР ЗЛСР+VIN+ИНК</t>
  </si>
  <si>
    <t>AUDI TT КУП 2006-  СТ ВЕТР ЗЛ+VIN+ИНК</t>
  </si>
  <si>
    <t>AUDI TT КП 2006-  СТ ЗАДН ЗЛ+АНТ+ТВ АНТ+КЛЕММЫ+УО</t>
  </si>
  <si>
    <t>TT COUPE 1998-</t>
  </si>
  <si>
    <t>1998-2006</t>
  </si>
  <si>
    <t>AUDI TT КУП 1998-  СТ ВЕТР ЗЛСР+VIN+ИНК+ИЗМ КР</t>
  </si>
  <si>
    <t>AUDI TT КУП 1998-  СТ ВЕТР ЗЛСР+ИНК+ИЗМ КР</t>
  </si>
  <si>
    <t>AUDI TT КУП 1998-  СТ ПЕР ДВ ОП ЛВ ЗЛ</t>
  </si>
  <si>
    <t>AUDI TT КУП 1998-  СТ ПЕР ДВ ОП ПР ЗЛ</t>
  </si>
  <si>
    <t>BEDFORD</t>
  </si>
  <si>
    <t>RASCAL 1986-</t>
  </si>
  <si>
    <t>1986-</t>
  </si>
  <si>
    <t>BEDFORD RASCAL 1986- СТ ВЕТР/OPEL RASCAL 86- СТ ВЕТР</t>
  </si>
  <si>
    <t>BRAVA 1988-</t>
  </si>
  <si>
    <t>1988-</t>
  </si>
  <si>
    <t>BEDFORD BRAVA 1988-  СТ ВЕТР/ISUZU AMIGO/RODEO/CAMPO 88 09/93 СТ ВЕТР</t>
  </si>
  <si>
    <t>BMW</t>
  </si>
  <si>
    <t>1 SERIES (E87) 2004-</t>
  </si>
  <si>
    <t>2004-</t>
  </si>
  <si>
    <t>BMW 1 SERIES СД 2004- СТ ВЕТР ЗЛЗЛ+ДД+VIN+ИЗМ ШЕЛК</t>
  </si>
  <si>
    <t>BMW 1 SERIES СД 2004- СТ ВЕТР ЗЛЗЛ+VIN</t>
  </si>
  <si>
    <t>BMW 1 SERIES СД 2004- СТ ВЕТР ЗЛ+ДД+VIN+ИЗМ ШЕЛК</t>
  </si>
  <si>
    <t>BMW 1 SERIES СД 2004- СТ ВЕТР ЗЛ+VIN</t>
  </si>
  <si>
    <t>BMW 1 SERIES 5Д ХБ 2004- МОЛД  ДЛЯ СТ ВЕТР</t>
  </si>
  <si>
    <t>BMW 1 SERIES СД ХБ 2004-  / ХБ 2004-/07  СТ ЗАДН ЗЛ+АНТ+СТОП</t>
  </si>
  <si>
    <t>BMW 1 SERIES СД ХБ 2004-  / ХБ 2004-/07  СТ ЗАДН ЗЛ+АНТ+СТОП+ИЗМ АНТ</t>
  </si>
  <si>
    <t>BMW 1 SERIES СД ХБ 2004-  СТ ЗАДН ДВ ОП ЛВ ТЗЛ</t>
  </si>
  <si>
    <t>BMW 1 SERIES СД ХБ 2004-  СТ ФОРТ ЗАДН НЕП ЛВ ТЗЛ</t>
  </si>
  <si>
    <t>BMW 1 SERIES СД ХБ 2004-  СТ ПЕР ДВ ОП ЛВ ЗЛ</t>
  </si>
  <si>
    <t>BMW 1 SERIES СД ХБ 2004-  СТ ЗАДН ДВ ОП ЛВ ЗЛ</t>
  </si>
  <si>
    <t>BMW 1 SERIES СД ХБ 2004-  СТ ФОРТ ЗАДН НЕП ЛВ ЗЛ</t>
  </si>
  <si>
    <t>BMW 1 SERIES СД ХБ 2004-  СТ ЗАДН ДВ ОП ПР ТЗЛ</t>
  </si>
  <si>
    <t>BMW 1 SERIES СД ХБ 2004-  СТ ФОРТ ЗАДН НЕП ПР ТЗЛ</t>
  </si>
  <si>
    <t>BMW 1 SERIES СД ХБ 2004-  СТ ПЕР ДВ ОП ПР ЗЛ</t>
  </si>
  <si>
    <t>BMW 1 SERIES СД ХБ 2004-  СТ ЗАДН ДВ ОП ПР ЗЛ</t>
  </si>
  <si>
    <t>BMW 1 SERIES СД ХБ 2004-  СТ ФОРТ ЗАДН НЕП ПР ЗЛ</t>
  </si>
  <si>
    <t>3 SERIES (E21) 1975-1983</t>
  </si>
  <si>
    <t>1975-1983</t>
  </si>
  <si>
    <t>BMW 3 SERIES (E21) 316/323 1975-1983 СТ ВЕТР</t>
  </si>
  <si>
    <t>BMW 3 SERIES (E21) 316/323 1975-1983 СТ ВЕТР ЗЛ</t>
  </si>
  <si>
    <t>BMW 3 SERIES (E21) 316/323 1975-1983 СТ ВЕТР ЗЛЗЛ</t>
  </si>
  <si>
    <t>3 SERIES (E30) 1983-1989</t>
  </si>
  <si>
    <t>1983-1989</t>
  </si>
  <si>
    <t>BMW 3 SERIES (E30) 316/325 1983-1989 СТ ВЕТР БР</t>
  </si>
  <si>
    <t>BMW 3 SERIES (E30) 316/325 1983-1989 СТ ВЕТР БРГЛ</t>
  </si>
  <si>
    <t>BMW 3 SERIES (E30) 316/325 1983-1989 СТ ВЕТР</t>
  </si>
  <si>
    <t>BMW 3 SERIES (E30) 316/325 1983-1989 СТ ВЕТР ЗЛ</t>
  </si>
  <si>
    <t>1983-1993</t>
  </si>
  <si>
    <t>BMW 3 SERIES (E30) КБ 1983-1993 СТ ВЕТР ЗЛ+ИЗМ КР</t>
  </si>
  <si>
    <t>BMW 3 SERIES (E30) 316/325 1983-1989 СТ ВЕТР ЗЛГЛ</t>
  </si>
  <si>
    <t>BMW 3 SERIES (E30) 316/325 1983-1989 СТ ВЕТР ЗЛЗЛ</t>
  </si>
  <si>
    <t>BMW 3 SERIES (E30) КБ 1983-1993 СТ ВЕТР ЗЛЗЛ+ИЗМ КР</t>
  </si>
  <si>
    <t>BMW 3 SERIES (E30) 316/325 1983-1989 РЕЗ ПРОФ ДЛЯ СТ ВЕТР</t>
  </si>
  <si>
    <t>BMW 3 SERIES (E30) 316/325 СД+КП 1983-1989 СТ ЗАДН</t>
  </si>
  <si>
    <t>BMW 3 SERIES (E30) 316/325 УН 1983-1989 СТ ЗАДН ЗЛ</t>
  </si>
  <si>
    <t>BMW 3 SERIES (E30) 316/325 СД+КП 1983-1989 СТ ЗАДН ЭО ЗЛ</t>
  </si>
  <si>
    <t>BMW 3 SERIES (E30) 316/325 СЕД +УН 1983-1989 СТ ПЕР ДВ ОП ЛВ</t>
  </si>
  <si>
    <t>BMW 3 SERIES (E30) 316/325 СЕД 1983-1989 СТ ФОРТ ЗАДН НЕП ЛВ</t>
  </si>
  <si>
    <t>BMW 3 SERIES (E30) 316/325 СЕД 1983-1989 СТ ПЕР ДВ ОП ЛВ ЗЛ</t>
  </si>
  <si>
    <t>BMW 3 SERIES (E30) 316/325 СЕД 04/1988-1989 СТ ПЕР ДВ ОП ЛВ ЗЛ+ИЗМ ИНК</t>
  </si>
  <si>
    <t>BMW 3 SERIES (E30) 316/325 СЕД +УН 1983-1989 СТ ПЕР ДВ ОП ЗЛ</t>
  </si>
  <si>
    <t>1988-1989</t>
  </si>
  <si>
    <t>BMW 3 SERIES (E30) 316/325 СЕД +УН 04/1988-1989 СТ ПЕР ДВ ОП  ЗЛ ЛВ+ИЗМ ИНК</t>
  </si>
  <si>
    <t>BMW 3 SERIES (E30) 316/325 СД4D 1983-1989 СТ БОК НЕП ЛВ ЗЛ</t>
  </si>
  <si>
    <t>BMW 3 SERIES (E30) 316/325 КБ 1983-1989 СТ ПЕР ДВ ОП ЛВ ЗЛ</t>
  </si>
  <si>
    <t>BMW 3 SERIES (E30) 316/325 СЕД +УН 1983-1989 СТ ПЕР ДВ ОП БР ПР</t>
  </si>
  <si>
    <t>BMW 3 SERIES (E30) 316/325 СЕД 2D 1983-1989 СТ ПЕР ДВ ОП ПР</t>
  </si>
  <si>
    <t>BMW 3 SERIES (E30) 316/325 СЕД +УН 1983-1989 СТ ПЕР ДВ ОП ПР</t>
  </si>
  <si>
    <t>BMW 3 SERIES (E30) 316/325 СЕД +УН 1983-1989 СТ ЗАДН ДВ ОП ПР</t>
  </si>
  <si>
    <t>BMW 3 SERIES (E30) 316/325 СЕД 1983-1989 СТ ФОРТ ЗАДН НЕП ПР</t>
  </si>
  <si>
    <t>BMW 3 SERIES (E30) 316/325 СЕД 04/1988-1989 СТ ПЕР ДВ ОП ПР ЗЛ+ИЗМ ИНК</t>
  </si>
  <si>
    <t>BMW 3 SERIES (E30) 316/325 4D+УН 1983-1989 СТ ПЕР ДВ ОП ПР ЗЛ</t>
  </si>
  <si>
    <t>BMW 3 SERIES (E30) 316/325 СЕД +УН 04/1988-1989 СТ ПЕР ДВ ОП ЗЛ ПР+ИЗМ ИНК</t>
  </si>
  <si>
    <t>BMW 3 SERIES (E30) 316/325 СЕД +УН 1983-1989 СТ ЗАДН ОП ЗЛ ПР</t>
  </si>
  <si>
    <t>BMW 3 SERIES (E30) 316/325 СЕД +УН 04/1988-1989 СТ ЗАДН ДВ ОП ЗЛ ПР+ИЗМ ИНК</t>
  </si>
  <si>
    <t>BMW 3 SERIES (E30) 316/325 СД4D 1983-1989 СТ БОК НЕП ПР ЗЛ</t>
  </si>
  <si>
    <t>BMW 3 SERIES (E30) 316/325 КБ 1983-1989 СТ ПЕР ДВ ОП ПР ЗЛ</t>
  </si>
  <si>
    <t>3 SERIES (E30) 1987-1993</t>
  </si>
  <si>
    <t>1987-1993</t>
  </si>
  <si>
    <t>BMW 3 SERIES (E30) 1987-1993 СТ ВЕТР ЗЛЗЛ+ИНК</t>
  </si>
  <si>
    <t>BMW 3 SERIES (E30) 1987-1993 СТ ВЕТР ЗЛ+ИНК</t>
  </si>
  <si>
    <t>3 SERIES (E36) КП/КБ 1991-04.1999</t>
  </si>
  <si>
    <t>1991-1999</t>
  </si>
  <si>
    <t>BMW 3 SERIES (E36) КП/КБ 1991-1999 M3 КБ 1994 СТ ВЕТР ЗЛГЛ+КР+VIN</t>
  </si>
  <si>
    <t>BMW 3 SERIES (E36) КП/КБ 1991-1999 M3 КБ 1994 СТ ВЕТР ЗЛЗЛ+VIN</t>
  </si>
  <si>
    <t>BMW 3 SERIES (E36) КП/КБ 1991-1999 M3 КБ 1994 СТ ВЕТР ЗЛ+КР+VIN</t>
  </si>
  <si>
    <t>BMW 3 SERIES (E36) КБ+CAB. 1992-1999  МОЛД  ДЛЯ СТ ВЕТР</t>
  </si>
  <si>
    <t>BMW 3 SERIES (E36) КП 1991-1999 СТ ЗАДН ЭО ЗЛ+АНТ</t>
  </si>
  <si>
    <t>BMW 3 SERIES (E36) КП 1991-1999 СТ ЗАДН ЭО ЗЛ+АНТ+СТОП</t>
  </si>
  <si>
    <t>BMW 3 SERIES (E36) КБ 1991-1999  МОЛД  ДЛЯ СТ ЗАДН</t>
  </si>
  <si>
    <t>1991-1994</t>
  </si>
  <si>
    <t>BMW 3 SERIES (E36) КП+КБ 1991-1994 СТ ПЕР ДВ ОП ЛВ ЗЛ</t>
  </si>
  <si>
    <t>1994-1999</t>
  </si>
  <si>
    <t>BMW 3 SERIES (E36) КП/КБ/M3 КБ 1994-1999 СТ ПЕР ДВ ОП ЛВ ЗЛ+ИЗМ ШЕЛК</t>
  </si>
  <si>
    <t>BMW 3 SERIES (E36) КП+КБ91 1994-1999 СТ ПЕР ДВ ОП ПР ЗЛ</t>
  </si>
  <si>
    <t>BMW 3 SERIES (E36) КП/КБ/M3 КБ 1994-1999 СТ ПЕР ДВ ОП ПР ЗЛ+ИЗМ ШЕЛК</t>
  </si>
  <si>
    <t>3 SERIES (E36) СЕД/ХБ 1990-1998, EST 1995-1999</t>
  </si>
  <si>
    <t>1990-1998</t>
  </si>
  <si>
    <t>BMW 3 SERIES (E36) СЕД+ХБ 1990-1998 УН 1995-1999 СТ ВЕТР ЗЛ</t>
  </si>
  <si>
    <t>BMW 3 SERIES (E36) СЕД+ХБ 1990-1998 УН 1995-1999  СТ ВЕТР ЗЛГЛ</t>
  </si>
  <si>
    <t>BMW 3 SERIES (E36) СЕД+ХБ 1990-1998 УН 1995-1999 СТ ВЕТР ЗЛГЛ+КР+VIN</t>
  </si>
  <si>
    <t>BMW 3 SERIES (E36) СЕД+ХБ 1990-1998 УН 1995-1999 СТ ВЕТР ЗЛЗЛ</t>
  </si>
  <si>
    <t>BMW 3 SERIES (E36) СЕД+ХБ 1990-1998 УН 1995-1999 СТ ВЕТР ЗЛЗЛ КР+VIN</t>
  </si>
  <si>
    <t>BMW 3 SERIES (E36) СЕД+ХБ 1990-1998 УН 1995-1999 СТ ВЕТР ЗЛ КР+VIN</t>
  </si>
  <si>
    <t>BMW 3 SERIES (E36) E36 СЕД+ХБK 1991-1999   МОЛД ДЛЯ СТ ВЕТР ВЕРХ</t>
  </si>
  <si>
    <t>НАБОР КЛИПС ДЛЯ BMW 3 Series E36 / 8 Series E31 (50 ШТ) (PMA_7101004-50)</t>
  </si>
  <si>
    <t>BMW 3 SERIES (E36) ХБ 3Д 1994-1999 СТ ЗАДН ЗЛ</t>
  </si>
  <si>
    <t>BMW 3 SERIES (E36) ХБ 3Д 1994-1999 СТ ЗАДН ЗЛ+АНТ</t>
  </si>
  <si>
    <t>BMW 3 SERIES (E36) ХБ 1994-1999 СТ ЗАДН ЗЛ+АНТ+СТОП</t>
  </si>
  <si>
    <t>BMW 3 SERIES (E36) СД 1990-1998 СТ ЗАДН ЭО ЗЛ+АНТ</t>
  </si>
  <si>
    <t>BMW 3 SERIES (E36) СД 1990-1998 СТ ЗАДН ЭО ЗЛ+АНТ+СТОП</t>
  </si>
  <si>
    <t>BMW 3 SERIES (E36) ХБ 3Д 1994-1998  МОЛД  ДЛЯ СТ ЗАДН НИЖН</t>
  </si>
  <si>
    <t>BMW 3 SERIES (E36) 1990-1998  МОЛД ДЛЯ СТ ЗАДН</t>
  </si>
  <si>
    <t>BMW 3 SERIES (E36) ХБ 3Д 1994-1999 СТ ПЕР ДВ ОП ЛВ ЗЛ</t>
  </si>
  <si>
    <t>BMW 3 SERIES (E36) 1990-1998  СТ ПЕР ДВ ОП ЛВ ЗЛ</t>
  </si>
  <si>
    <t>1995-1999</t>
  </si>
  <si>
    <t>BMW 3 SERIES (E36) СЕД+УН 1995-1999  СТ ПЕР ДВ ОП ЛВ ЗЛ+ИЗМ ТОЛЩ</t>
  </si>
  <si>
    <t>BMW 3 SERIES (E36) СЕД+УН 1995-1999 СТ ПЕР ДВ ОП ЛВ ЗЛ ФИТ+ИЗМ ТОЛЩ</t>
  </si>
  <si>
    <t>BMW 3 SERIES (E36) СЕД+УН 1995-1999 СТ ПЕР ДВ ОП ЛВ+КЛЕММЫ+ИЗМ ТОЛЩ</t>
  </si>
  <si>
    <t>BMW 3 SERIES (E36) 1990-1998  СЕД 4Д СТ ЗАДН ДВ ОП ЛВ ЗЛ</t>
  </si>
  <si>
    <t>BMW 3 SERIES (E36) 1990-1998 СТ БОК НЕП ЛВ ЗЛ</t>
  </si>
  <si>
    <t>BMW 3 SERIES (E36) 1990-1998 СТ БОК НЕП ЛВ ЗЛ+КЛЕММЫ</t>
  </si>
  <si>
    <t>BMW 3 SERIES (E36) ХБ 3Д 1994-1999 СТ ПЕР ДВ ОП ПР ЗЛ</t>
  </si>
  <si>
    <t>BMW 3 SERIES (E36) 1990-1998  СТ ПЕР ДВ ОП ПР ЗЛ</t>
  </si>
  <si>
    <t>BMW 3 SERIES (E36) СЕД+УН 1995-1999  СТ ПЕР ДВ ОП ПР ЗЛ+ИЗМ ТОЛЩ</t>
  </si>
  <si>
    <t>BMW 3 SERIES (E36) СЕД+УН 1995-1999 СТ ПЕР ДВ ОП ПР ЗЛ+ФИТ+ИЗМ ТОЛЩ</t>
  </si>
  <si>
    <t>BMW 3 SERIES (E36) СЕД+УН 1995-1999 СТ ПЕР ДВ ОП ПР+УО+КЛЕММЫ+ИЗМ ТОЛЩ</t>
  </si>
  <si>
    <t>BMW 3 SERIES (E36) СЕД 4Д 1990-1998 СТ ЗАДН ДВ ОП ПР ЗЛ</t>
  </si>
  <si>
    <t>BMW 3 SERIES (E36) 1990-1998 СТ БОК НЕП ПР ЗЛ</t>
  </si>
  <si>
    <t>BMW 3 SERIES (E36) 1990-1998  СТ ФОРТ ЗАДН НЕП ПР ЗЛ+КЛЕММЫ</t>
  </si>
  <si>
    <t>3 SERIES (E46) КП 1999-2006</t>
  </si>
  <si>
    <t>1999-2006</t>
  </si>
  <si>
    <t>BMW 3 SERIES (E46) КУП+КБ 1999-2006  СТ ВЕТР ЗЛЗЛ+ДД+VIN</t>
  </si>
  <si>
    <t>2001-2006</t>
  </si>
  <si>
    <t>BMW 3 SERIES (E46) КУП+КБ 2001-2006  СТ ВЕТР ЗЛЗЛ+ДД+VIN+ИЗМ ДД</t>
  </si>
  <si>
    <t>BMW 3 SERIES (E46) КУП+КБ 1999-2006  СТ ВЕТР ЗЛЗЛ+VIN</t>
  </si>
  <si>
    <t>BMW 3 SERIES (E46) КУП 1999-2006  СТ ВЕТР ЗЛ+VIN</t>
  </si>
  <si>
    <t>BMW 3 SERIES (E46) КБ 1999-2006  МОЛД  ДЛЯ СТ ВЕТР</t>
  </si>
  <si>
    <t>BMW 3 SERIES (E46) КП 1999-2006  СТ ЗАДН ЗЛ+АНТ+СТОП+GPS+АНТ Д/ОТКР</t>
  </si>
  <si>
    <t>BMW 3 SERIES (E46) КБ МОЛД  ДЛЯ СТ ЗАДН</t>
  </si>
  <si>
    <t>BMW 3 SERIES (E46) КП 1999-2006  СТ ПЕР ДВ ОП ЛВ ЗЛ</t>
  </si>
  <si>
    <t>BMW 3 SERIES (E46) КП 1999-2006  СТ БОК НЕП ОТКР ЛВ ЗЛ+УО</t>
  </si>
  <si>
    <t>BMW 3 SERIES (E46) КП 1999-2006  СТ ПЕР ДВ ОП ПР ЗЛ</t>
  </si>
  <si>
    <t>BMW 3 SERIES (E46) КП 1999-2006  СТ БОК НЕП ОТКР ПР ЗЛ+УО</t>
  </si>
  <si>
    <t>3 SERIES (E46) СД 1998-2005</t>
  </si>
  <si>
    <t>1998-2005</t>
  </si>
  <si>
    <t>BMW 3 SERIES (E46) СД 1998-2005 СТ ВЕТР ЗЛГЛ+ДД+VIN+ИЗМ ШЕЛК</t>
  </si>
  <si>
    <t>2001-2005</t>
  </si>
  <si>
    <t>BMW 3 SERIES (E46) СД 2001-2005 СТ ВЕТР ЗЛГЛ+ДД+ИЗМ+VIN</t>
  </si>
  <si>
    <t>BMW 3 SERIES (E46) СД 1998-2005 1998-2005 СТ ВЕТР ЗЛГЛ+VIN</t>
  </si>
  <si>
    <t>BMW 3 SERIES СЕД (E46) 1998-2005 08/1998-2005 СТ ВЕТР ЗЛЗЛ+ДД+VIN+ИЗМ ШЕЛК</t>
  </si>
  <si>
    <t>BMW 3 SERIES СЕД (E46) 2001-2005 СТ ВЕТР ЗЛЗЛ+ДД+VIN+ИЗМ</t>
  </si>
  <si>
    <t>BMW 3 SERIES СЕД (E46) 1998-2005 СТ ВЕТР ЗЛЗЛ+VIN</t>
  </si>
  <si>
    <t>BMW 3 SERIES СЕД (E46) 1998-2005 08/1998-2005 СТ ВЕТР ЗЛ+ДД+VIN+ИЗМ ШЕЛК</t>
  </si>
  <si>
    <t>BMW 3 SERIES СЕД (E46) 2001-2005 СТ ВЕТР ЗЛ+ДД+VIN</t>
  </si>
  <si>
    <t>BMW 3 SERIES СЕД (E46) 1998-2005 СТ ВЕТР ЗЛ+VIN</t>
  </si>
  <si>
    <t>BMW 3 SERIES СЕД (E46) 98 МОЛД  ДЛЯ СТ ВЕТР</t>
  </si>
  <si>
    <t>BMW 3 SERIES СД (E46) 1998-2005 СТ ЗАДН ЗЛ+АНТ+СТОП+ТВ АНТ+УО+ИЗМ МОЛД</t>
  </si>
  <si>
    <t>BMW 3 SERIES СД (E46) 1998-2005 СТ ЗАДН ЗЛ+АНТ+СТОП+УО</t>
  </si>
  <si>
    <t>BMW 3 SERIES СЕД (E46) 1998-2005  МОЛД  ДЛЯ СТ ЗАДН</t>
  </si>
  <si>
    <t>BMW 3 SERIES СЕД (E46) 1998-2005 СТ ПЕР ЛВ ЗЛ+2 ОТВ</t>
  </si>
  <si>
    <t>BMW 3 SERIES СЕД (E46) 1998-2005 СТ ЗАДН ЛВ ЗЛ+1 ОТВ</t>
  </si>
  <si>
    <t>BMW 3 SERIES СЕД (E46) 1998-2005 СТ БОК НЕП ЛВ ЗЛ</t>
  </si>
  <si>
    <t>BMW 3 SERIES СЕД (E46) 1998-2005 СТ ПЕР ПР ЗЛ+2 ОТВ</t>
  </si>
  <si>
    <t>BMW 3 SERIES СЕД (E46) 1998-2005 СТ ЗАДН ПР ЗЛ+1 ОТВ</t>
  </si>
  <si>
    <t>BMW 3 SERIES СЕД (E46) 1998-2005 СТ БОК НЕП ПР ЗЛ</t>
  </si>
  <si>
    <t>3 SERIES (E46) HBK 2001-2005</t>
  </si>
  <si>
    <t>BMW 3 SERIES COMPACT 2001-2005 СТ ВЕТР ЗЛЗЛ+ДД+VIN</t>
  </si>
  <si>
    <t>BMW 3 SERIES COMPACT 2001-2005 СТ ВЕТР ЗЛЗЛ+ДД+VIN+СЕНС</t>
  </si>
  <si>
    <t>BMW 3 SERIES COMPACT 2001-2005 СТ ВЕТР ЗЛЗЛ+VIN</t>
  </si>
  <si>
    <t>BMW 3 SERIES COMPACT 2001-2005 СТ ВЕТР ЗЛ+VIN</t>
  </si>
  <si>
    <t>BMW 3 SERIES COMPACT 2001-2005 СТ ВЕТР ЗЛ+ДД+VIN</t>
  </si>
  <si>
    <t>BMW 3 SERIES COMPACT 2001  МОЛД  ДЛЯ СТ ВЕТР</t>
  </si>
  <si>
    <t>BMW 3 SERIES COMPACT ХБ 2001-2005 СТ ЗАДН ДВ ЗЛ+АНТ+СТОП+УО</t>
  </si>
  <si>
    <t>BMW 3 SERIES COMPACT 2001-2005 СТ ПЕР ДВ ОП ЛВ ЗЛ</t>
  </si>
  <si>
    <t>BMW 3 SERIES COMPACT 2001-2005 СТ ПЕР ДВ ОП ПР ЗЛ</t>
  </si>
  <si>
    <t>3 SERIES (E90) (E91) СЕД/УН 2005-</t>
  </si>
  <si>
    <t>2005-2008</t>
  </si>
  <si>
    <t>BMW 3 SERIES СЕД (E90)+УН(E91) 2005-  СТ ВЕТР ТЕПЛООТРЗЛ+ДД+VIN</t>
  </si>
  <si>
    <t>BMW 3 SERIES СЕД (E90)+УН(E91) 2005-  СТ ВЕТР ЗЛГЛ +VIN</t>
  </si>
  <si>
    <t>BMW 3 SERIES СЕД (E90)+УН(E91) 2005-  СТ ВЕТР ЗЛЗЛ+ДД+VIN</t>
  </si>
  <si>
    <t>BMW 3 SERIES СЕД (E90)+УН(E91) 2005-  СТ ВЕТР ЗЛЗЛ+VIN</t>
  </si>
  <si>
    <t>BMW 3 SERIES СЕД (E90)+УН(E91) 2005-  СТ ВЕТР ЗЛ+ДД+VIN</t>
  </si>
  <si>
    <t>BMW 3 SERIES СЕД (E90)+УН(E91) 2005-  СТ ВЕТР ЗЛ+VIN</t>
  </si>
  <si>
    <t>BMW 3 SERIES СЕД+УН 2005- МОЛД  ДЛЯ СТ ВЕТР ВЕРХ</t>
  </si>
  <si>
    <t>BMW 3 SERIES СД (E90) 2005- СТ ЗАДН ТЗЛ+АНТ+СТОП+ТВ АНТ+УО</t>
  </si>
  <si>
    <t>BMW 3 SERIES СД (E90) 2005-  СТ ЗАДН ЗЛ+АНТ+СТОП+УО</t>
  </si>
  <si>
    <t>BMW 3 SERIES СЕД (E90) 2005- СТ ЗАДН ДВ ОП ТЗЛ ЛВ</t>
  </si>
  <si>
    <t>BMW 3 SERIES УН (E91) 2005-  СТ ЗАДН ДВ ОП ЛВ ЗЛ</t>
  </si>
  <si>
    <t>BMW 3 SERIES СЕД (E90)+УН(E91) 2005-  СТ ПЕР ДВ ОП ЗЛ ЛВ</t>
  </si>
  <si>
    <t>BMW 3 SERIES СЕД (E90) 2005-  СТ ЗАДН ДВ ОП ЗЛ ЛВ</t>
  </si>
  <si>
    <t>BMW 3 SERIES СЕД (E90) 2005-  СТ ФОРТ ЗАДН НЕП ЗЛ ЛВ</t>
  </si>
  <si>
    <t>BMW 3 SERIES СЕД (E90) 2005-  СТ ЗАДН ДВ ОП ТЗЛ ПР</t>
  </si>
  <si>
    <t>BMW 3 SERIES УН (E91) 2005-  СТ ЗАДН ДВ ОП ПР ЗЛ</t>
  </si>
  <si>
    <t>BMW 3 SERIES СЕД (E90)+УН(E91) 2005-  СТ ПЕР ДВ ОП ЗЛ ПР</t>
  </si>
  <si>
    <t>BMW 3 SERIES СЕД (E90) 2005-  СТ ЗАДН ДВ ОП ЗЛ ПР</t>
  </si>
  <si>
    <t>BMW 3 SERIES СЕД (E90) 2005-  СТ ФОРТ ЗАДН НЕП ЗЛ ПР</t>
  </si>
  <si>
    <t>3 SERIES COUPE (E92) 2006-</t>
  </si>
  <si>
    <t>BMW 3 SERIES КУП (E92) 2006-  СТ ВЕТР ЗЛСР+ДД+VIN+ИЗМ ШЕЛК</t>
  </si>
  <si>
    <t>BMW 3 SERIES КУП (E92) 2006-  СТ ВЕТР ЗЛСР+VIN</t>
  </si>
  <si>
    <t>BMW 3 SERIES КП (E92) 2006-  СТ ЗАДН ЗЛ+СТОП</t>
  </si>
  <si>
    <t>BMW 3 SERIES КП (E92) 2006-  СТ ЗАДН СР+СТОП</t>
  </si>
  <si>
    <t>BMW 3 SERIES КУП (E92) 2006-  СТ ПЕР ДВ ОП ЛВ ЗЛ+УО</t>
  </si>
  <si>
    <t>BMW 3 SERIES КУП (E92) 2006-  СТ ПЕР ДВ ОП ПР ЗЛ+УО</t>
  </si>
  <si>
    <t>3 SERIES CAB (E93) 2006-</t>
  </si>
  <si>
    <t>BMW 3 SERIES CAB (E93) 2006- СТ ВЕТР ЗЛСР+VIN</t>
  </si>
  <si>
    <t>5 SERIES (E28) 1973-1985</t>
  </si>
  <si>
    <t>1973-1985</t>
  </si>
  <si>
    <t>BMW 520/528 1973-1985 СТ ВЕТР</t>
  </si>
  <si>
    <t>BMW 520/528 1973-1985 СТ ВЕТР ЗЛ</t>
  </si>
  <si>
    <t>BMW 520/528 1973-1985 СТ ВЕТР ЗЛЗЛ</t>
  </si>
  <si>
    <t>BMW 520/528 1973-1985 РЕЗ ПРОФ ДЛЯ СТ ВЕТР</t>
  </si>
  <si>
    <t>5 SERIES (E34) 1986-1995</t>
  </si>
  <si>
    <t>1986-1995</t>
  </si>
  <si>
    <t>BMW 5 SERIES 1986-1995 СТ ВЕТР ЗЛ</t>
  </si>
  <si>
    <t>BMW 5 SERIES 1986-1995 СТ ВЕТР ЗЛГЛ</t>
  </si>
  <si>
    <t>BMW 5 SERIES 1986-1995 СТ ВЕТР ЗЛЗЛ</t>
  </si>
  <si>
    <t>BMW 5 SERIES 1987-1995 КЛИПСА ДЛЯ СТ ВЕТР</t>
  </si>
  <si>
    <t>BMW 5 SERIES 1986-1995 КЛИПСА ДЛЯ СТ ВЕТР</t>
  </si>
  <si>
    <t>BMW 5 SERIES E34/ BMW 7 SERIES E32 Клипса для ВЕТР СТ 50 шт</t>
  </si>
  <si>
    <t>BMW 5 SERIES СД 1986-1995 10/1989-1995 СТ ЗАДН ЭО ЗЛ+АНТ</t>
  </si>
  <si>
    <t>BMW 5 SERIES СЕД+УН 1986-1995 СТ ПЕР ДВ ОП ЛВ ЗЛ</t>
  </si>
  <si>
    <t>BMW 5 SERIES СЕД 1986-1995  СТ ЗАДН ДВ ОП ЛВ ЗЛ</t>
  </si>
  <si>
    <t>BMW 5 SERIES СЕД+УН 1986-1995 СТ ПЕР ДВ ОП ПР ЗЛ</t>
  </si>
  <si>
    <t>BMW 5 SERIES СЕД+УН 1986-1995 СТ ПЕР ДВ ОП ПР ЗЛ+УО</t>
  </si>
  <si>
    <t>BMW 5 SERIES СЕД 1986-1995  СТ ЗАДН ДВ ОП ПР ЗЛ</t>
  </si>
  <si>
    <t>BMW 5 SERIES EST 1986-1995- СТ ЗАДН ДВ ОП ПР ЗЛ</t>
  </si>
  <si>
    <t>5 SERIES (E39) 1996-2003</t>
  </si>
  <si>
    <t>BMW 5 SERIES 1996-2003 СТ ВЕТР ТЕПЛООТРЗЛ+VIN</t>
  </si>
  <si>
    <t>BMW 5 SERIES 1996-2003 СТ ВЕТР ЗЛГЛ+VIN</t>
  </si>
  <si>
    <t>1996-1999</t>
  </si>
  <si>
    <t>BMW 5 SERIES 1996-1999 СТ ВЕТР ЗЛЗЛ+VIN+ШЕЛК+ДД</t>
  </si>
  <si>
    <t>1999-2001</t>
  </si>
  <si>
    <t>BMW 5 SERIES 1999-08/2001 СТ ВЕТР ЗЛЗЛ ИЗМ ШЕЛК+ДД+VIN</t>
  </si>
  <si>
    <t>2001-2003</t>
  </si>
  <si>
    <t>BMW 5 SERIES 09/2001-2003  СТ ВЕТР ЗЛЗЛ+ДД+VIN</t>
  </si>
  <si>
    <t>BMW 5 SERIES 1996-2003 СТ ВЕТР ЗЛЗЛ+VIN</t>
  </si>
  <si>
    <t>BMW 5 SERIES 1996-2003 СТ ВЕТР ЗЛ+VIN+ДД</t>
  </si>
  <si>
    <t>1999-2003</t>
  </si>
  <si>
    <t>BMW 5 SERIES E39 1999-2003 СТ ВЕТР ЗЛ ИЗМ ШЕЛК+ДД+VIN</t>
  </si>
  <si>
    <t>BMW 5 SERIES 09/2001-2003  СТ ВЕТР ЗЛ+ДД+VIN+ИЗМ ДД</t>
  </si>
  <si>
    <t>BMW 5 SERIES 1996-2003 СТ ВЕТР ЗЛ+VIN</t>
  </si>
  <si>
    <t>BMW 5 SERIES (E39) 1996-2003 НАБ КЛИПС ДЛЯ СТ ВЕТР</t>
  </si>
  <si>
    <t>BMW 5 SERIES (E39) 1995-2003  ПЕНОРЕЗИНА д/НИЖН. КРОМКИ СТЕКЛА</t>
  </si>
  <si>
    <t>BMW 5 SERIES (E39) 1995-2003  МОЛД  ДЛЯ СТ ВЕТР</t>
  </si>
  <si>
    <t>BMW 5 SERIES (E39) 03/1999-2003  СЕД МОЛД ДЛЯ СТ ВЕТР</t>
  </si>
  <si>
    <t>НАБОР КЛИПС ДЛЯ BMW 5 Series E39 (10 ШТ)</t>
  </si>
  <si>
    <t>1997-2003</t>
  </si>
  <si>
    <t>BMW 5 SERIES УН 1997-2003 СТ ЗАДН ДВ ЗЛ+АНТ+СТОП+ИНК</t>
  </si>
  <si>
    <t>BMW 5 SERIES СД 1996-2003 СТ ЗАДН ЭО ЗЛ+СТОП+VIN</t>
  </si>
  <si>
    <t>BMW 5 SERIES 1995-2003  МОЛД  ДЛЯ СТ ЗАДН</t>
  </si>
  <si>
    <t>BMW 5 SERIES E39 1996-2003  МОЛД  ДЛЯ СТ ЗАДН</t>
  </si>
  <si>
    <t>BMW 5 SERIES УН 1997-2003 СТ ЗАДН ДВ ОП ЛВ ЗЛ</t>
  </si>
  <si>
    <t>BMW 5 SERIES УН 1997-2003 СТ ЗАДН ДВ НЕП ЛВ ЗЛ</t>
  </si>
  <si>
    <t>BMW 5 SERIES СД+УН 1996-2003 СТ ПЕР ДВ ОП ЛВ ЗЛ</t>
  </si>
  <si>
    <t>BMW 5 SERIES 1996-2003  СТ ЗАДН ДВ ОП ЛВ ЗЛ</t>
  </si>
  <si>
    <t>BMW 5 SERIES 1996-2003  ФОРТ ЗАДН НЕП ЛВ ЗЛ</t>
  </si>
  <si>
    <t>BMW 5 SERIES УН 1996-2003 СТ ЗАДН ДВ ОП ПР ЗЛ</t>
  </si>
  <si>
    <t>BMW 5 SERIES УН 1996-2003 СТ ЗАДН ДВ НЕП ПР ЗЛ</t>
  </si>
  <si>
    <t>BMW 5 SERIES СД+УН 1996-2003 СТ ПЕР ДВ ОП ПР ЗЛ</t>
  </si>
  <si>
    <t>BMW 5 SERIES 1996-2003  СТ ЗАДН ДВ ОП ПР ЗЛ</t>
  </si>
  <si>
    <t>BMW 5 SERIES 1996-2003 СТ ЗАДН ДВ НЕП ПР ЗЛ</t>
  </si>
  <si>
    <t>5 SERIES (E60) 2003-</t>
  </si>
  <si>
    <t>2003-2010</t>
  </si>
  <si>
    <t>BMW 5 SERIES 2003- СТ ВЕТР ТЕПЛООТРЗЛ+ДД+VIN</t>
  </si>
  <si>
    <t>2007-2010</t>
  </si>
  <si>
    <t>BMW 5 SERIES СД+УН 2007- СТ ВЕТР ТЕПЛООТРЗЛ+ДД+VIN+ИЗМ ДД</t>
  </si>
  <si>
    <t>BMW 5 SERIES 2003- СТ ВЕТР ТЕПЛООТР+ДИСПЛЕЙ+ДД+VIN</t>
  </si>
  <si>
    <t>BMW 5 SERIES 2003- СТ ВЕТР ЗЛЗЛ+ДД+ДСВ+VIN</t>
  </si>
  <si>
    <t>BMW 5 SERIES СД+УН 2007- СТ ВЕТР ЗЛЗЛ+ДД+VIN+ИЗМ ДД</t>
  </si>
  <si>
    <t>BMW 5 SERIES 2003- СТ ВЕТР ЗЛ+ДИСПЛЕЙ+ДД+VIN</t>
  </si>
  <si>
    <t>BMW 5 SERIES 2003- СТ ВЕТР ЗЛ+ДД+VIN</t>
  </si>
  <si>
    <t>BMW 5 SERIES СД+УН 2007- СТ ВЕТР ЗЛ+ДД+VIN+ДД (круглый)</t>
  </si>
  <si>
    <t>BMW 5 SERIES (E60) 2003-НАБ КЛИПС 50 ШТ ДЛЯ СТ ВЕТР</t>
  </si>
  <si>
    <t>BMW 5 SERIES СЕД 2003- МОЛД  ДЛЯ СТ ВЕТР ВЕРХ</t>
  </si>
  <si>
    <t>BMW 5 SERIES СД 2003-  СТ ЗАДН ЗЛ+АНТ+СТОП+GPS</t>
  </si>
  <si>
    <t>BMW 5 SERIES 2003- СТ ЗАДН ДВ ОП ЛВ ТЕПЛООТР ТРИПЛ+УО</t>
  </si>
  <si>
    <t>BMW 5 SERIES 2003- СТ ЗАДН ДВ НЕП ЛВ ТЕПЛООТР ТРИПЛ</t>
  </si>
  <si>
    <t>BMW 5 SERIES 2003- СТ ПЕР ДВ ОП ЛВ ТЕПЛООТР ТРИПЛ+УО</t>
  </si>
  <si>
    <t>BMW 5 SERIES УН 2003- СТ ЗАДН ДВ ОП ЛВ ЗЛ</t>
  </si>
  <si>
    <t>BMW 5 SERIES УН 2003- СТ ЗАДН ДВ НЕП ЛВ ЗЛ</t>
  </si>
  <si>
    <t>BMW 5 SERIES СД 2003- СТ ПЕР ДВ ОП ЛВ ЗЛ</t>
  </si>
  <si>
    <t>BMW 5 SERIES СД 2003- СТ ЗАДН ДВ ОП ЛВ ЗЛ</t>
  </si>
  <si>
    <t>BMW 5 SERIES СД 2003- СТ ЗАДН ДВ НЕП ЛВ ЗЛ</t>
  </si>
  <si>
    <t>BMW 5 SERIES 2003- СТ ЗАДН ДВ НЕП ЛВ ТРИПЛ</t>
  </si>
  <si>
    <t>BMW 5 SERIES СД 2003- СТ ЗАДН ДВ ОП ЛВ СР</t>
  </si>
  <si>
    <t>BMW 5 SERIES СД 2003- СТ ЗАДН ДВ НЕП ЛВ СР</t>
  </si>
  <si>
    <t>BMW 5 SERIES 2003- СТ ЗАДН ДВ ОП ПР ТЕПЛООТР ТРИПЛ+УО</t>
  </si>
  <si>
    <t>BMW 5 SERIES 2003- СТ ЗАДН ДВ НЕП ПР ТЕПЛООТР ТРИПЛ ТЕПЛООТР</t>
  </si>
  <si>
    <t>BMW 5 SERIES 2003- СТ ПЕР ДВ ОП ПР ТЕПЛООТР ТРИПЛ+УО</t>
  </si>
  <si>
    <t>BMW 5 SERIES УН 2003- СТ ЗАДН ДВ ОП ПР ЗЛ</t>
  </si>
  <si>
    <t>BMW 5 SERIES УН 2003- СТ ЗАДН ДВ НЕП ПР ЗЛ</t>
  </si>
  <si>
    <t>BMW 5 SERIES СД 2003- СТ ПЕР ДВ ОП ПР ЗЛ</t>
  </si>
  <si>
    <t>BMW 5 SERIES СД 2003- СТ ЗАДН ДВ ОП ПР ЗЛ</t>
  </si>
  <si>
    <t>BMW 5 SERIES СД 2003- СТ ЗАДН ДВ НЕП ПР ЗЛ</t>
  </si>
  <si>
    <t>BMW 5 SERIES 2003- СТ ЗАДН ДВ НЕП ПР ЗЛ ТРИПЛ</t>
  </si>
  <si>
    <t>BMW 5 SERIES СД 2003- СТ ЗАДН ДВ ОП ПР СР</t>
  </si>
  <si>
    <t>BMW 5 SERIES СД 2003- СТ ЗАДН ДВ НЕП ПР СР</t>
  </si>
  <si>
    <t>5 SERIES GT F07 2009-</t>
  </si>
  <si>
    <t>BMW 5 SERIES GT F07 2009- СТ ВЕТР ЗЛ+ДД+VIN</t>
  </si>
  <si>
    <t>5 SERIES 2010-</t>
  </si>
  <si>
    <t>2010--</t>
  </si>
  <si>
    <t>BMW 5 SER 10 СТ ВЕТР ЗЛСР+КАМ+ДД+VIN</t>
  </si>
  <si>
    <t>BMW 5 SER 10 СТ ВЕТР ЗЛСР+ДД+VIN</t>
  </si>
  <si>
    <t>BMW 5 SER 10 СТ ВЕТР ЗЛ+ДД+VIN</t>
  </si>
  <si>
    <t>6 SERIES (E63) 2004-</t>
  </si>
  <si>
    <t>BMW 6 SERIES E63 КУП/КБ 2004- СТ ВЕТР ТЕПЛООТРЗЛ+ДД+VIN+ИЗМ ШЕЛК</t>
  </si>
  <si>
    <t>BMW 6 SERIES E63 КУП/КБ 2004-  СТ ВЕТР ТЕПЛООТР+ДД+ДИСПЛЕЙ+VIN+ИЗМ ШЕЛК</t>
  </si>
  <si>
    <t>BMW 6 SERIES E63 КУП 2004- СТ ВЕТР ЗЛЗЛ+ДД+VIN+ИЗМ ШЕЛК</t>
  </si>
  <si>
    <t>BMW 6 SERIES E63 КУП 2004- СТ ВЕТР ЗЛ+ДД+VIN+ДИСПЛЕЙ+ИЗМ ШЕЛК</t>
  </si>
  <si>
    <t>BMW 6 SERIES E63 КУП 2004- СТ ВЕТР ЗЛ+ДД+VIN+ИЗМ ШЕЛК</t>
  </si>
  <si>
    <t>BMW 6 SERIES E63 КП 2004- СТ ЗАДН ЗЛ+АНТ+СТОП+ИНК</t>
  </si>
  <si>
    <t>BMW 6 SERIES E63 КУП/КБ 2004-  СТ ПЕР ДВ ОП ЗЛ ЛВ+УО</t>
  </si>
  <si>
    <t>BMW 6 SERIES E63 КУП/КБ 2004-  СТ ПЕР ДВ ОП ЗЛ ПР+УО</t>
  </si>
  <si>
    <t>6 SERIES F12 CAB 2010-</t>
  </si>
  <si>
    <t>BMW 6 SERIES F12 CAB 2010-СТ ВЕТР ЗЛ+ДД</t>
  </si>
  <si>
    <t>7 SERIES (E32) 1987-1994</t>
  </si>
  <si>
    <t>1987-1994</t>
  </si>
  <si>
    <t>BMW 7 SERIES 1987-1994 СТ ВЕТР ЗЛГЛ+ЭО</t>
  </si>
  <si>
    <t>BMW 7 SERIES 1987-1994 СТ ВЕТР ЗЛЗЛ+КР</t>
  </si>
  <si>
    <t>BMW 7 SERIES 1987-1989 СТ ВЕТР ЗЛЗЛ+ЭО</t>
  </si>
  <si>
    <t>BMW 7 SERIES 1987-1994 СТ ВЕТР ЗЛ+КР</t>
  </si>
  <si>
    <t>BMW 7 SERIES 1987-1989 В/С НАБ КЛИПС</t>
  </si>
  <si>
    <t>BMW 7 SERIES E32 1993-  2PCS УСТ КОМПЛ ДЛЯ СТ ВЕТР</t>
  </si>
  <si>
    <t>BMW 7 SERIES СД 1987-1989 СТ ЗАДН ЗЛ+АНТ</t>
  </si>
  <si>
    <t>BMW 7 SERIES 1987-1994 СТ ПЕР ДВ ОП ЛВ ЗЛ</t>
  </si>
  <si>
    <t>BMW 7 SERIES 1987-1994 СТ ЗАДН ДВ ОП ЛВ ЗЛ</t>
  </si>
  <si>
    <t>BMW 7 SERIES 1987-1994 СТ ПЕР ДВ ОП ПР ЗЛ</t>
  </si>
  <si>
    <t>BMW 7 SERIES 1987-1994 СТ ЗАДН ДВ ОП ПР ЗЛ</t>
  </si>
  <si>
    <t>7 SERIES (E38) 1994-2001</t>
  </si>
  <si>
    <t>BMW 7 SERIES 1994-2001  СТ ВЕТР ЗЛЗЛ+ЭО+ДД+VIN</t>
  </si>
  <si>
    <t>BMW 7 SERIES 1994-2001  СТ ВЕТР ЗЛЗЛ+VIN+ЭО+ДД+ИЗМ ДД</t>
  </si>
  <si>
    <t>BMW 7 SERIES 1994-2001  СТ ВЕТР ЗЛЗЛ+ЭО+МЕСТО ПОД ДД+VIN+ИЗМ ШЕЛК</t>
  </si>
  <si>
    <t>BMW 7 SERIES 1994-2001  СТ ВЕТР ЗЛЗЛ+ЭО+МЕСТО ПОД ДД+ИЗМ ШЕЛК+VIN+ИЗМ ДД</t>
  </si>
  <si>
    <t>BMW 7 SERIES 1994-2001  СТ ВЕТР  ЗЛЗЛ+VIN+ЭО</t>
  </si>
  <si>
    <t>BMW 7 SERIES 1994-2001  СТ ВЕТР ЗЛ+ЭО+ДД+VIN+ИЗМ ДД</t>
  </si>
  <si>
    <t>BMW 7 SERIES 1994-2001  СТ ВЕТР ЗЛ+ЭО+VIN</t>
  </si>
  <si>
    <t>BMW 7 SERIES 1994-2001- 8PCS НАБ СОЕД ДЛЯ СТ ВЕТР</t>
  </si>
  <si>
    <t>BMW 7 SERIES 1994-2001  1PCS МОЛД  ДЛЯ СТ ВЕТР ВЕРХ</t>
  </si>
  <si>
    <t>BMW 7 SERIES СД 1994-2001  СТ ЗАДН ЗЛ+АНТ+СТОП</t>
  </si>
  <si>
    <t>BMW 7 SERIES 1994-2001  СТ ПЕР ДВ ОП ЛВ ЗЛ</t>
  </si>
  <si>
    <t>BMW 7 SERIES 1994-2001  СТ ЗАДН ДВ ОП ЛВ ЗЛ</t>
  </si>
  <si>
    <t>BMW 7 SERIES 1994-2001  СТ ПЕР ДВ ОП ПР ЗЛ</t>
  </si>
  <si>
    <t>BMW 7 SERIES 1994-2001  СТ ЗАДН ДВ ОП ПР ЗЛ</t>
  </si>
  <si>
    <t>7 SERIES (E65) 2001-</t>
  </si>
  <si>
    <t>BMW 7 SERIES 2001-2003 СТ ВЕТР ЗЛЗЛ+ДД+ЭО+VIN+ИЗМ ШЕЛК</t>
  </si>
  <si>
    <t>2001-2008</t>
  </si>
  <si>
    <t>BMW 7 SERIES 2001-  СТ ВЕТР ЗЛЗЛ+ЭО+ДД+VIN+ИЗМ ШЕЛК</t>
  </si>
  <si>
    <t>2003-2008</t>
  </si>
  <si>
    <t>BMW 7 SERIES 2003-  СТ ВЕТР ЗЛЗЛ+ЭО+ДД+VIN+ИЗМ ДД</t>
  </si>
  <si>
    <t>BMW 7 SERIES 2001-  СТ ВЕТР ЗЛ+ДД+VIN+ЭО+ИЗМ ШЕЛК</t>
  </si>
  <si>
    <t>BMW 7 SERIES 2001- МОЛД  ДЛЯ СТ ВЕТР</t>
  </si>
  <si>
    <t>BMW 7 SERIES СД 2001-  СТ ЗАДН ЗЛ+АНТ+УО+GPS+ТВ АНТ+ИЗМ ШЕЛК</t>
  </si>
  <si>
    <t>BMW 7 SERIES 2001-  СТ ПЕР ДВ ОП ЛВ ЗЛ</t>
  </si>
  <si>
    <t>BMW 7 SERIES 2001-  СТ ЗАДН ДВ ОП ЛВ ЗЛ</t>
  </si>
  <si>
    <t>BMW 7 SERIES 2001-  СТ ФОРТ ЗАДН НЕП ЛВ ЗЛ</t>
  </si>
  <si>
    <t>BMW 7 SERIES 2001-  СТ ПЕР ДВ ОП ПР ЗЛ</t>
  </si>
  <si>
    <t>BMW 7 SERIES 2001-  СТ ЗАДН ДВ ОП ПР ЗЛ</t>
  </si>
  <si>
    <t>BMW 7 SERIES 2001-  СТ ЗАДН ДВ ОП ПР ЗЛ+ИЗМ ИНК</t>
  </si>
  <si>
    <t>BMW 7 SERIES 2001-  СТ ФОРТ ЗАДН НЕП ПР ЗЛ</t>
  </si>
  <si>
    <t>7 SERIES 4Д СД 2008-</t>
  </si>
  <si>
    <t>BMW 7 SERIES 4Д СД 2008- СТ ВЕТР ЗЛСР+ДД+VIN</t>
  </si>
  <si>
    <t>BMW 7 SERIES 4Д СД 2008- СТ ПЕР ДВ ОП ЛВ ЗЛ</t>
  </si>
  <si>
    <t>BMW 7 SERIES 4Д СД 2008- СТ ПЕР ДВ ОП ПР ЗЛ</t>
  </si>
  <si>
    <t>728/733 1976-1987</t>
  </si>
  <si>
    <t>1976-1987</t>
  </si>
  <si>
    <t>BMW 728/733 1976-1987 СТ ВЕТР ЗЛ</t>
  </si>
  <si>
    <t>BMW 728/733 1976-1987 СТ ВЕТР ЗЛЗЛ</t>
  </si>
  <si>
    <t>8 SERIES (E31) 1989-1999</t>
  </si>
  <si>
    <t>1989-1999</t>
  </si>
  <si>
    <t>BMW 8 SERIES 1989-1999  СТ ВЕТР ЗЛЗЛ+КР</t>
  </si>
  <si>
    <t>NEW MINI 2000-</t>
  </si>
  <si>
    <t>2000-</t>
  </si>
  <si>
    <t>BMW MINI 2000-  СТ ВЕТР ЗЛЗЛ+VIN</t>
  </si>
  <si>
    <t>BMW MINI 2000- СТ ВЕТР ЗЛГЛ+VIN</t>
  </si>
  <si>
    <t>2003-</t>
  </si>
  <si>
    <t>BMW MINI 2003-  СТ ВЕТР ЗЛ+VIN+ДД+ИЗМ ШЕЛК</t>
  </si>
  <si>
    <t>BMW MINI 2000-  СТ ВЕТР ЗЛ+VIN</t>
  </si>
  <si>
    <t>BMW MINI 11/2003- СТ ВЕТР ЗЛ+VIN+ИЗМ ШЕЛК</t>
  </si>
  <si>
    <t>NEW MINI 2000 МОЛД  ДЛЯ СТ ВЕТР ЛВ</t>
  </si>
  <si>
    <t>NEW MINI 2000 МОЛД  ДЛЯ СТ ВЕТР ПР</t>
  </si>
  <si>
    <t>NEW MINI 2000 МОЛД  ДЛЯ СТ ВЕТР ВЕРХ</t>
  </si>
  <si>
    <t>BMW MINI СД 2000- СТ ЗАДН ДВ ЗЛ</t>
  </si>
  <si>
    <t>2001-</t>
  </si>
  <si>
    <t>BMW MINI 3Д 2001- СТ ПЕР ДВ ОП ЛВ ЗЛ</t>
  </si>
  <si>
    <t>BMW MINI 3Д 2001- СТ ПЕР ДВ ОП ПР ЗЛ</t>
  </si>
  <si>
    <t>MINI 3Д 2007-</t>
  </si>
  <si>
    <t>BMW MINI / MINI CLUBMAN 2007- СТ ВЕТР ЗЛ+ДД+VIN+ИЗМ ШЕЛК</t>
  </si>
  <si>
    <t>BMW MINI / MINI CLUBMAN 2007- СТ ВЕТР ЗЛ+VIN</t>
  </si>
  <si>
    <t>BMW X1 JEEP 2009-</t>
  </si>
  <si>
    <t>BMW X1 SUV 2010- СТ ПЕР ДВ ОП ЛВ ЗЛ</t>
  </si>
  <si>
    <t>BMW X1 SUV 2010- СТ ЗАДН ДВ ОП ЛВ ЗЛ</t>
  </si>
  <si>
    <t>BMW X1 JEEP 2009- ФОРТ ЗАДН НЕП ЛВ ЗЛ</t>
  </si>
  <si>
    <t>BMW X1 SUV 2010- СТ ЗАДН ДВ ОП ЛВ СР</t>
  </si>
  <si>
    <t>BMW X1 JEEP 2009- ФОРТ ЗАДН НЕП ЛВ СР</t>
  </si>
  <si>
    <t>BMW X1 SUV 2010- СТ ПЕР ДВ ОП ПР ЗЛ</t>
  </si>
  <si>
    <t>BMW X1 SUV 2010- СТ ЗАДН ДВ ОП ПР ЗЛ</t>
  </si>
  <si>
    <t>BMW X1 SUV 2010- СТ ФОРТ ЗАДН НЕП ПР ЗЛ</t>
  </si>
  <si>
    <t>BMW X1 SUV 2010- СТ ЗАДН ДВ ОП ПР СР</t>
  </si>
  <si>
    <t>BMW X1 JEEP 2009- ФОРТ ЗАДН НЕП ПР СР</t>
  </si>
  <si>
    <t>X3 SERIES (E83) 2003-</t>
  </si>
  <si>
    <t>BMW X3 2003-  СТ ВЕТР ЗЛЗЛ+ДД+VIN+УО+ИЗМ ШЕЛК</t>
  </si>
  <si>
    <t>BMW X3 E83 2003-СТ ВЕТР ЗЛЗЛ+ДД+VIN+ДО</t>
  </si>
  <si>
    <t>BMW X3 2003-  СТ ВЕТР ЗЛЗЛ+УО+VIN</t>
  </si>
  <si>
    <t>BMW X3 2003-  СТ ВЕТР ЗЛ+ДД+VIN+УО+ИЗМ ШЕЛК</t>
  </si>
  <si>
    <t>BMW X3 2003-  СТ ВЕТР ЗЛ+УО+VIN</t>
  </si>
  <si>
    <t>BMW X3 2003-  МОЛД  ДЛЯ СТ ВЕТР ВЕРХ</t>
  </si>
  <si>
    <t>BMW X3 ВН 2003-  СТ ЗАДН ЗЛ+АНТ+УО+GPS</t>
  </si>
  <si>
    <t>BMW X3 2003-  СТ ЗАДН ДВ ОП ЛВ ЗЛ PR+1 ОТВ</t>
  </si>
  <si>
    <t>BMW X3 2003-  СТ ПЕР ДВ ОП ЛВ ЗЛ</t>
  </si>
  <si>
    <t>BMW X3 2003-  СТ ЗАДН ДВ ОП ЛВ ЗЛ</t>
  </si>
  <si>
    <t>BMW X3 2003-  СТ ФОРТ ЛВ ЗЛ</t>
  </si>
  <si>
    <t>BMW X3 2003-  СТ ЗАДН ДВ ОП ПР ЗЛ PR</t>
  </si>
  <si>
    <t>BMW X3 2003-  СТ ПЕР ДВ ОП ПР ЗЛ</t>
  </si>
  <si>
    <t>BMW X3 2003-  СТ ЗАДН ДВ ОП ПР ЗЛ</t>
  </si>
  <si>
    <t>BMW X3 2003-  СТ ФОРТ ПР ЗЛ</t>
  </si>
  <si>
    <t>X3 SUV F25 2010-</t>
  </si>
  <si>
    <t>BMW X3 SUV F25 2010- СТ ВЕТР ЗЛСР+ДД+VIN</t>
  </si>
  <si>
    <t>BMW X3 SUV F25 2010- СТ ВЕТР ЗЛ+ДД+VIN</t>
  </si>
  <si>
    <t>BMW X3 SUV F25 2010-СТ ВЕТР ЗЛ+VIN</t>
  </si>
  <si>
    <t>BMW X3 SUV 2010- СТ ЗАДН ЗЛ+АНТ</t>
  </si>
  <si>
    <t>X5 SERIES (E53) 2000-2006</t>
  </si>
  <si>
    <t>2002-2006</t>
  </si>
  <si>
    <t>BMW X5 2002-2006  СТ ВЕТР ПРЗЛ+VIN</t>
  </si>
  <si>
    <t>2000-2006</t>
  </si>
  <si>
    <t>BMW X5 2000-2006  СТ ВЕТР ЗЛЗЛ+ДД+VIN</t>
  </si>
  <si>
    <t>BMW X5 2002-2006  СТ ВЕТР ЗЛЗЛ+ДД+VIN+ИЗМ ДД</t>
  </si>
  <si>
    <t>BMW X5 2000-2006  СТ ВЕТР ЗЛЗЛ+VIN</t>
  </si>
  <si>
    <t>BMW X5 2000-2006  СТ ВЕТР ЗЛ+ДД+VIN</t>
  </si>
  <si>
    <t>BMW X5 2001-2006  СТ ВЕТР ЗЛ+ДД+VIN+ИЗМ ДД</t>
  </si>
  <si>
    <t>BMW X5 2000-2006  СТ ВЕТР ЗЛ+VIN</t>
  </si>
  <si>
    <t>BMW X5 2000-2006 МОЛД  ДЛЯ СТ ВЕТР ВЕРХ</t>
  </si>
  <si>
    <t>BMW X5 ВН 2000-2006  СТ ЗАДН ТЗЛ+АНТ+УО</t>
  </si>
  <si>
    <t>BMW X5 ВН 2000-2006  СТ ЗАДН ЗЛ+АНТ+УО</t>
  </si>
  <si>
    <t>BMW X5 2000-2006  СТ ЗАДН ДВ ОП ЛВ ТЗЛ</t>
  </si>
  <si>
    <t>BMW X5 2000-2006  СТ ФОРТ ЗАДН НЕП ЛВ ТЗЛ</t>
  </si>
  <si>
    <t>BMW X5 2000-2006  СТ ПЕР ДВ ОП ЛВ ЗЛ+2ОТВ</t>
  </si>
  <si>
    <t>BMW X5 2000-2006  СТ ЗАДН ДВ ОП ЛВ ЗЛ+1ОТВ</t>
  </si>
  <si>
    <t>BMW X5 2000-2006  СТ ФОРТ ЗАДН НЕП ЛВ ЗЛ</t>
  </si>
  <si>
    <t>BMW X5 2000-2006  СТ ЗАДН ДВ ОП ПР ТЗЛ</t>
  </si>
  <si>
    <t>BMW X5 2000-2006  СТ ФОРТ ЗАДН НЕП ПР ТЗЛ</t>
  </si>
  <si>
    <t>BMW X5 2000-2006  СТ ПЕР ДВ ОП ПР ЗЛ+2ОТВ</t>
  </si>
  <si>
    <t>BMW X5 2000-2006  СТ ЗАДН ДВ ОП ПР ЗЛ+1ОТВ</t>
  </si>
  <si>
    <t>BMW X5 2000-2006  СТ ФОРТ ЗАДН НЕП ПР ЗЛ</t>
  </si>
  <si>
    <t>X5 SERIES (E70) 2006-</t>
  </si>
  <si>
    <t>BMW X5 (E70) 2006-  СТ ВЕТР ТЕПЛООТР+ДД+VIN+ДИСПЛЕЙ+ИЗМ ШЕЛК</t>
  </si>
  <si>
    <t>BMW X5 (E70) 2006-  СТ ВЕТР ЗЛЗЛ+ДД+VIN+ИЗМ ШЕЛК</t>
  </si>
  <si>
    <t>BMW X5 (E70) 2006-  СТ ВЕТР ЗЛЗЛ+VIN</t>
  </si>
  <si>
    <t>BMW X5 (E70) 2006-  СТ ВЕТР ЗЛСР+ДД+VIN+ИЗМ ШЕЛК</t>
  </si>
  <si>
    <t>BMW X5 (E70) 2006-  СТ ВЕТР ЗЛСР+VIN</t>
  </si>
  <si>
    <t>BMW X5 (E70) 2006-  СТ ВЕТР ЗЛ+ДД+VIN+ДИСПЛЕЙ+ИЗМ ШЕЛК</t>
  </si>
  <si>
    <t>BMW X5 (E70) 2006-  СТ ВЕТР ЗЛ+ДД+VIN+ИЗМ ШЕЛК</t>
  </si>
  <si>
    <t>BMW X5 (E70) 2006-  СТ ВЕТР ЗЛ+VIN</t>
  </si>
  <si>
    <t>BMW X5 (E70)06 СТ ВЕТР ПР+ДД+ДИСПЛЕЙ+VIN</t>
  </si>
  <si>
    <t>BMW X5 (E70) 2006-  СТ ПЕР ДВ ОП ЛВ ЗЛ</t>
  </si>
  <si>
    <t>BMW X5 (E70) 2006-  СТ ЗАДН ДВ ОП ЛВ ЗЛ</t>
  </si>
  <si>
    <t>BMW X5 (E70) 2006-  СТ ФОРТ ЗАДН НЕП ЛВ ЗЛ</t>
  </si>
  <si>
    <t>BMW X5 (E70) 2006-  СТ ПЕР ДВ ОП ПР ЗЛ</t>
  </si>
  <si>
    <t>BMW X5 (E70) 2006-  СТ ЗАДН ДВ ОП ПР ЗЛ</t>
  </si>
  <si>
    <t>BMW X5 (E70) 2006-  СТ ФОРТ ЗАДН НЕП ПР ЗЛ</t>
  </si>
  <si>
    <t>X6 2008-</t>
  </si>
  <si>
    <t>BMW X6 2008- СТ ВЕТР ЗЛСР+ДД+VIN</t>
  </si>
  <si>
    <t>BMW X6 2008- СТ ВЕТР ЗЛСР+ДД+VIN+ИЗМ ШЕЛК</t>
  </si>
  <si>
    <t>BMW X6 08- СТ ВЕТР ЗЕЛ + ДД + ДИСПЛ +VIN</t>
  </si>
  <si>
    <t>Z3 1996-2003</t>
  </si>
  <si>
    <t>BMW Z3 КП 1996-2003  СТ ВЕТР ЗЛЗЛ +VIN</t>
  </si>
  <si>
    <t>BMW Z3 КП 1996-2003  СТ ВЕТР ЗЛ+VIN</t>
  </si>
  <si>
    <t>BMW Z3 КБ/SPEEDSTER 96  МОЛД  ДЛЯ СТ ВЕТР</t>
  </si>
  <si>
    <t>BMW Z3 КП 1996-2003  СТ ЗАДН ЗЛ</t>
  </si>
  <si>
    <t>BMW Z3 КП 1996-2003  СТ БОК НЕП ЛВ ЗЛ</t>
  </si>
  <si>
    <t>BMW Z3 КП 1996-2003  СТ БОК НЕП ПР ЗЛ</t>
  </si>
  <si>
    <t>Z4 2003-2006</t>
  </si>
  <si>
    <t>2003-2006</t>
  </si>
  <si>
    <t>BMW Z4 2003-2006  СТ ВЕТР ЗЛ+ДД+VIN</t>
  </si>
  <si>
    <t>BMW Z4 2003-2006  МОЛД  ДЛЯ СТ ВЕТР</t>
  </si>
  <si>
    <t>Z4 2006-</t>
  </si>
  <si>
    <t>2006-2008</t>
  </si>
  <si>
    <t>BMW Z4 КП 2006-  СТ ВЕТР ЗЛЗЛ+ДД+VIN+ИЗМ ШЕЛК</t>
  </si>
  <si>
    <t>BMW Z4 КП 2006-  СТ ВЕТР ЗЛЗЛ+VIN</t>
  </si>
  <si>
    <t>BMW Z4 КП 2006-  СТ ВЕТР ЗЛ+ДД+VIN+ИЗМ ШЕЛК</t>
  </si>
  <si>
    <t>BMW Z4 КП 2006-  СТ ВЕТР ЗЛ+VIN</t>
  </si>
  <si>
    <t>CADILLAC</t>
  </si>
  <si>
    <t>BLS 10/2005-</t>
  </si>
  <si>
    <t>2005-</t>
  </si>
  <si>
    <t>CADILLAC BLS 10/2005-  СТ ВЕТР ЗЛ+VIN+УО/SAAB 9.3 СЕД 02  СТ ВЕТР ЗЛ+VIN+УО</t>
  </si>
  <si>
    <t>CADILLAC BLS 10/2005-  СТ ВЕТР ЗЛ+ДД+VIN+УО/SAAB 9.3 СЕД02  / SPORT COMBI 05 СТ ВЕТР ЗЛ+ДД+VIN+УО</t>
  </si>
  <si>
    <t>CADILLAC BLS 10/2005-  СТ ПЕР ДВ ОП ЛВ ЗЛ/SAAB 9.3 СЕД02  / SPORT COMBI 05 СТ ПЕР ДВ ОП ЛВ ЗЛ</t>
  </si>
  <si>
    <t>CADILLAC BLS 10/2005-  СТ ПЕР ДВ ОП ПР ЗЛ/SAAB 9.3 СЕД02  / SPORT COMBI 05 СТ ПЕР ДВ ОП ПР ЗЛ</t>
  </si>
  <si>
    <t>CTS 2003-</t>
  </si>
  <si>
    <t>2003-2007</t>
  </si>
  <si>
    <t>CADILLAC CTS 2003-  СТ ВЕТР ЗЛГЛ+АНТ+VIN+УО</t>
  </si>
  <si>
    <t>CADILLAC CTS 4Д 2003-  СТ ПЕР ДВ ОП ЛВ ЗЛ</t>
  </si>
  <si>
    <t>CADILLAC CTS 4Д 2003-  СТ ПЕР ДВ ОП ПР ЗЛ</t>
  </si>
  <si>
    <t>ESCALADE 5Д 1995-</t>
  </si>
  <si>
    <t>1995-2002</t>
  </si>
  <si>
    <t>CADILLAC ESCALADE 5Д 1995-  СТ ВЕТР ЗЛГЛ+ИНК</t>
  </si>
  <si>
    <t>SRX 2005-</t>
  </si>
  <si>
    <t>2005-2010</t>
  </si>
  <si>
    <t>CADILLAC SRX 2005-  СТ ВЕТР ЗЛГЛ+АНТ+УО</t>
  </si>
  <si>
    <t>CADILLAC SRX 2005-  СТ ПЕР ДВ ОП ЛВ ЗЛ</t>
  </si>
  <si>
    <t>CADILLAC SRX 2005-  СТ ПЕР ДВ ОП ПР ЗЛ</t>
  </si>
  <si>
    <t>STS 2005-</t>
  </si>
  <si>
    <t>CADILLAC STS 4Д 2005-  СТ ВЕТР ЗЛ+АКУСТИК+ДД+VIN+ИНК+ИЗМ ШЕЛК</t>
  </si>
  <si>
    <t>CHERY</t>
  </si>
  <si>
    <t>CHERY AMULET 2005-</t>
  </si>
  <si>
    <t>CHERY AMULET СД 2005- СТ ЗАДН</t>
  </si>
  <si>
    <t>CHERY AMULET СЕД 2005- СТ ЗАДН ДВ ОП ПР</t>
  </si>
  <si>
    <t>CHERY FORA/Vortex Estina 2006</t>
  </si>
  <si>
    <t>CHERY FORA/Vortex Estina 2006 4D СТ ВЕТР ЗЛГЛ</t>
  </si>
  <si>
    <t>CHERY TIGGO 2006-</t>
  </si>
  <si>
    <t>CHERY TIGGO 2006- СТ ЗАДН ДВ НЕП ЛВ ЗЛ</t>
  </si>
  <si>
    <t>CHERY TIGGO 2006- СТ ЗАДН ФОРТ ЛВ ЗЛ</t>
  </si>
  <si>
    <t>CHERY TIGGO 2006- СТ ЗАДН ДВ ОП ПР ЗЛ</t>
  </si>
  <si>
    <t>CHERY TIGGO 2006- СТ ЗАДН ДВ НЕП ПР ЗЛ</t>
  </si>
  <si>
    <t>CHERY TIGGO 2006- СТ ЗАДН ФОРТ ПР ЗЛ</t>
  </si>
  <si>
    <t>CHEVROLET/DAEWOO</t>
  </si>
  <si>
    <t>AVEO (KALOS) 2002-2006</t>
  </si>
  <si>
    <t>CHEVROLET/DAEWOO KALOS 2002-2006  СТ ВЕТР ЗЛГЛ</t>
  </si>
  <si>
    <t>CHEVROLET/DAEWOO KALOS 2002-2006  МОЛД  ДЛЯ СТ ВЕТР</t>
  </si>
  <si>
    <t>CHEVROLET/DAEWOO KALOS ХБ 2002-2006  СТ ЗАДН ЗЛ+УО</t>
  </si>
  <si>
    <t>CHEVROLET/DAEWOO KALOS СД 2002-2006  СТ ЗАДН ЗЛ+АНТ</t>
  </si>
  <si>
    <t>CHEVROLET/DAEWOO KALOS 2002-2006  СТ ПЕР ДВ ОП ЛВ ЗЛ</t>
  </si>
  <si>
    <t>CHEVROLET/DAEWOO KALOS 2002-2006  СТ ЗАДН ДВ ОП ЛВ ЗЛ</t>
  </si>
  <si>
    <t>CHEVROLET/DAEWOO KALOS 2002-2006  СТ БОК НЕП ЛВ ЗЛ+УО</t>
  </si>
  <si>
    <t>CHEVROLET/DAEWOO KALOS 2002-2006  СТ ПЕР ДВ ОП ПР ЗЛ</t>
  </si>
  <si>
    <t>CHEVROLET/DAEWOO KALOS 2002-2006  СТ ЗАДН ДВ ОП ПР ЗЛ</t>
  </si>
  <si>
    <t>CHEVROLET/DAEWOO KALOS 2002-2006  СТ БОК НЕП ПР ЗЛ+УО</t>
  </si>
  <si>
    <t>EVANDA/MAGNUS СЕД 2002-2006</t>
  </si>
  <si>
    <t>CHEVROLET/DAEWOO EVANDA/MAGNUS СЕД 2002-2006  СТ ВЕТР ЗЛГЛ</t>
  </si>
  <si>
    <t>CHEVROLET/DAEWOO EVANDA/MAGNUS СЕД 2002-2006 МОЛД  ДЛЯ СТ ВЕТР</t>
  </si>
  <si>
    <t>CHEVROLET/DAEWOO EVANDA/MAGNUS СД 2002-2006  СТ ЗАДН ЗЛ+АНТ</t>
  </si>
  <si>
    <t>CHEVROLET/DAEWOO EVANDA/MAGNUS СЕД 2002-2006  СТ ПЕР ДВ ОП ЛВ ЗЛ</t>
  </si>
  <si>
    <t>CHEVROLET/DAEWOO EVANDA/MAGNUS СЕД 2002-2006  СТ ЗАДН ДВ ОП ЛВ ЗЛ</t>
  </si>
  <si>
    <t>CHEVROLET/DAEWOO EVANDA/MAGNUS СЕД 2002-2006  СТ ФОРТ ЗАДН НЕП ЛВ ЗЛ</t>
  </si>
  <si>
    <t>CHEVROLET/DAEWOO EVANDA/MAGNUS СЕД 2002-2006  СТ ПЕР ДВ ОП ПР ЗЛ</t>
  </si>
  <si>
    <t>CHEVROLET/DAEWOO EVANDA/MAGNUS СЕД 2002-2006  СТ ЗАДН ДВ ОП ПР ЗЛ</t>
  </si>
  <si>
    <t>CHEVROLET/DAEWOO EVANDA/MAGNUS СЕД 2002-2006  СТ ФОРТ ЗАДН НЕП ПР ЗЛ</t>
  </si>
  <si>
    <t>TACUMA/REZZO 2000-</t>
  </si>
  <si>
    <t>2000-2008</t>
  </si>
  <si>
    <t>CHEVROLET/DAEWOO TACUMA/REZZO 2000-  СТ ВЕТР ЗЛГЛ</t>
  </si>
  <si>
    <t>CHEVROLET/DAEWOO TACUMA/REZZO 2005-  СТ ВЕТР ЗЛГЛ+ДД+ИЗМ ШЕЛК</t>
  </si>
  <si>
    <t>CHEVROLET/DAEWOO TACUMA/REZZO 2000-  МОЛД  ДЛЯ СТ ВЕТР</t>
  </si>
  <si>
    <t>CHEVROLET/DAEWOO TACUMA/REZZO 2000-  СТ ПЕР ДВ ОП ЛВ</t>
  </si>
  <si>
    <t>CHEVROLET/DAEWOO TACUMA/REZZO 2000-  СТ ЗАДН ДВ ОП ЛВ</t>
  </si>
  <si>
    <t>CHEVROLET/DAEWOO TACUMA/REZZO 2000-  СТ ПЕР ДВ ОП ПР</t>
  </si>
  <si>
    <t>CHEVROLET/DAEWOO TACUMA/REZZO 2000-  СТ ЗАДН ОП ПР ЗЛ</t>
  </si>
  <si>
    <t>CHEVROLET/DAEWOO TACUMA/REZZO МИН 2000- СТ ЗАДН ЗЛ+АНТ+СТОП</t>
  </si>
  <si>
    <t>CHEVROLET</t>
  </si>
  <si>
    <t>AVEO 2006-</t>
  </si>
  <si>
    <t>2006-2011</t>
  </si>
  <si>
    <t>CHEVROLET AVEO 2006-  СТ ВЕТР ЗЛГЛ</t>
  </si>
  <si>
    <t>CHEVROLET AVEO 2006-  МОЛД  ДЛЯ СТ ВЕТР ВЕРХ</t>
  </si>
  <si>
    <t>CHEVROLET AVEO СД 2006-  СТ ЗАДН ЗЛ+АНТ</t>
  </si>
  <si>
    <t>CHEVROLET AVEO 2006-  СТ ПЕР ДВ ОП ЛВ ЗЛ</t>
  </si>
  <si>
    <t>CHEVROLET AVEO 2006-  СТ ЗАДН ДВ ОП ЛВ ЗЛ</t>
  </si>
  <si>
    <t>CHEVROLET AVEO 2006-  СТ ПЕР ДВ ОП ПР ЗЛ</t>
  </si>
  <si>
    <t>CHEVROLET AVEO 2006-  СТ ЗАДН ДВ ОП ПР ЗЛ</t>
  </si>
  <si>
    <t>AVEO 2011-</t>
  </si>
  <si>
    <t>2011-</t>
  </si>
  <si>
    <t>CHEVROLET AVEO 2011- СТ ВЕТР ЗЛГЛ+VIN</t>
  </si>
  <si>
    <t>BERETTA COUPE 1994-1996</t>
  </si>
  <si>
    <t>1994-1995</t>
  </si>
  <si>
    <t>CHEVROLET BERETTA КУП 1994-1995  СТ ВЕТР ЗЛГЛ+VIN+ИЗМ ШЕЛК</t>
  </si>
  <si>
    <t>1987-1996</t>
  </si>
  <si>
    <t>CHEVROLET BERETTA СЕД+ХБ 1987-1996  СТ ВЕТР ЗЛГЛ+VIN</t>
  </si>
  <si>
    <t>BLAZER S/T10 / PU S/T10 2D+4D 1983-1992</t>
  </si>
  <si>
    <t>1983-1992</t>
  </si>
  <si>
    <t>CHEVROLET BLAZER S/T10 / PU S/T10 + 1983-1992  СТ ВЕТР ЗЛГЛ</t>
  </si>
  <si>
    <t>BLAZER S10/PICK-UP S10 / 1994-</t>
  </si>
  <si>
    <t>1994-</t>
  </si>
  <si>
    <t>CHEVROLET BLAZER S10/PICK UP S10 / 1994-  СТ ВЕТР ЗЛГЛ+VIN</t>
  </si>
  <si>
    <t>CAMARO КП+КБ 1993-1995</t>
  </si>
  <si>
    <t>1993-1995</t>
  </si>
  <si>
    <t>CHEVROLET CAMARO КП+КБ 1993-1995  СТ ВЕТР ЗЛГЛ+VIN</t>
  </si>
  <si>
    <t>CAPTIVA SUV 2006-</t>
  </si>
  <si>
    <t>CHEVROLET CAPTIVA 2006-  СТ ВЕТР ЗЛГЛ+VIN/OPEL ANTARA 2007-  СТ ВЕТР ЗЛГЛ+VIN</t>
  </si>
  <si>
    <t>CHEVROLET CAPTIVA 2006-  СТ ВЕТР ЗЛГЛ+ДД+VIN+ИЗМ ШЕЛК</t>
  </si>
  <si>
    <t>CHEVROLET CAPTIVA SUV 2006- СТ ВЕТР ЗЛ/ГЛ+VIN/OPEL ANTARA 2007-  СТ ВЕТР ЗЛГЛ+VIN</t>
  </si>
  <si>
    <t>CHEVROLET CAPTIVA 2006-  СТ ПЕР ДВ ОП ЛВ ЗЛ/OPEL ANTARA 2007- СТ ПЕР ДВ ОП ЛВ ЗЛ</t>
  </si>
  <si>
    <t>CHEVROLET CAPTIVA 2006-  СТ ЗАДН ДВ ОП ЛВ ЗЛ/OPEL ANTARA 2007- СТ ЗАДН ДВ ОП ЛВ ЗЛ</t>
  </si>
  <si>
    <t>CHEVROLET CAPTIVA 2006-  СТ ПЕР ДВ ОП ПР ЗЛ/OPEL ANTARA 2007- СТ ПЕР ДВ ОП ПР ЗЛ</t>
  </si>
  <si>
    <t>CHEVROLET CAPTIVA 2006-  СТ ЗАДН ДВ ОП ПР ЗЛ/OPEL ANTARA 2007- СТ ЗАДН ДВ ОП ПР ЗЛ</t>
  </si>
  <si>
    <t>CHEVR.TRUCKS: TAHOE 1995-1999</t>
  </si>
  <si>
    <t>CHEVROLET SUBURBAN +/PICK UP 1995-1999  СТ ВЕТР ЗЛГЛ+VIN+ИНК+ИЗМ КР</t>
  </si>
  <si>
    <t>CHEVROLET LUMINA 1995-1996 СЕД</t>
  </si>
  <si>
    <t>1995-1996</t>
  </si>
  <si>
    <t>CHEVROLET LUMINA СЕД 1995-1996  СТ ВЕТР ЗЛГЛ+VIN</t>
  </si>
  <si>
    <t>CRUZE 2009-</t>
  </si>
  <si>
    <t>CHEVROLET CRUZE 2009- СТ ВЕТР ЗЛГЛ+VIN</t>
  </si>
  <si>
    <t>EPICA 2006-</t>
  </si>
  <si>
    <t>2006-2012</t>
  </si>
  <si>
    <t>CHEVROLET EPICA 2006- СТ ВЕТР ЗЛГЛ</t>
  </si>
  <si>
    <t>CHEVROLET EPICA 2006- СТ ВЕТР ЗЛГЛ+ЭО</t>
  </si>
  <si>
    <t>CHEVROLET EPICA 2006- СТ ВЕТР ЗЛГЛ+ДД+ЭО+ИЗМ ШЕЛК</t>
  </si>
  <si>
    <t>CHEVROLET EPICA 2006- СТ ВЕТР ЗЛГЛ+ДД+ИЗМ ШЕЛК</t>
  </si>
  <si>
    <t>CHEVROLET EPICA 2006- СТ ПЕР ДВ ОП ЛВ ЗЛ</t>
  </si>
  <si>
    <t>CHEVROLET EPICA 2006- СТ ЗАДН ДВ ОП ЛВ ЗЛ</t>
  </si>
  <si>
    <t>CHEVROLET EPICA 2006- СТ ПЕР ДВ ОП ПР ЗЛ</t>
  </si>
  <si>
    <t>CHEVROLET EPICA 2006- СТ ЗАДН ДВ ОП ПР ЗЛ</t>
  </si>
  <si>
    <t>EXPRESS G1500 1996-</t>
  </si>
  <si>
    <t>1996-</t>
  </si>
  <si>
    <t>CHEVROLET EXPRESS G1500 1996-  СТ ВЕТР ЗЛГЛ+ИЗМ КР</t>
  </si>
  <si>
    <t>LACETTI (NUBIRA J200) 2003-</t>
  </si>
  <si>
    <t>CHEVROLET LACETTI/DAEWOO NUBIRA J200 2003- СТ ВЕТР ЗЛГЛ</t>
  </si>
  <si>
    <t>CHEVROLET LACETTI/DAEWOO NUBIRA J200 2004-  СТ ВЕТР ЗЛГЛ+АНТ</t>
  </si>
  <si>
    <t>CHEVROLET LACETTI/DAEWOO NUBIRA J200 2004-  СТ ВЕТР ЗЛГЛ+АНТ+ДД+ИЗМ ШЕЛК</t>
  </si>
  <si>
    <t>CHEVROLET LACETTI/DAEWOO NUBIRA J200 2003-  СТ ВЕТР ЗЛГЛ+ДД+ИЗМ ШЕЛК</t>
  </si>
  <si>
    <t>CHEVROLET LACETTI/DAEWOO NUBIRA J200 2003- СЕД  МОЛД  ДЛЯ СТ ВЕТР</t>
  </si>
  <si>
    <t>CHEVROLET LACETTI/DAEWOO NUBIRA J200 2003- ХБ  МОЛД ДЛЯ СТ ВЕТР</t>
  </si>
  <si>
    <t>CHEVROLET LACETTI/DAEWOO NUBIRA J200 УН 2004/10-  СТ ЗАДН ЗЛ+УО</t>
  </si>
  <si>
    <t>CHEVROLET LACETTI/DAEWOO NUBIRA J200 ХБ 2004- СТ ЗАДН+УО</t>
  </si>
  <si>
    <t>CHEVROLET LACETTI/DAEWOO NUBIRA J200 УН 2004/10- СТ ЗАДН ДВ ОП ЛВ ЗЛ</t>
  </si>
  <si>
    <t>CHEVROLET LACETTI/DAEWOO NUBIRA J200 УН 2004/10- СТ ЗАДН НЕП ЛВ ЗЛ</t>
  </si>
  <si>
    <t>CHEVROLET LACETTI/DAEWOO NUBIRA J200 2004- СТ ЗАДН ДВ ОП ЛВ ЗЛ</t>
  </si>
  <si>
    <t>CHEVROLET LACETTI/DAEWOO NUBIRA J200 2003- СТ ПЕР ДВ ОП ЛВ ЗЛ</t>
  </si>
  <si>
    <t>CHEVROLET LACETTI/DAEWOO NUBIRA J200 2003- СТ ЗАДН ДВ ОП ЛВ ЗЛ</t>
  </si>
  <si>
    <t>CHEVROLET LACETTI/DAEWOO NUBIRA J200 2004/10- СТ ЗАДН ДВ ОП ПР ЗЛ</t>
  </si>
  <si>
    <t>CHEVROLET LACETTI/DAEWOO NUBIRA J200 2004/10- СТ ЗАДН ДВ НЕП ПР ЗЛ</t>
  </si>
  <si>
    <t>CHEVROLET LACETTI/DAEWOO NUBIRA J200 2004- СТ ЗАДН ДВ ОП ПР ЗЛ</t>
  </si>
  <si>
    <t>CHEVROLET LACETTI/DAEWOO NUBIRA J200 2003- СТ ПЕР ДВ ОП ПР ЗЛ</t>
  </si>
  <si>
    <t>CHEVROLET LACETTI/DAEWOO NUBIRA J200 2003- СТ ЗАДН ДВ ОП ПР ЗЛ</t>
  </si>
  <si>
    <t>SPARK 2005-</t>
  </si>
  <si>
    <t>CHEVROLET MATIZ 5D 2005- СТ ВЕТР</t>
  </si>
  <si>
    <t>CHEVROLET SPARK 2005-  СТ ВЕТР ЗЛГЛ</t>
  </si>
  <si>
    <t>CHEVROLET SPARK 2005-  ХБ МОЛД  ДЛЯ СТ ВЕТР</t>
  </si>
  <si>
    <t>CHEVROLET SPARK ХБ 2005-  СТ ЗАДН ЗЛ+СТОП</t>
  </si>
  <si>
    <t>CHEVROLET SPARK ХБ 2005-  СТ ЗАДН ЗЛ+СТОП+ИЗМ ОТВ</t>
  </si>
  <si>
    <t>CHEVROLET SPARK 2005-  СТ ПЕР ДВ ОП ЛВ</t>
  </si>
  <si>
    <t>CHEVROLET SPARK 2005-  СТ ЗАДН ДВ ОП ЛВ</t>
  </si>
  <si>
    <t>CHEVROLET SPARK 2005-  СТ ПЕР ДВ ОП ЛВ ЗЛ</t>
  </si>
  <si>
    <t>CHEVROLET SPARK 2005-  СТ ЗАДН ДВ ОП ЛВ ЗЛ</t>
  </si>
  <si>
    <t>CHEVROLET SPARK 2005-  СТ ЗАДН ДВ ОП ПР</t>
  </si>
  <si>
    <t>CHEVROLET SPARK 2005-  СТ ПЕР ДВ ОП ПР ЗЛ</t>
  </si>
  <si>
    <t>CHEVROLET SPARK 2005-  СТ ЗАДН ДВ ОП ПР ЗЛ</t>
  </si>
  <si>
    <t>CHEVROLET MATIZ 5Д 2005- СТ ПЕР ДВ ОП ПР</t>
  </si>
  <si>
    <t>SPARK 2010-</t>
  </si>
  <si>
    <t>CHEVROLET SPARK 2010-СТ ВЕТР ЗЛГЛ+ЭО+VIN</t>
  </si>
  <si>
    <t>CHEVROLET SPARK 2010-СТ ВЕТР ЗЛ+VIN</t>
  </si>
  <si>
    <t>SUBURBAN 2007-</t>
  </si>
  <si>
    <t>CHEVROLET SUBURBAN/TAHOE/CADILLAC ESCALADE 07-СТ ВЕТР ЗЛ+УО</t>
  </si>
  <si>
    <t>TAHOE 2000-</t>
  </si>
  <si>
    <t>2004-2006</t>
  </si>
  <si>
    <t>CHEVROLET TAHOE 2004-  СТ ВЕТР ЗЛГЛ+ИЗМ ШЕЛК</t>
  </si>
  <si>
    <t>CHEVROLET TAHOE 2000-  СТ ВЕТР ЗЛГЛ+ИНК</t>
  </si>
  <si>
    <t>CHEVROLET TAHOE 2000-  СТ ПЕР ДВ ОП ЛВ ЗЛ</t>
  </si>
  <si>
    <t>TRAILBLAZER 2002-</t>
  </si>
  <si>
    <t>2002-</t>
  </si>
  <si>
    <t>CHEVROLET TRAILBLAZER 2002-  СТ ВЕТР ЗЛГЛ</t>
  </si>
  <si>
    <t>CHEVROLET TRAILBLAZER 2002-  СТ ВЕТР ЗЛГЛ+ДД</t>
  </si>
  <si>
    <t>CHEVROLET TRAILBLAZER 2002-  СТ ПЕР ДВ ОП ЛВ ЗЛ</t>
  </si>
  <si>
    <t>CHEVROLET TRAILBLAZER 2002-  СТ ПЕР ДВ ОП ПР ЗЛ</t>
  </si>
  <si>
    <t>CHRYSLER</t>
  </si>
  <si>
    <t>300 СЕД 1998-2004</t>
  </si>
  <si>
    <t>CHRYSLER 300 4Д СЕД 1998-2004  СТ ВЕТР ЗЛГЛ</t>
  </si>
  <si>
    <t>CHRYSLER 300 4Д СЕД 1998-  МОЛД  ДЛЯ СТ ВЕТР ВЕРХ</t>
  </si>
  <si>
    <t>CHRYSLER 300 4Д СЕД 1998-  МОЛД ДЛЯ СТ ВЕТР</t>
  </si>
  <si>
    <t>CHRYSLER 300/CONCORDE/LHS СЕД 11/1998-2004 СТ ПЕР ДВ ОП ЛВ ЗЛ+УО</t>
  </si>
  <si>
    <t>CHRYSLER 300/CONCORDE/LHS СЕД 11/1998-2004 СТ ПЕР ДВ ОП ПР ЗЛ+УО</t>
  </si>
  <si>
    <t>300C 2005-</t>
  </si>
  <si>
    <t>CHRYSLER 300C 04/2005-  СТ ВЕТР ЗЛ+VIN+ДД</t>
  </si>
  <si>
    <t>CHRYSLER 300C 04/2005-  СТ ВЕТР ЗЛ+VIN</t>
  </si>
  <si>
    <t>CHRYSLER 300C 04/2005-  МОЛД  ДЛЯ СТ ВЕТР ВЕРХ</t>
  </si>
  <si>
    <t>CHRYSLER 300C/DODGE MAGNUM 2005- СТ ПЕР ДВ ОП ЛВ ЗЛ</t>
  </si>
  <si>
    <t>CHRYSLER 300C/DODGE MAGNUM 2005- СТ ПЕР ДВ ОП ПР ЗЛ</t>
  </si>
  <si>
    <t>CHEROKEE (FCW 0952) 1987-2001</t>
  </si>
  <si>
    <t>1987-2001</t>
  </si>
  <si>
    <t>CHRYSLER CHEROKEE (FCW 0952) 1987-2001  СТ ВЕТР ЗЛГЛ/RENAULT CHEROKEE 87  СТ ВЕТР ЗЛГЛ</t>
  </si>
  <si>
    <t>1992-2001</t>
  </si>
  <si>
    <t>CHRYSLER CHEROKEE (FCW 0952) 1992-2001  СТ ВЕТР ЗЛГЛ+ИЗМ КР</t>
  </si>
  <si>
    <t>CHRYSLER CHEROKEE (FCW 0952) 1992-2001  МОЛД  ДЛЯ СТ ВЕТР</t>
  </si>
  <si>
    <t>CHRYSLER CHEROKEE (FCW 0952) ВН 1987-2001  СТ ЗАДН ЭО ЗЛ</t>
  </si>
  <si>
    <t>CHRYSLER CHEROKEE (FCW 0952) 3Д 1987-2001  СТ ПЕР ДВ ОП ЗЛ ЛВ/RENAULT CHEROKEE 87  СТ ПЕР ДВ ОП ЗЛ ЛВ</t>
  </si>
  <si>
    <t>CHRYSLER CHEROKEE (FCW 0952) 5Д 1987-2001  СТ ПЕР ДВ ОП ЗЛ ЛВ/RENAULT CHEROKEE 87  СТ ПЕР ДВ ОП ЗЛ ЛВ</t>
  </si>
  <si>
    <t>CHRYSLER CHEROKEE (FCW 0952) 1987-2001  СТ ФОРТ ЛВ ЗЛ</t>
  </si>
  <si>
    <t>CHRYSLER CHEROKEE (FCW 0952) 1987-2001  СТ ФОРТ ЗАДН НЕП ЗЛ ЛВ/RENAULT CHEROKEE 87  СТ ФОРТ ЗАДН НЕП ЗЛ ЛВ</t>
  </si>
  <si>
    <t>CHRYSLER CHEROKEE (FCW 0952) 1987-2001  СТ ПЕР ДВ ОП ЗЛ ПР/RENAULT CHEROKEE 87  СТ ПЕР ДВ ОП ЗЛ ПР</t>
  </si>
  <si>
    <t>CHRYSLER CHEROKEE 2Д/4Д 1993 1994-2001  СТ ФОРТ ПЕР НЕП ПР ЗЛ ОТКР+УО</t>
  </si>
  <si>
    <t>CHRYSLER CHEROKEE (FCW 0952) 1987-2001  СТ ПЕР ДВ ОП ПР ЗЛ</t>
  </si>
  <si>
    <t>CHRYSLER CHEROKEE (FCW 0952) 1987-2001  СТ ФОРТ ПР ЗЛ</t>
  </si>
  <si>
    <t>CHRYSLER CHEROKEE (FCW 0952) 1987-2001  СТ ФОРТ ЗАДН НЕП ЗЛ ПР/RENAULT CHEROKEE 87  СТ ФОРТ ЗАДН НЕП ЗЛ ПР</t>
  </si>
  <si>
    <t>CIRRUS СД 1995-2001</t>
  </si>
  <si>
    <t>CHRYSLER CIRRUS СД 1995-2001/CHRYSLER STRATUS SAL 1995- СТ ВЕТР ЗЛГЛ</t>
  </si>
  <si>
    <t>CHRYSLER CIRRUS СД 1995-2001/CHRYSLER STRATUS SAL 1995- СТ ЗАДН ЗЛ</t>
  </si>
  <si>
    <t>COMMANDER 2006-</t>
  </si>
  <si>
    <t>CHRYSLER JEEP COMMANDER 2006-  СТ ВЕТР ЗЛ+ДД+VIN</t>
  </si>
  <si>
    <t>CHRYSLER JEEP COMMANDER 2006-  СТ ВЕТР ЗЛ+VIN</t>
  </si>
  <si>
    <t>CHRYSLER JEEP COMMANDER 2006- МОЛД ДЛЯ СТВ ЕТР</t>
  </si>
  <si>
    <t>CONCORDE LH BODY / NE 10/1994-1998</t>
  </si>
  <si>
    <t>CHRYSLER CONCORDE LH BODY/NE 10/1994-1998 СТ ВЕТР ЗЛГЛ</t>
  </si>
  <si>
    <t>CHRYSLER CONCORDE LH BODY/NY 1995-1998 МОЛД ДЛЯ СТ ВЕТР</t>
  </si>
  <si>
    <t>CROSSFIRE 2003/08-</t>
  </si>
  <si>
    <t>CHRYSLER CROSSFIRE C2 2003-  СТ ВЕТР ЗЛ+VIN</t>
  </si>
  <si>
    <t>CHRYSLER CROSSFIRE C2 2003-  СТ ПЕР ДВ ОП ЛВ ЗЛ</t>
  </si>
  <si>
    <t>CHRYSLER CROSSFIRE C2 2003-  СТ ПЕР ДВ ОП ПР ЗЛ</t>
  </si>
  <si>
    <t>GRAND VOYAGER 2008-</t>
  </si>
  <si>
    <t>CHRYSLER GRAND VOYAGER 2008- СТ ВЕТР ЗЛ+VIN/DODGE GRAND CARAVAN 2008- СТ ВЕТР ЗЛ+VIN</t>
  </si>
  <si>
    <t>CHRYSLER GRAND VOYAGER 2008- СТ ВЕТР ЗЛГЛ+VIN</t>
  </si>
  <si>
    <t>GRAND VOYAGER 1992-1996</t>
  </si>
  <si>
    <t>1992-1996</t>
  </si>
  <si>
    <t>CHRYSLER GRAND VOYAGER 1992-1996 СТ ПЕР ДВ ОП ЛВ ЗЛ</t>
  </si>
  <si>
    <t>CHRYSLER GRAND VOYAGER 1992-1996 СТ ПЕР ДВ ОП ПР ЗЛ</t>
  </si>
  <si>
    <t>GRAND VOYAGER 1991-1995</t>
  </si>
  <si>
    <t>1991-1995</t>
  </si>
  <si>
    <t>CHRYSLER GRAND VOYAGER 1991-1995  СТ ВЕТР ЗЛГЛ+VIN</t>
  </si>
  <si>
    <t>CHRYSLER GRAND VOYAGER 1990-1996 МОЛД  ДЛЯ СТ ВЕТР</t>
  </si>
  <si>
    <t>CHRYSLER GRAND VOYAGER МИН 1991-1995  СТ ЗАДН ЭО ЗЛ+СТОП+УО+ИЗМ</t>
  </si>
  <si>
    <t>CHRYSLER GRAND VOYAGER 1991-1995  СТ ПЕР ДВ ОП ЛВ ЗЛ</t>
  </si>
  <si>
    <t>CHRYSLER GRAND VOYAGER 1991-1995  СТ ПЕР ДВ ОП ПР ЗЛ</t>
  </si>
  <si>
    <t>JEEP COMMANDER 2006-</t>
  </si>
  <si>
    <t>CHRYSLER COMMANDER 2006-  СТ ВЕТР ЗЛ+ДД+VIN</t>
  </si>
  <si>
    <t>CHRYSLER COMMANDER 2006-  СТ ВЕТР ЗЛ+VIN</t>
  </si>
  <si>
    <t>CHRYSLER COMMANDER 2006-  СТ ПЕР ДВ ОП ЛВ ЗЛ+ТРИПЛ+УО</t>
  </si>
  <si>
    <t>CHRYSLER COMMANDER 2006-  СТ ЗАДН ДВ ОП ЛВ ЗЛ</t>
  </si>
  <si>
    <t>CHRYSLER COMMANDER 2006-  СТ ЗАДН ДВ ОП ЛВ ТСР</t>
  </si>
  <si>
    <t>CHRYSLER COMMANDER 2006-  СТ ПЕР ДВ ОП ПР ЗЛ+ТРИПЛ+УО</t>
  </si>
  <si>
    <t>CHRYSLER COMMANDER 2006-  СТ ЗАДН ДВ ОП ПР ЗЛ</t>
  </si>
  <si>
    <t>CHRYSLER COMMANDER 2006-  СТ ЗАДН ДВ ОП ПР ТСР</t>
  </si>
  <si>
    <t>JEEP GRAND CHEROKEE 1993-1999</t>
  </si>
  <si>
    <t>1993-1999</t>
  </si>
  <si>
    <t>CHRYSLER GRAND CHEROKEE 1993-1999  СТ ВЕТР ЗЛГЛ+VIN</t>
  </si>
  <si>
    <t>CHRYSLER GRAND CHEROKEE 1993-1999 МОЛД ДЛЯ СТ ВЕТР</t>
  </si>
  <si>
    <t>CHRYSLER GRAND CHEROKEE 1993-1995 МОЛД ДЛЯ СТ ВЕТР ВЕРХ</t>
  </si>
  <si>
    <t>CHRYSLER GRAND CHEROKEE 1993-1999  СТ ПЕР ДВ ОП ЛВ ЗЛ+УО</t>
  </si>
  <si>
    <t>CHRYSLER GRAND CHEROKEE 1993-1999  СТ ЗАДН ДВ ОП ЛВ ЗЛ+УО</t>
  </si>
  <si>
    <t>CHRYSLER GRAND CHEROKEE 1993-1999  СТ ПЕР ДВ ОП ПР ЗЛ+УО</t>
  </si>
  <si>
    <t>CHRYSLER GRAND CHEROKEE 1993-1999  СТ ЗАДН ДВ ОП ПР ЗЛ+УО</t>
  </si>
  <si>
    <t>JEEP GRAND CHEROKEE 1999-2005</t>
  </si>
  <si>
    <t>1999-2005</t>
  </si>
  <si>
    <t>CHRYSLER GRAND CHEROKEE 1999-2005  СТ ВЕТР ЗЛГЛ</t>
  </si>
  <si>
    <t>CHRYSLER GRAND CHEROKEE 1999-2005  МОЛД  ДЛЯ СТ ВЕТР ВЕРХ</t>
  </si>
  <si>
    <t>2003-2005</t>
  </si>
  <si>
    <t>CHRYSLER GRAND CHEROKEE 2003-2005  СТ ПЕР ДВ ОП ЛВ ЗЛ+УО</t>
  </si>
  <si>
    <t>CHRYSLER GRAND CHEROKEE 2003-2005  СТ ПЕР ДВ ОП ПР ЗЛ+УО</t>
  </si>
  <si>
    <t>LE BARON СД 1989-1994</t>
  </si>
  <si>
    <t>1989-1994</t>
  </si>
  <si>
    <t>CHRYSLER LE BARON СД 1989-1994 СТ ВЕТР ЗЛГЛ</t>
  </si>
  <si>
    <t>NEON 4Д 2000-</t>
  </si>
  <si>
    <t>CHRYSLER NEON 4Д 2000-  СТ ВЕТР ЗЛГЛ</t>
  </si>
  <si>
    <t>CHRYSLER NEON 4P 2000-  СЕД МОЛД  ДЛЯ СТ ВЕТР ВЕРХ</t>
  </si>
  <si>
    <t>CHRYSLER NEON 4Д 2000-  СТ ПЕР ДВ ОП ЛВ ЗЛ</t>
  </si>
  <si>
    <t>CHRYSLER NEON 4Д 2000-  СТ ПЕР ДВ ОП ПР ЗЛ</t>
  </si>
  <si>
    <t>NEON 1994-1999</t>
  </si>
  <si>
    <t>CHRYSLER NEON 1994-1999  СТ ВЕТР ЗЛГЛ</t>
  </si>
  <si>
    <t>CHRYSLER NEON 2Д/4Д 1995-1999 МОЛД  ДЛЯ СТ ВЕТР</t>
  </si>
  <si>
    <t>CHRYSLER NEON 1995-1999  СТ ПЕР ДВ ОП ПР ЗЛ</t>
  </si>
  <si>
    <t>PT CRUISER 2000-</t>
  </si>
  <si>
    <t>2000-2009</t>
  </si>
  <si>
    <t>CHRYSLER PT CRUISER 2000-  СТ ВЕТР ЗЛГЛ+ИНК</t>
  </si>
  <si>
    <t>CHRYSLER PT CRUISER 2000-  СТ ВЕТР ЗЛ+ИНК</t>
  </si>
  <si>
    <t>CHRYSLER PT CRUISER МИН 2000-  СТ ЗАДН ЗЛ+VIN+СТОП+УО</t>
  </si>
  <si>
    <t>CHRYSLER PT CRUISER 2000-  СТ ЗАДН ДВ ОП ЛВ ТЗЛ</t>
  </si>
  <si>
    <t>CHRYSLER PT CRUISER 2000-  СТ ПЕР ДВ ОП ЛВ ЗЛ</t>
  </si>
  <si>
    <t>CHRYSLER PT CRUISER 2000-  СТ ЗАДН ДВ ОП ЛВ ЗЛ</t>
  </si>
  <si>
    <t>CHRYSLER PT CRUISER 2000-  СТ ЗАДН ДВ ОП ПР ТЗЛ</t>
  </si>
  <si>
    <t>CHRYSLER PT CRUISER 2000-  СТ ПЕР ДВ ОП ПР ЗЛ</t>
  </si>
  <si>
    <t>CHRYSLER PT CRUISER 2000-  СТ ЗАДН ДВ ОП ПР ЗЛ</t>
  </si>
  <si>
    <t>SEBRING 2001-</t>
  </si>
  <si>
    <t>CHRYSLER SEBRING 2001- СТ ВЕТР ЗЛГЛ</t>
  </si>
  <si>
    <t>CHRYSLER SEBRING 2001- СЕД 4Д  СТ ПЕР ДВ ОП ЛВ ЗЛ+УО</t>
  </si>
  <si>
    <t>CHRYSLER SEBRING 2001-  СТ ПЕР ДВ ОП ПР ЗЛ+УО</t>
  </si>
  <si>
    <t>VOYAGER 1996-</t>
  </si>
  <si>
    <t>CHRYSLER VOYAGER 03/1997-2003  СТ ВЕТР ЗЛГЛ+ЭО+ИЗМ ЭО</t>
  </si>
  <si>
    <t>CHRYSLER VOYAGER 2001-  СТ ВЕТР ЭО ЗЛГЛ+ЭО+ИЗМ ЭО</t>
  </si>
  <si>
    <t>CHRYSLER VOYAGER 2003-  СТ ВЕТР ЗЛ</t>
  </si>
  <si>
    <t>CHRYSLER VOYAGER 2003-  СТ ВЕТР ЗЛГЛ</t>
  </si>
  <si>
    <t>CHRYSLER VOYAGER 1996-  МОЛД  ДЛЯ СТ ВЕТР</t>
  </si>
  <si>
    <t>1996-2001</t>
  </si>
  <si>
    <t>CHRYSLER VOYAGER МИН 1996-  СТ ЗАДН ЭО ЗЛ+VIN+СТОП</t>
  </si>
  <si>
    <t>CHRYSLER VOYAGER МИН 1996-  СТ ЗАДН ЗЛ+СТОП+ИЗМ ЭО</t>
  </si>
  <si>
    <t>CHRYSLER VOYAGER 1996-  СТ ПЕР ДВ ОП ЛВ ЗЛ+УО</t>
  </si>
  <si>
    <t>CHRYSLER VOYAGER/GRAND VOYAGER MPV 1996- СТ ЗАДН ОП ТЗЛ ЛВ+УО+ИЗМ ИНК</t>
  </si>
  <si>
    <t>JEEP</t>
  </si>
  <si>
    <t>COMPASS 3Д+5Д 2007-</t>
  </si>
  <si>
    <t>JEEP COMPASS 3Д+5Д 2007-  СТ ВЕТР ЗЛ</t>
  </si>
  <si>
    <t>LIBERTY 2006-</t>
  </si>
  <si>
    <t>JEEP LIBERTY 4Д UTILITY 2006-  JEEP 5Д СТ ПЕР ДВ ОП ЛВ ЗЛ</t>
  </si>
  <si>
    <t>JEEP LIBERTY 4Д UTILITY 2006-  JEEP 5Д СТ ЗАДН ДВ ОП ЛВ ЗЛ</t>
  </si>
  <si>
    <t>JEEP LIBERTY 4Д UTILITY 2006-  JEEP 5Д СТ ЗАДН ДВ ОП ЛВ СР</t>
  </si>
  <si>
    <t>JEEP LIBERTY 4Д UTILITY 2006-  JEEP 5Д СТ ПЕР ДВ ОП ПР ЗЛ</t>
  </si>
  <si>
    <t>JEEP LIBERTY 4Д UTILITY 2006-  JEEP 5Д СТ ЗАДН ДВ ОП ПР ЗЛ</t>
  </si>
  <si>
    <t>JEEP LIBERTY 4Д UTILITY 2006-  JEEP 5Д СТ ЗАДН ДВ ОП ПР СР</t>
  </si>
  <si>
    <t>WRANGLER I 1987-1997</t>
  </si>
  <si>
    <t>1987-1997</t>
  </si>
  <si>
    <t>JEEP WRANGLER I 1992-1997  СТ ВЕТР ЗЛ+ИЗМ ШЕЛК/RENAULT WRANGLER 1987- СТ ВЕТР ЗЛ+ИЗМ ШЕЛК</t>
  </si>
  <si>
    <t>JEEP WRANGLER I 1992-1997  СТ ВЕТР ЗЛГЛ+ИЗМ ШЕЛК</t>
  </si>
  <si>
    <t>JEEP WRANGLER I 1992-1997  МОЛД ДЛЯ СТ ВЕТР</t>
  </si>
  <si>
    <t>WRANGLER III 3Д+5Д 2007-</t>
  </si>
  <si>
    <t>JEEP WRANGLER III 3Д+5Д 2007-  СТ ВЕТР ЗЛ</t>
  </si>
  <si>
    <t>CITROEN</t>
  </si>
  <si>
    <t>2 CV 1963-1990</t>
  </si>
  <si>
    <t>1963-1990</t>
  </si>
  <si>
    <t>CITROEN 2 CV 1963-1990 СТ ВЕТР</t>
  </si>
  <si>
    <t>AX 1986-1998</t>
  </si>
  <si>
    <t>1986-1998</t>
  </si>
  <si>
    <t>CITROEN AX 1986-1998  СТ ВЕТР БР КР+ИЗМ КР</t>
  </si>
  <si>
    <t>CITROEN AX 1986-1998  СТ ВЕТР КР+ИЗМ КР</t>
  </si>
  <si>
    <t>CITROEN AX 1986-1998  СТ ВЕТР ЗЛ КР+ИЗМ КР</t>
  </si>
  <si>
    <t>CITROEN AX 1986-1998  СТ ВЕТР ЗЛГЛ+ИЗМ КР</t>
  </si>
  <si>
    <t>CITROEN AX ХБ 1990-1998  СТ ЗАДН ОТВ+ИЗМ РАЗМ</t>
  </si>
  <si>
    <t>CITROEN AX ХБ 1990-1998  СТ ЗАДН ЗЛ ОТВ+ИЗМ РАЗМ</t>
  </si>
  <si>
    <t>CITROEN AX 3Д 1986-1998  СТ ПЕР ДВ ОП ЛВ БР</t>
  </si>
  <si>
    <t>CITROEN AX 3Д 1986-1998  СТ ПЕР ДВ ОП ЛВ</t>
  </si>
  <si>
    <t>CITROEN AX 3Д 1986-1998  СТ ПЕР ДВ НЕП ЛВ</t>
  </si>
  <si>
    <t>CITROEN AX 3Д 1986-1998  СТ БОК НЕП ЛВ ОТКР+ИЗМ ОТВ c 191991-1998</t>
  </si>
  <si>
    <t>CITROEN AX 5Д 1986-1998  СТ ПЕР ДВ ОП ЛВ</t>
  </si>
  <si>
    <t>CITROEN AX 5Д 1986-1998  СТ ЗАДН ДВ ОП ЛВ</t>
  </si>
  <si>
    <t>CITROEN AX 3Д 1986-1998  СТ ПЕР ДВ ОП ЛВ ЗЛ</t>
  </si>
  <si>
    <t>CITROEN AX 3Д 1986-1998  СТ ФОРТ ПЕР НЕП ЛВ ЗЛ</t>
  </si>
  <si>
    <t>1991-1998</t>
  </si>
  <si>
    <t>CITROEN AX 3Д 1991-1998  СТ БОК ПОД ЛВ ЗЛ+3 ОТВ+ОТКР+ИЗМ ОТВ</t>
  </si>
  <si>
    <t>CITROEN AX 5Д 1986-1998  СТ ПЕР ДВ ОП ЛВ ЗЛ</t>
  </si>
  <si>
    <t>CITROEN AX 5Д 1986-1998  СТ ЗАДН ДВ ОП ЛВ ЗЛ</t>
  </si>
  <si>
    <t>CITROEN AX 3Д 1986-1998  СТ ПЕР ДВ ОП ПР</t>
  </si>
  <si>
    <t>CITROEN AX 3Д 1986-1998  СТ ПЕР ДВ НЕП ПР</t>
  </si>
  <si>
    <t>CITROEN AX 5Д 1986-1998  СТ ПЕР ДВ ОП ПР</t>
  </si>
  <si>
    <t>CITROEN AX 5Д 1986-1998  СТ ЗАДН ДВ ОП ПР</t>
  </si>
  <si>
    <t>CITROEN AX 3Д 1986-1998  СТ ПЕР ДВ ОП ПР ЗЛ</t>
  </si>
  <si>
    <t>CITROEN AX 3Д 1986-1998  СТ ФОРТ ПЕР НЕП ПР ЗЛ</t>
  </si>
  <si>
    <t>CITROEN AX 3Д 1986-1998  СТ БОК ПР ЗЛ</t>
  </si>
  <si>
    <t>CITROEN AX 5Д 1986-1998  СТ ПЕР ДВ ОП ПР ЗЛ</t>
  </si>
  <si>
    <t>CITROEN AX 5Д 1986-1998  СТ ЗАДН ДВ ОП ПР ЗЛ</t>
  </si>
  <si>
    <t>BERLINGO 1996-2008</t>
  </si>
  <si>
    <t>CITROEN BERLINGO 2001-2008  СТ ВЕТР ТЕПЛООТР+ИЗМ ДЕР ЗЕРК/PEUGEOT PARTNER 2001-2008 СТ ВЕТР ТЕПЛООТР</t>
  </si>
  <si>
    <t>1996-2008</t>
  </si>
  <si>
    <t>CITROEN BERLINGO 1996-2008  СТ ВЕТР/PEUGEOT PARTNER 1996-2008 СТ ВЕТР</t>
  </si>
  <si>
    <t>CITROEN BERLINGO 1996-2001  СТ ВЕТР+ИЗМ ДЕР ЗЕРК/PEUGEOT PARTNER 2001- СТ ВЕТР+КР</t>
  </si>
  <si>
    <t>CITROEN BERLINGO 1996-2008  СТ ВЕТР ЗЛ/PEUGEOT PARTNER 1996-2008 СТ ВЕТР ЗЛ</t>
  </si>
  <si>
    <t>CITROEN BERLINGO 1996-2001  СТ ВЕТР ЗЛ+ИЗМ ДЕР ЗЕРК/PEUGEOT PARTNER 2001- СТ ВЕТР ЗЛ+КР</t>
  </si>
  <si>
    <t>CITROEN BERLINGO 1996-2001  СТ ВЕТР ЗЛГЛ+ИЗМ ДЕР ЗЕРК/PEUGEOT PARTNER 2001- СТ ВЕТР ЗЛГЛ</t>
  </si>
  <si>
    <t>CITROEN BERLINGO 1996-2001  СТ ВЕТР ЗЛЗЛ+ИЗМ ДЕР ЗЕРК</t>
  </si>
  <si>
    <t>CITROEN BERLINGO 2001-2008  СТ ВЕТР ЗЛ+ДД+ИЗМ ДЕР ЗЕРК/PEUGEOT PARTNER 2001-2008 СТ ВЕТР ЗЛ+ДД</t>
  </si>
  <si>
    <t>CITROEN BERLINGO 1996-  В/С УСТ КОМПЛ ДЛЯ СТ ВЕТР СО СПЕЙС</t>
  </si>
  <si>
    <t>CITROEN BERLINGO МИН 1996-2008  СТ ЗАДН/PEUGEOT PARTNER 1996-2008 СТ ЗАДН</t>
  </si>
  <si>
    <t>CITROEN BERLINGO МИН 1996-2008  СТ ЗАДН ЛВ Б/ЭО/PEUGEOT PARTNER 1996-2008 СТ ЗАДН ЛВ Б/ЭО</t>
  </si>
  <si>
    <t>CITROEN BERLINGO МИН 1996-2008  СТ ЗАДН ПР Б/ЭО/PEUGEOT PARTNER 1996-2008 СТ ЗАДН ПР Б/ЭО</t>
  </si>
  <si>
    <t>CITROEN BERLINGO МИН 1996-2008  СТ ЗАДН ЗЛ/PEUGEOT PARTNER 1996-2008 СТ ЗАДН ЗЛ</t>
  </si>
  <si>
    <t>CITROEN BERLINGO МИН 1996-2008  СТ ЗАДН ЭО ЛВ ЗЛ/PEUGEOT PARTNER 1996-2008 СТ ЗАДН ЗЛ ЛВ</t>
  </si>
  <si>
    <t>CITROEN BERLINGO МИН 1996-2008  СТ ЗАДН ЛВ ЗЛ Б/ЭО/PEUGEOT PARTNER 1996-2008 СТ ЗАДН ЗЛ ЛВ Б/ЭО</t>
  </si>
  <si>
    <t>CITROEN BERLINGO МИН 1996-2008  СТ ЗАДН ПР ЭО ЗЛ/PEUGEOT PARTNER 1996-2008 СТ ЗАДН ЗЛ ПР</t>
  </si>
  <si>
    <t>CITROEN BERLINGO МИН 1996-2008  СТ ЗАДН ПР ЗЛ Б/ЭО/PEUGEOT PARTNER 1996-2008 СТ ЗАДН ЗЛ ПР Б/ЭО</t>
  </si>
  <si>
    <t>CITROEN BERLINGO 1996-2008  СТ ПЕР ДВ ОП ЛВ +2 ОТВ/PEUGEOT PARTNER 1996-2008  СТ ПЕР ДВ ОП ЛВ +2 ОТВ</t>
  </si>
  <si>
    <t>CITROEN BERLINGO 1996-2008  СТ СР ЛВ /PEUGEOT PARTNER 1996-2008 СТ СР ЛВ</t>
  </si>
  <si>
    <t>CITROEN BERLINGO 1996-2008  СТ СР ЛВ ОТКР /PEUGEOT PARTNER 1996-2008 СТ СР ЛВ ОТКР</t>
  </si>
  <si>
    <t>CITROEN BERLINGO 1996-2008  СТ БОК НЕП ОТКР ЛВ+1ОТВ/PEUGEOT PARTNER 1996-2008 СТ БОК НЕП ОТКР ЛВ+1ОТВ</t>
  </si>
  <si>
    <t>CITROEN BERLINGO 1996-2008  СТ ПЕР ДВ ОП ЛВ ЗЛ+2 ОТВ/PEUGEOT PARTNER 1996-2008 СТ ПЕР ДВ ОП ЛВ ЗЛ+2 ОТВ</t>
  </si>
  <si>
    <t>CITROEN BERLINGO 1996-2008  СТ СР ЗЛ ЛВ/PEUGEOT PARTNER 1996-2008 СТ СР ЗЛ ЛВ</t>
  </si>
  <si>
    <t>CITROEN BERLINGO 1996-2008  СТ СР ЛВ ЗЛ+3ОТВ+ОТКР/PEUGEOT PARTNER 1996-2008 СТ СР ЗЛ ОТКР</t>
  </si>
  <si>
    <t>CITROEN BERLINGO 1996-2008  СТ БОК НЕП ЛВ ЗЛ+1ОТВ+ОТКР/PEUGEOT PARTNER 1996-2008 СТ ЗАДН ЗЛ НЕП ОТКР</t>
  </si>
  <si>
    <t>CITROEN BERLINGO 1996-2008  СТ ПЕР ДВ ОП ПР+2 ОТВ/PEUGEOT PARTNER 1996-2008 СТ ПЕР ДВ ОП ПР +2ОТВ</t>
  </si>
  <si>
    <t>CITROEN BERLINGO 1996-2008  СТ СР ПР/PEUGEOT PARTNER 1996-2008 СТ СР ПР</t>
  </si>
  <si>
    <t>CITROEN BERLINGO 1996-2008  СТ СР ПР ОТКР/PEUGEOT PARTNER 1996-2008  СТ СР ПР ОТКР</t>
  </si>
  <si>
    <t>CITROEN BERLINGO 1996-2008  СТ БОК НЕП ОТКР ПР+1ОТВ/PEUGEOT PARTNER 1996-2008  СТ БОК НЕП ОТКР ПР+1ОТВ</t>
  </si>
  <si>
    <t>CITROEN BERLINGO 1996-2008  СТ ПЕР ДВ ОП ПР ЗЛ+2 ОТВ/PEUGEOT PARTNER 1996-2008  СТ ПЕР ДВ ОП ПР ЗЛ+2 ОТВ</t>
  </si>
  <si>
    <t>CITROEN BERLINGO 1996-2008  СТ СР ЗЛ ПР/PEUGEOT PARTNER 1996-2008  СТ СР ЗЛ ПР</t>
  </si>
  <si>
    <t>CITROEN BERLINGO 1996-2008  СТ СР ПР ЗЛ+3ОТВ+ОТКР</t>
  </si>
  <si>
    <t>CITROEN BERLINGO 1996-2008  СТ БОК НЕП ПР ЗЛ+1ОТВ+ОТКР/PEUGEOT PARTNER 1996-2008  СТ БОК НЕП ПР ЗЛ+1ОТВ+ОТКР</t>
  </si>
  <si>
    <t>CITROEN BERLINGO 1996-2008  СТ БОК НЕП ОТКР ПР ЗЛ/PEUGEOT PARTNER 1996-2008  СТ БОК НЕП ОТКР ПР ЗЛ</t>
  </si>
  <si>
    <t>1999-2008</t>
  </si>
  <si>
    <t>CITROEN BERLINGO 1999-2008  СТ ЗАДН ДВ ОП ЗЛ ПР+УО/PEUGEOT PARTNER PEOPLE VAN 1999-2008  СТ ЗАДН ДВ ОП ЗЛ ПР+УО</t>
  </si>
  <si>
    <t>BERLINGO 2008-</t>
  </si>
  <si>
    <t>CITROEN BERLINGO 2008-  СТ ВЕТР ЗЛ+VIN+ИНК+ИЗМ ДЕР ЗЕРК/PEUGEOT PARTNER 2008- СТ ВЕТР ЗЛ+VIN+ИНК</t>
  </si>
  <si>
    <t>CITROEN BERLINGO 2008-  СТ ВЕТР ЗЛ+VIN+ИНК/PEUGEOT PARTNER 2008- СТ ВЕТР ЗЛ+VIN+ИНК</t>
  </si>
  <si>
    <t>CITROEN BERLINGO 2008- СТ ВЕТР ЗЛ+ДД+VIN+ИНК</t>
  </si>
  <si>
    <t>CITROEN BERLINGO 2008- СТ ЗАДН ЗЛ</t>
  </si>
  <si>
    <t>CITROEN BERLINGO 2008- СТ ЗАДН ЗЛ ЛВ</t>
  </si>
  <si>
    <t>CITROEN BERLINGO 2008- СТ ЗАДН ЗЛ ПР</t>
  </si>
  <si>
    <t>CITROEN BERLINGO 2008- СТ ПЕР ДВ ОП ЗЛ ПР</t>
  </si>
  <si>
    <t>CITROEN BERLINGO VAN 3Д  08 СТ ПЕР ДВ ОП ЛВ ЗЛ</t>
  </si>
  <si>
    <t>BX 1983-1994</t>
  </si>
  <si>
    <t>CITROEN BX 1983-1994  СТ ВЕТР БР КР+ИЗМ КР</t>
  </si>
  <si>
    <t>CITROEN BX 1983-1994  СТ ВЕТР КР+ИЗМ КР</t>
  </si>
  <si>
    <t>CITROEN BX 1983-1994  СТ ВЕТР ЗЛ КР+ИЗМ КР</t>
  </si>
  <si>
    <t>CITROEN BX I/II СЕД+BRK 1983-1992 МОЛД  ДЛЯ СТ ВЕТР</t>
  </si>
  <si>
    <t>CITROEN BX УН 1983-1994  СТ ЗАДН ДВ ОТВ</t>
  </si>
  <si>
    <t>CITROEN BX ХБ 1983-1994  СТ ЗАДН</t>
  </si>
  <si>
    <t>CITROEN BX ХБ 1983-1994  СТ ЗАДН ЗЛ</t>
  </si>
  <si>
    <t>CITROEN BX СЕД 1983-1992 МОЛД  ДЛЯ СТ ЗАДН</t>
  </si>
  <si>
    <t>CITROEN BX 1983-1994  СТ ПЕР ДВ ОП ЛВ</t>
  </si>
  <si>
    <t>CITROEN BX 1983-1994  СТ ФОРТ ЗАДН НЕП ЛВ</t>
  </si>
  <si>
    <t>CITROEN BX 1983-1994  СТ ПЕР ДВ ОП ЛВ ЗЛ</t>
  </si>
  <si>
    <t>CITROEN BX 1987-1994  СТ ЗАДН ДВ ОП ЛВ ЗЛ</t>
  </si>
  <si>
    <t>CITROEN BX 1983-1994  СТ БОК НЕП ЛВ ЗЛ</t>
  </si>
  <si>
    <t>CITROEN BX 1983-1994  СТ БОК НЕП ПР БР</t>
  </si>
  <si>
    <t>CITROEN BX 1983-1994  СТ ПЕР ДВ ОП ПР</t>
  </si>
  <si>
    <t>CITROEN BX 1983-1994  СТ ФОРТ ЗАДН НЕП ПР</t>
  </si>
  <si>
    <t>CITROEN BX 1983-1994  СТ ПЕР ДВ ОП ПР ЗЛ</t>
  </si>
  <si>
    <t>CITROEN BX 1987-1994  СТ ЗАДН ДВ ОП ПР ЗЛ</t>
  </si>
  <si>
    <t>CITROEN BX 1983-1994  СТ БОК НЕП ПР ЗЛ</t>
  </si>
  <si>
    <t>C1 2005-</t>
  </si>
  <si>
    <t>CITROEN C1 2005-  СТ ВЕТР ЗЛ/PEUGEOT 107 CIT C1 TYT AYGO 2005-  СТ ВЕТР ЗЛ</t>
  </si>
  <si>
    <t>CITROEN C1 ХБ 2005-  СТ ЗАДН ЗЛ ОТКР/PEUGEOT 107 CIT C1 2005- СТ ЗАДН ЗЛ ОТКР</t>
  </si>
  <si>
    <t>CITROEN C1 2005-  СТ ЗАДН ЗЛ ОТКР/PEUGEOT 107 CIT C1 2005- СТ ЗАДН ЗЛ ОТКР</t>
  </si>
  <si>
    <t>CITROEN C1 3Д 2005-  СТ БОК НЕП ЛВ ЗЛ/PEUGEOT 107 3Д 2005- СТ БОК ЛВ ЗЛ</t>
  </si>
  <si>
    <t>CITROEN C1 3Д 2005-  СТ БОК НЕП ПР ЗЛ/PEUGEOT 107 3Д 2005- СТ БОК ПР ЗЛ</t>
  </si>
  <si>
    <t>CITROEN C1 3Д 2005-  СТ ПЕР ДВ ОП ЛВ ЗЛ/PEUGEOT 107 3Д 2005- СТ ПЕР ДВ ОП ЛВ ЗЛ</t>
  </si>
  <si>
    <t>CITROEN C1 3Д 2005-  СТ ПЕР ДВ ОП ПР ЗЛ/PEUGEOT 107 3Д 2005- СТ ПЕР ДВ ОП ПР ЗЛ</t>
  </si>
  <si>
    <t>CITROEN C1 5Д 2005-  СТ ЗАДН ДВ ОП ЛВ ЗЛ ОТКР+УО/PEUGEOT 107 5Д 2005- СТ БОК ПОД ЛВ ЗЛ ОТКР+УО</t>
  </si>
  <si>
    <t>CITROEN C1 5Д 2005-  СТ ЗАДН ДВ ОП ПР ЗЛ ОТКР+УО/PEUGEOT 107 5Д 2005- СТ БОК ПОД ПР ЗЛ ОТКР+УО</t>
  </si>
  <si>
    <t>CITROEN C1 5Д 2005-  СТ ПЕР ДВ ОП ЛВ ЗЛ/PEUGEOT 107 5Д 2005- СТ ПЕР ДВ ОП ЛВ ЗЛ</t>
  </si>
  <si>
    <t>CITROEN C1 5Д 2005-  СТ ПЕР ДВ ОП ПР ЗЛ/PEUGEOT 107 5Д 2005- СТ ПЕР ДВ ОП ПР ЗЛ</t>
  </si>
  <si>
    <t>C2 2003-2008</t>
  </si>
  <si>
    <t>CITROEN C2 2003-2008  СТ ВЕТР ЗЛ</t>
  </si>
  <si>
    <t>2003-2009</t>
  </si>
  <si>
    <t>CITROEN C2 2003- СТ ВЕТР ЗЛГЛ+VIN</t>
  </si>
  <si>
    <t>CITROEN C2 2003 МОЛД  ДЛЯ СТ ВЕТР НИЖН</t>
  </si>
  <si>
    <t>CITROEN C2 2003 МОЛД  ДЛЯ СТ ВЕТР ВЕРХ</t>
  </si>
  <si>
    <t>CITROEN C2 ХБ 2003-2008  СТ ЗАДН ЗЛ+1ОТВ+УО+СТОП</t>
  </si>
  <si>
    <t>CITROEN C2 ХБ 2003-2008  СТ ЗАДН ЗЛ+УО+СТОП+ИЗМ ОТВ</t>
  </si>
  <si>
    <t>CITROEN C2 03 ХБ СТ ЗАДН ЗЛ+СТОП+ИЗМ РАЗМ</t>
  </si>
  <si>
    <t>CITROEN C2 2003-2008  СТ ПЕР ДВ ОП ЛВ ЗЛ</t>
  </si>
  <si>
    <t>CITROEN C2 2003-2008  СТ БОК НЕП ЛВ ЗЛ</t>
  </si>
  <si>
    <t>CITROEN C2 2003-2008  СТ ПЕР ДВ ОП ПР ЗЛ</t>
  </si>
  <si>
    <t>CITROEN C2 2003-2008  СТ БОК НЕП ПР ЗЛ</t>
  </si>
  <si>
    <t>C3 2002-2005</t>
  </si>
  <si>
    <t>2002-2005</t>
  </si>
  <si>
    <t>CITROEN C3 2002-2005  СТ ВЕТР ТЕПЛООТР+VIN</t>
  </si>
  <si>
    <t>CITROEN C3 2002-2005  СТ ВЕТР ЗЛ+ДД+VIN</t>
  </si>
  <si>
    <t>CITROEN C3 2002-2005  СТ ВЕТР ЗЛ+VIN</t>
  </si>
  <si>
    <t>CITROEN C3 2002-2005  СТ ВЕТР ЗЛГЛ+VIN</t>
  </si>
  <si>
    <t>CITROEN C3 2002 МОЛД  ДЛЯ СТ ВЕТР</t>
  </si>
  <si>
    <t>CITROEN C3 2002  МОЛД  ДЛЯ СТ ВЕТР НИЖН</t>
  </si>
  <si>
    <t>CITROEN C3 ХБ 2002-2005  СТ ЗАДН ЗЛ+УО</t>
  </si>
  <si>
    <t>CITROEN C3 2002-2005  СТ ПЕР ДВ ОП ЛВ ЗЛ</t>
  </si>
  <si>
    <t>CITROEN C3 2002-2005  СТ ФОРТ ПЕР НЕП ЛВ ЗЛ</t>
  </si>
  <si>
    <t>CITROEN C3 2002-2005  СТ ЗАДН ДВ ОП ЛВ ЗЛ</t>
  </si>
  <si>
    <t>CITROEN C3 2002-2005  СТ БОК НЕП ЛВ ЗЛ</t>
  </si>
  <si>
    <t>CITROEN C3 2002-2005  СТ ПЕР ДВ ОП ПР ЗЛ</t>
  </si>
  <si>
    <t>CITROEN C3 2002-2005  СТ ФОРТ ПЕР НЕП ПР ЗЛ</t>
  </si>
  <si>
    <t>CITROEN C3 2002-2005  СТ ЗАДН ДВ ОП ПР ЗЛ</t>
  </si>
  <si>
    <t>CITROEN C3 2002-2005  СТ БОК НЕП ПР ЗЛ</t>
  </si>
  <si>
    <t>C3 PLURIEL 2002-</t>
  </si>
  <si>
    <t>2002-2009</t>
  </si>
  <si>
    <t>CITROEN C3 PLURIEL 2002-  СТ ВЕТР ТЕПЛООТР+ДД+VIN</t>
  </si>
  <si>
    <t>CITROEN C3 PLURIEL 2002-  СТ ВЕТР ЗЛ+VIN</t>
  </si>
  <si>
    <t>CITROEN C3 PLURIEL 2003-  МОЛД  ДЛЯ СТ ВЕТР ВЕРХ</t>
  </si>
  <si>
    <t>CITROEN C3 PLURIEL 2002-  СТ ПЕР ДВ ОП ЛВ ЗЛ</t>
  </si>
  <si>
    <t>CITROEN C3 PLURIEL 2003-  СТ ПЕР ДВ НЕП ЛВ ЗЛ+УО</t>
  </si>
  <si>
    <t>CITROEN C3 PLURIEL 2002-  СТ БОК ПОД ЛВ ЗЛ+УО+ОТКР</t>
  </si>
  <si>
    <t>CITROEN C3 PLURIEL 2002-  СТ ПЕР ДВ ОП ПР ЗЛ</t>
  </si>
  <si>
    <t>CITROEN C3 PLURIEL 2003-  СТ ПЕР ДВ НЕП ПР ЗЛ+УО</t>
  </si>
  <si>
    <t>CITROEN C3 PLURIEL 2002-  СТ БОК ПОД ПР ЗЛ+УО+ОТКР</t>
  </si>
  <si>
    <t>C3 PICASSO M5 2009-</t>
  </si>
  <si>
    <t>CITROEN C3 PICASSO 09 СТ ВЕТР ЗЛ+VIN+УО+ИНК</t>
  </si>
  <si>
    <t>CITROEN C3 PICASSO M5 2009- СТ ПЕР ДВ ОП ЛВ ЗЛ</t>
  </si>
  <si>
    <t>CITROEN C3 PICASSO M5 2009- СТ ЗАДН ДВ ОП ЛВ ЗЛ</t>
  </si>
  <si>
    <t>CITROEN C3 PICASSO M5 2009- СТ ПЕР ДВ ОП ПР ЗЛ</t>
  </si>
  <si>
    <t>CITROEN C3 PICASSO M5 2009- СТ ЗАДН ДВ ОП ПР ЗЛ</t>
  </si>
  <si>
    <t>C3 2010-</t>
  </si>
  <si>
    <t>CITROEN C3 2010- СТ ВЕТР ЗЛ+VIN</t>
  </si>
  <si>
    <t>CITROEN C3 2010- СТ ЗАДН ЗЛ</t>
  </si>
  <si>
    <t>C4 2004-</t>
  </si>
  <si>
    <t>CITROEN C4 09/2004-  СТ ВЕТР ТЕПЛООТР+ДД+VIN+УО+ИЗМ ДЕР ЗЕРК</t>
  </si>
  <si>
    <t>CITROEN C4 09/2004-  СТ ВЕТР ЗЛ+ДД+VIN+УО</t>
  </si>
  <si>
    <t>CITROEN C4 09/2004-  СТ ВЕТР ЗЛ+VIN+УО</t>
  </si>
  <si>
    <t>CITROEN C4 ХБ 5Д 09/2004-  СТ ЗАДН ТЗЛ+АНТ</t>
  </si>
  <si>
    <t>CITROEN C4 3Д ХБ 09/2004-  СТ ЗАДН ТЗЛ+НИЖН+СТОП+ИЗМ РАЗМ</t>
  </si>
  <si>
    <t>CITROEN C4 3Д ХБ 09/2004-  СТ ЗАДН ТЗЛ+ВЕРХ+ИЗМ РАЗМ</t>
  </si>
  <si>
    <t>CITROEN C4 5Д ХБ 09/2004-  СТ ЗАДН ЗЛ</t>
  </si>
  <si>
    <t>CITROEN C4 3Д ХБ 09/2004-  СТ ЗАДН ЗЛ+СТОП+ИЗМ РАЗМ</t>
  </si>
  <si>
    <t>CITROEN C4 3Д ХБ 09/2004-  СТ ЗАДН ЗЛ ВЕРХ+ИЗМ РАЗМ</t>
  </si>
  <si>
    <t>CITROEN C4 09/2004-  СТ ПЕР ДВ ОП ЛВ ЗЛ</t>
  </si>
  <si>
    <t>CITROEN C4 09/2004-  СТ ФОРТ ПЕР НЕП ЛВ ЗЛ+ИНК</t>
  </si>
  <si>
    <t>CITROEN C4 09/2004-  СТ ЗАДН ДВ ОП ЛВ ЗЛ</t>
  </si>
  <si>
    <t>CITROEN C4 09/2004-  СТ БОК НЕП ЛВ ЗЛ+ИНК</t>
  </si>
  <si>
    <t>CITROEN C4 09/2004-  СТ ПЕР ДВ ОП ПР ЗЛ</t>
  </si>
  <si>
    <t>CITROEN C4 09/2004-  СТ ФОРТ ПЕР НЕП ПР ЗЛ+ИНК</t>
  </si>
  <si>
    <t>CITROEN C4 09/2004-  СТ БОК НЕП ПР ЗЛ+ИНК+АНТ</t>
  </si>
  <si>
    <t>CITROEN C4 09/2004-  СТ ЗАДН ДВ ОП ПР ЗЛ</t>
  </si>
  <si>
    <t>CITROEN C4 09/2004-  СТ БОК НЕП ПР ЗЛ+ИНК</t>
  </si>
  <si>
    <t>C4 2010-</t>
  </si>
  <si>
    <t>CITROEN C4 5D HBK 2010-СТ ВЕТР ЗЛАКУСТ+VIN+ДО</t>
  </si>
  <si>
    <t>CITROEN C4 5D HBK 2010- СТ ВЕТР ЗЛ+АКУСТ+ДД+VIN+ДО</t>
  </si>
  <si>
    <t>CITROEN C4 5D HBK 2010-СТ ЗАДН ЗЛ+АНТ</t>
  </si>
  <si>
    <t>CITROEN C4 5D HBK 2010-СТ ЗАДН ЗЛ</t>
  </si>
  <si>
    <t>C4 PICASSO 2006-</t>
  </si>
  <si>
    <t>CITROEN C4 PICASSO + GRAND PICASSO 11/2006-  СТ ВЕТР+ДД+VIN+ИНК</t>
  </si>
  <si>
    <t>CITROEN C4 PICASSO + GRAND PICASSO 11/2006-  СТ ВЕТР ЗЛ+VIN+ИНК+ИЗМ ДЕР ЗЕРК</t>
  </si>
  <si>
    <t>CITROEN C4 PICASSO + GRAND PICASSO 11/2006-  СТ ПЕР ДВ ОП ЗЛ ЛВ</t>
  </si>
  <si>
    <t>CITROEN C4 PICASSO 02/2007-  СТ ЗАДН ДВ ОП ЛВ ЗЛ+УО</t>
  </si>
  <si>
    <t>CITROEN C4 PICASSO + GRAND PICASSO 11/2006-  СТ ЗАДН ДВ ОП ЛВ ЗЛ+УО+ИЗМ РАЗМ</t>
  </si>
  <si>
    <t>CITROEN C4 PICASSO + GRAND PICASSO 11/2006-  СТ ПЕР ДВ ОП ПР ЗЛ</t>
  </si>
  <si>
    <t>CITROEN C4 PICASSO 02/2007-  СТ ЗАДН ДВ ОП ПР ЗЛ+УО</t>
  </si>
  <si>
    <t>CITROEN C4 PICASSO + GRAND PICASSO 11/2006-  СТ ЗАДН ДВ ОП ПР ЗЛ+УО+ИЗМ РАЗМ</t>
  </si>
  <si>
    <t>C5 2000-2008</t>
  </si>
  <si>
    <t>CITROEN C5 04/2003-2008  СТ ВЕТР ТЕПЛООТР+ДД+ДС+VIN</t>
  </si>
  <si>
    <t>CITROEN C5 04/2003-2008  СТ ВЕТР ТЕПЛООТР+КР+ДД+VIN+ИЗМ ДД</t>
  </si>
  <si>
    <t>CITROEN C5 04/2003-2008  СТ ВЕТР ТЕПЛООТР+VIN</t>
  </si>
  <si>
    <t>CITROEN C5 2000-2008  СТ ВЕТР ЗЛ+КР+VIN</t>
  </si>
  <si>
    <t>CITROEN C5 2001-2008 ХБ НАБ МОЛД СТ ВЕТР</t>
  </si>
  <si>
    <t>CITROEN C5 2000-2008 МОЛД  ДЛЯ СТ ВЕТР</t>
  </si>
  <si>
    <t>CITROEN C5 2000-2008 МОЛД  ДЛЯ СТ ВЕТР НИЖ</t>
  </si>
  <si>
    <t>CITROEN C5 УН 2001-2008  СТ ЗАДН ОТКР ЗЛ+УО</t>
  </si>
  <si>
    <t>CITROEN C5 ХБ 2001-2008  СТ ЗАДН ДВ ЗЛ+ИНК+СТОП</t>
  </si>
  <si>
    <t>CITROEN C5 ХБ 2001-2008  СТ ЗАДН ДВ ЗЛ+СТОП+ИНК+ИЗМ ОТВ</t>
  </si>
  <si>
    <t>CITROEN C5 ХБ 2001-2008  СТ ЗАДН ЗЛ+СТОП+ИНК+ИЗМ РАЗМ</t>
  </si>
  <si>
    <t>CITROEN C5 2000-2008  СТ ПЕР ДВ ОП ЛВ ЗЛ АКУСТИК+ТРИПЛ+УО</t>
  </si>
  <si>
    <t>CITROEN C5 2000-2008  СТ ЗАДН ДВ ОП ЛВ ЗЛ АКУСТИК+ТРИПЛ+УО</t>
  </si>
  <si>
    <t>CITROEN C5 УН 2001-2008  СТ ЗАДН ДВ ОП ЛВ ЗЛ</t>
  </si>
  <si>
    <t>CITROEN C5 2000-2008  СТ БОК ЛВ НЕП ЗЛ+ИНК</t>
  </si>
  <si>
    <t>CITROEN C5 2000-2008  СТ ПЕР ДВ ОП ЛВ ЗЛ</t>
  </si>
  <si>
    <t>CITROEN C5 2000-2008  СТ ЗАДН ДВ ОП ЛВ ЗЛ</t>
  </si>
  <si>
    <t>CITROEN C5 2000-2008  СТ ПЕР ДВ ОП ПР ЗЛ АКУСТИК+ТРИПЛ+УО</t>
  </si>
  <si>
    <t>CITROEN C5 2000-2008  СТ ЗАДН ДВ ОП ПР ЗЛ АКУСТИК+ТРИПЛ+УО</t>
  </si>
  <si>
    <t>CITROEN C5 УН 2001-2008  СТ ЗАДН ДВ ОП ПР ЗЛ</t>
  </si>
  <si>
    <t>CITROEN C5 2000-2008  СТ БОК ПР ЗЛ+ИНК+АНТ</t>
  </si>
  <si>
    <t>CITROEN C5 2000-2008  СТ БОК ПР НЕП ЗЛ+ИНК</t>
  </si>
  <si>
    <t>CITROEN C5 2000-2008  СТ ПЕР ДВ ОП ПР ЗЛ</t>
  </si>
  <si>
    <t>CITROEN C5 2000-2008  СТ ЗАДН ДВ ОП ПР ЗЛ</t>
  </si>
  <si>
    <t>C5 СЕД+УН 2008-</t>
  </si>
  <si>
    <t>CITROEN C5 2008- СТ ВЕТР ЗЛ+ДД+VIN+ИНК</t>
  </si>
  <si>
    <t>CITROEN C5 2008- СТ ВЕТР ЗЛ+VIN+ИНК</t>
  </si>
  <si>
    <t>CITROEN C5 УН 2008- СТ ЗАДН ТЗЛ+УО</t>
  </si>
  <si>
    <t>CITROEN C5 УН 2008- СТ ЗАДН ЗЛ+УО</t>
  </si>
  <si>
    <t>CITROEN C5 СД 2008- СТ ЗАДН ЗЛ+СТОП+УО</t>
  </si>
  <si>
    <t>CITROEN C5 2008- СТ ПЕР ДВ ОП ЛВ ЗЛ+ТРИПЛ+УО</t>
  </si>
  <si>
    <t>CITROEN C5 2008- СТ ЗАДН ДВ ОП ЛВ ЗЛ+ТРИПЛ+УО</t>
  </si>
  <si>
    <t>CITROEN C5 2008- СТ ПЕР ДВ ОП ЛВ ЗЛ</t>
  </si>
  <si>
    <t>CITROEN C5 2008- СТ ЗАДН ДВ ОП ЛВ ЗЛ</t>
  </si>
  <si>
    <t>CITROEN C5 2008- СТ ПЕР ДВ ОП ПР ЗЛ+ТРИПЛ+УО</t>
  </si>
  <si>
    <t>CITROEN C5 2008- СТ ЗАДН ДВ ОП ПР ЗЛ+ТРИПЛ+УО</t>
  </si>
  <si>
    <t>CITROEN C5 2008- СТ ПЕР ДВ ОП ПР ЗЛ</t>
  </si>
  <si>
    <t>CITROEN C5 2008- СТ ЗАДН ДВ ОП ПР ЗЛ</t>
  </si>
  <si>
    <t>C6 2004-</t>
  </si>
  <si>
    <t>CITROEN C6 2004- СТ ВЕТР ТЕПЛООТР+ДД+VIN+ИНК</t>
  </si>
  <si>
    <t>CITROEN C6 СД 2004- СТ ЗАДН ЗЛ+АНТ+ИНК+СТОП</t>
  </si>
  <si>
    <t>C8 (PEUG 807) 2002-</t>
  </si>
  <si>
    <t>2006-2007</t>
  </si>
  <si>
    <t>CITROEN C8 07/2006-2007-  СТ ВЕТР ТЕПЛООТР+ДД+VIN+ИНК+ИЗМ ДД/PEUGEOT 807 2002 СТ ВЕТР ТЕПЛООТР+ИЗМ ДД+VIN+ИНК</t>
  </si>
  <si>
    <t>CITROEN C8 2007-  СТ ВЕТР ТЕПЛООТР+ДД+VIN+ИНК+ИЗМ ШЕЛК/PEUGEOT 807 2002 СТ ВЕТР ТЕПЛООТР+ИНК+ДД+КР+VIN+ИНК</t>
  </si>
  <si>
    <t>2002-2007</t>
  </si>
  <si>
    <t>CITROEN C8 2002-  СТ ВЕТР ЗЛ+VIN+ИНК/PEUGEOT 807 2002 СТ ВЕТР ЗЛ+VIN+ИНК</t>
  </si>
  <si>
    <t>CITROEN C8 2002-  СТ ВЕТР ТЕПЛООТР+VIN+ИНК/PEUGEOT 807 2002 СТ ВЕТР ТЕПЛООТР+VIN+ИНК</t>
  </si>
  <si>
    <t>CITROEN C8 2002-  СТ ВЕТР ТЕПЛООТР+ДД+VIN+ИНК/PEUGEOT 807 2002 СТ ВЕТР ТЕПЛООТР+ДД+VIN+ИНК</t>
  </si>
  <si>
    <t>CITROEN C8 2002-  СТ ПЕР ДВ ОП ЛВ ЗЛ/PEUGEOT 807 2002 СТ ПЕР ДВ ОП ЛВ ЗЛ</t>
  </si>
  <si>
    <t>CITROEN C8 2002-  СТ ПЕР ДВ ОП ПР ЗЛ/PEUGEOT 807 2002 СТ ПЕР ДВ ОП ПР ЗЛ</t>
  </si>
  <si>
    <t>C25 VAN 1982-1994</t>
  </si>
  <si>
    <t>1982-1994</t>
  </si>
  <si>
    <t>CITROEN C25 VAN 1982-1994 СТ ВЕТР/FIAT DUCATO 1982-1994 СТ ВЕТР</t>
  </si>
  <si>
    <t>CITROEN C25 VAN 1982-1994 СТ ВЕТР БР/FIAT DUCATO 1982-1994 СТ ВЕТР БР</t>
  </si>
  <si>
    <t>CITROEN C25 VAN 1982-1994 СТ ВЕТР ЗЛЗЛ/FIAT DUCATO 1982-1994 СТ ВЕТР ЗЛЗЛ</t>
  </si>
  <si>
    <t>CITROEN C25 VAN 1987  РЕЗ ПРОФ ДЛЯ СТ ВЕТР</t>
  </si>
  <si>
    <t>C-CROSSER 2007-</t>
  </si>
  <si>
    <t>CITROEN C-CROSSER 2007- СТ ВЕТР ЗЛ/MITSUBISHI OUTLANDER 2007- СТ ВЕТР ЗЛ</t>
  </si>
  <si>
    <t>CITROEN C-CROSSER 2007- СТ ВЕТР ЗЛ+ЭО/MITSUBISHI OUTLANDER 2007- СТ ВЕТР ЗЛ+ЭО+КР/PEUGEOT 4007 07  СТ ВЕТР ЗЛ+ЭО</t>
  </si>
  <si>
    <t>CITROEN C-CROSSER 2007- СТ ПЕР ДВ ОП ЛВ ЗЛ+УО/MITSUBISHI OUTLANDER 2007- СТ ПЕР ДВ ОП ЛВ ЗЛ+УО</t>
  </si>
  <si>
    <t>CITROEN C-CROSSER 2007- СТ ЗАДН ДВ ОП ЛВ ЗЛ+УО/MITSUBISHI OUTLANDER 2007- СТ ЗАДН ДВ ОП ЛВ ЗЛ+УО</t>
  </si>
  <si>
    <t>CITROEN C-CROSSER 2007- СТ ПЕР ДВ ОП ПР ЗЛ+УО/MITSUBISHI OUTLANDER 2007- СТ ПЕР ДВ ОП ПР ЗЛ+УО</t>
  </si>
  <si>
    <t>CITROEN C-CROSSER 2007- СТ ЗАДН ДВ ОП ПР ЗЛ+УО/MITSUBISHI OUTLANDER 2007- СТ ЗАДН ДВ ОП ПР ЗЛ+УО</t>
  </si>
  <si>
    <t>DYANE 1967-1984</t>
  </si>
  <si>
    <t>1967-1984</t>
  </si>
  <si>
    <t>CITROEN DYANE 1967-1984 СТ ВЕТР</t>
  </si>
  <si>
    <t>DS3 2010-</t>
  </si>
  <si>
    <t>CITROEN DS3 2010-СТ ВЕТР ЗЛ АК+ДД+VIN+ИН</t>
  </si>
  <si>
    <t>CITROEN DS3 2010-СТ ВЕТР ЗЛ+VIN+ИНК</t>
  </si>
  <si>
    <t>CITROEN DS3 2010- СТ ЗАДН ЗЛ</t>
  </si>
  <si>
    <t>DS4 5D CPE 2011-</t>
  </si>
  <si>
    <t>CITROEN DS4 5D CPE 2011-СТ ВЕТР ЗЛ+ДД+VI</t>
  </si>
  <si>
    <t>CITROEN DS4 5D CPE 2011-СТ ВЕТР ЗЛ+VIN+Д</t>
  </si>
  <si>
    <t>JUMPER (PEUG BOXER) 1994-2006</t>
  </si>
  <si>
    <t>CITROEN JUMPER 1998-2006  СТ ВЕТР КР+ИЗМ ШЕЛК/FIAT DUCATO 1998-2006  СТ ВЕТР+КР+ИЗМ ШЕЛК</t>
  </si>
  <si>
    <t>CITROEN JUMPER 1998-2006  СТ ВЕТР ЗЛ КР+ИЗМ ШЕЛК/FIAT DUCATO 1998-2006 СТ ВЕТР ЗЛ</t>
  </si>
  <si>
    <t>CITROEN JUMPER 1998-2006  СТ ВЕТР ЗЛГЛ КР+ИЗМ ШЕЛК/FIAT DUCATO 1998-2006  СТ ВЕТР ЗЛГЛ+КР</t>
  </si>
  <si>
    <t>CITROEN JUMPER 1998-2006  СТ ВЕТР ЗЛЗЛ+ИЗМ ШЕЛК/FIAT DUCATO 1998-2006  СТ ВЕТР ЗЛЗЛ</t>
  </si>
  <si>
    <t>CITROEN JUMPER 1994-1998 РЕЗ ПРОФ ДЛЯ СТ ВЕТР</t>
  </si>
  <si>
    <t>1994-2006</t>
  </si>
  <si>
    <t>CITROEN JUMPER МИН 1994-2006  СТ ЗАДН ЛВ Б/ЭО</t>
  </si>
  <si>
    <t>CITROEN JUMPER МИН 1994-2006  СТ ЗАДН ПР/FIAT DUCATO 1994-2006  СТ ЗАДН ПР</t>
  </si>
  <si>
    <t>CITROEN JUMPER МИН 1994-2006  СТ ЗАДН ПР Б/ЭО/PEUGEOT BOXER VAN 1994-2006  СТ ЗАДН ПР Б/ЭО</t>
  </si>
  <si>
    <t>CITROEN JUMPER МИН 1994-2006  СТ ЗАДН ПР Б/ЭО+ИЗМ РАЗМ/FIAT DUCATO 1994-2006  СТ ЗАДН ЭО ПР</t>
  </si>
  <si>
    <t>CITROEN JUMPER МИН 1994-2006  СТ ЗАДН ПР ЗЛ</t>
  </si>
  <si>
    <t>CITROEN JUMPER 1994-2006  СТ ПЕР ДВ ОП ЛВ/FIAT DUCATO 1994-2006  СТ ПЕР ДВ ОП ЛВ</t>
  </si>
  <si>
    <t>CITROEN JUMPER 1994-2006  СТ ФОРТ ПЕР НЕП ЛВ/FIAT DUCATO 1994-2006  СТ ФОРТ ПЕР НЕП ЛВ</t>
  </si>
  <si>
    <t>CITROEN JUMPER 1994-2006  СТ БОК НЕП ЛВ/FIAT DUCATO 1994-2006  СТ БОК НЕП ЛВ</t>
  </si>
  <si>
    <t>CITROEN JUMPER 1994-2006  СТ БОК НЕП ЛВ+ИЗМ РАЗМ</t>
  </si>
  <si>
    <t>CITROEN JUMPER 1994-2006  СТ ПЕР ДВ ОП ЛВ ЗЛ/FIAT DUCATO 1994-2006  СТ ПЕР ДВ ОП ЛВ ЗЛ</t>
  </si>
  <si>
    <t>CITROEN JUMPER 1994-2006  СТ ПЕР ДВ ОП ПР/FIAT DUCATO 1994-2006  СТ ПЕР ДВ ОП ПР</t>
  </si>
  <si>
    <t>CITROEN JUMPER 1994-2006  СТ ПЕР ДВ ОП ПР ЗЛ/FIAT DUCATO 1994-2006  СТ ПЕР ДВ ОП ПР ЗЛ</t>
  </si>
  <si>
    <t>JUMPER II 2006-</t>
  </si>
  <si>
    <t>CITROEN JUMPER II 2006-  СТ ВЕТР ТЕПЛООТР+ДД+VIN+ИНК+ИЗМ ШЕЛК/PEUGEOT BOXER II 2006- СТ ВЕТР ТЕПЛООТР+ДД+VIN+ИНК+КР</t>
  </si>
  <si>
    <t>CITROEN JUMPER II 2006-  СТ ВЕТР ТЕПЛООТР+VIN+ИНК/FIAT DUCATO III 2006-  СТ ВЕТР ТЕПЛООТР+VIN+ИНК</t>
  </si>
  <si>
    <t>CITROEN JUMPER II 2006-  СТ ВЕТР ЗЛ+ДД+VIN+ИНК+ИЗМ ШЕЛК/FIAT DUCATO III 2006-  СТ ВЕТР ЗЛ+ДД+VIN+ИНК+КР</t>
  </si>
  <si>
    <t>CITROEN JUMPER II 2006-  СТ ВЕТР ЗЛ+VIN+ИНК/FIAT DUCATO III 2006-  СТ ВЕТР ЗЛ+VIN+ИНК</t>
  </si>
  <si>
    <t>CITROEN JUMPER III 2006-  СТ ФОРТ ПЕР НЕП ЛВ ЗЛ/FIAT DUCATO III 2006-  СТ ФОРТ ПЕР НЕПОДВ ЛВ ЗЛ</t>
  </si>
  <si>
    <t>JUMPY/SCUDO/EXPERT/EVASION 1995-2000</t>
  </si>
  <si>
    <t>1994-2000</t>
  </si>
  <si>
    <t>CITROEN EVASION 1994-2000 /PG JUMPY 1996-2000  СТ ВЕТР/FIAT ULYSSE 1994-2002 /SCUDIO 1996-2002  СТ ВЕТР</t>
  </si>
  <si>
    <t>CITROEN EVASION 1994-2000 /PG JUMPY 1996-2000  СТ ВЕТР ЗЛ/FIAT ULYSSE 1994-2002 /SCUDIO 1996-2002  СТ ВЕТР ЗЛ</t>
  </si>
  <si>
    <t>CITROEN EVASION 1994-2000 /JUMPY 96  WS U MOULD</t>
  </si>
  <si>
    <t>1996-2000</t>
  </si>
  <si>
    <t>CITROEN EVASION/JUMPY МИН 1996-2000  СТ ЗАДН ЭО ЛВ/FIAT SCUDIO 1996-2002  СТ ЗАДН ЛВ</t>
  </si>
  <si>
    <t>CITROEN EVASION/JUMPY МИН 1996-2000  СТ ЗАДН ЛВ/FIAT SCUDIO 1996-2002  СТ ЗАДН ЛВ Б/ЭО</t>
  </si>
  <si>
    <t>CITROEN EVASION/JUMPY МИН 1996-2000  СТ ЗАДН ЭО ПР/FIAT SCUDIO 1996-2002  СТ ЗАДН ПР</t>
  </si>
  <si>
    <t>CITROEN EVASION/JUMPY МИН 1996-2000  СТ ЗАДН ПР/FIAT SCUDIO 1996-2002  СТ ЗАДН ПР Б/ЭО</t>
  </si>
  <si>
    <t>CITROEN EVASION МИН 1994-2000  СТ ЗАДН ЭО ЗЛ+СТОП/FIAT ULYSSE EPV 1994-2002  СТ ЗАДН ЗЛ+СТОП</t>
  </si>
  <si>
    <t>CITROEN EVASION/JUMPY МИН 1996-2000  СТ ЗАДН ЭО ЛВ ЗЛ/FIAT SCUDIO 1996-2002  СТ ЗАДН ЗЛ ЛВ</t>
  </si>
  <si>
    <t>CITROEN EVASION/JUMPY 1996-2000  СТ ЗАДН ЛВ ЗЛ/FIAT SCUDIO 1996-2002  СТ ЗАДН ЗЛ ЛВ Б/ЭО</t>
  </si>
  <si>
    <t>CITROEN EVASION/JUMPY МИН 1996-2000  СТ ЗАДН ЭО ПР ЗЛ/FIAT SCUDIO 1996-2002  СТ ЗАДН ЗЛ ПР</t>
  </si>
  <si>
    <t>CITROEN EVASION/JUMPY МИН 1996-2000  СТ ЗАДН ПР ЗЛ/FIAT SCUDIO 1996-2002  СТ ЗАДН ЗЛ ПР Б/ЭО</t>
  </si>
  <si>
    <t>CITROEN EVASION 1994-2000 /JUMPY 1996-2000 СТ ПЕР ДВ ОП ЛВ/FIAT ULYSSE 1994-2002 /SCUDIO 1996-2002  СТ ПЕР ДВ ОП ЛВ</t>
  </si>
  <si>
    <t>CITROEN EVASION 1994-2000 /JUMPY 1996-2000  СТ ПЕР НЕП ЛВ/FIAT ULYSSE 1994-2002 /SCUDIO 1996-2002  СТ ПЕР НЕП ЛВ</t>
  </si>
  <si>
    <t>CITROEN EVASION 1994-2000 /JUMPY 1996-2000 СТ ПЕР НЕП ЛВ ЗЛ/FIAT ULYSSE 1994-2002 /SCUDIO 1996-2002  СТ ПЕР ДВ НЕП ЛВ ЗЛ</t>
  </si>
  <si>
    <t>CITROEN EVASION 1994-2000  СТ ЗАДН ДВ ОП ЛВ ЗЛ/FIAT ULYSSE EPV 1994-2002  СТ ЗАДН ДВ ОП ЛВ ЗЛ</t>
  </si>
  <si>
    <t>CITROEN EVASION 1994-2000  СТ БОК ПОД ЛВ ЗЛ ОТКР/FIAT ULYSSE EPV 1994-2002  СТ ЗАДН НЕП ЛВ ЗЛ ОТКР</t>
  </si>
  <si>
    <t>CITROEN EVASION 1994-2000 /JUMPY 1996-2000 СТ ПЕР ДВ ОП ПР/FIAT ULYSSE 1994-2002 /SCUDIO 1996-2002  СТ ПЕР ДВ ОП ПР</t>
  </si>
  <si>
    <t>CITROEN EVASION 1994-2000 /JUMPY 1996-2000  СТ ПЕР НЕП ПР/FIAT ULYSSE 1994-2002 /SCUDIO 1996-2002  СТ ПЕР ДВ НЕП ПР</t>
  </si>
  <si>
    <t>CITROEN EVASION 1994-2000 /JUMPY 1996-2000  СТ ПЕР НЕП ПР ЗЛ/FIAT ULYSSE 1994-2002 /SCUDIO 1996-2002  СТ ПЕР ДВ НЕП ПР ЗЛ</t>
  </si>
  <si>
    <t>CITROEN EVASION 1994-2000  СТ ЗАДН ДВ ОП ПР ЗЛ/FIAT ULYSSE EPV 1994-2002  СТ ЗАДН ДВ ОП ПР ЗЛ</t>
  </si>
  <si>
    <t>CITROEN EVASION 1994-2000  СТ БОК ПОД ПР ЗЛ ОТКР/FIAT ULYSSE EPV 1994-2002  СТ БОК НЕП ПР ЗЛ ОТКР</t>
  </si>
  <si>
    <t>JUMPY (G9) 2006-</t>
  </si>
  <si>
    <t>CITROEN JUMPY (G9) 2006-  СТ ВЕТР ЗЛ+VIN+ИНК/PEUGEOT EXP (G9) 2006-  СТ ВЕТР ЗЛ+VIN+ИНК</t>
  </si>
  <si>
    <t>CITROEN JUMPY (G9) 2006-  СТ ВЕТР ЗЛ+ДД+VIN+ИНК/PEUGEOT EXP (G9) 2006-  СТ ВЕТР ЗЛ+ДД+VIN+ИНК</t>
  </si>
  <si>
    <t>CITROEN JUMPY (G9) 2006-  СТ ВЕТР ТЕПЛООТР+VIN+ИНК/PEUGEOT EXP (G9) 2006-  СТ ВЕТР ТЕПЛООТР+VIN+ИНК</t>
  </si>
  <si>
    <t>CITROEN JUMPY (G9) 2006-  СТ ВЕТР ТЕПЛООТР+ДД+VIN+ИНК/PEUGEOT EXP (G9) 2006-  СТ ВЕТР ТЕПЛООТР+ДД+VIN+ИНК</t>
  </si>
  <si>
    <t>CITROEN JUMPY (G9) МИН 2006-  СТ ЗАДН ЗЛ ЛВ/PEUGEOT EXP (G9) 2006-  СТ ЗАДН ЗЛ ЛВ</t>
  </si>
  <si>
    <t>CITROEN JUMPY (G9) МИН 2006-  СТ ЗАДН ЗЛ ПР/PEUGEOT EXP (G9) 2006-  СТ ЗАДН ЗЛ ПР</t>
  </si>
  <si>
    <t>CITROEN JUMPY (G9) МИН 2006-  СТ ЗАДН ЗЛ+СТОП/PEUGEOT EXP (G9) 2006-  СТ ЗАДН ЗЛ+СТОП</t>
  </si>
  <si>
    <t>CITROEN JUMPY (G9) МИН 2006-  СТ ЗАДН ТЗЛ+СТОП/PEUGEOT EXP (G9) 2006-  СТ ЗАДН ТЗЛ+VIN+СТОП</t>
  </si>
  <si>
    <t>CITROEN JUMPY (G9) 2006-  СТ БОК НЕП ЛВ ЗЛ+ИЗМ РАЗМ/PEUGEOT EXP (G9) 2006-  СТ БОК НЕП ЛВ ЗЛ</t>
  </si>
  <si>
    <t>CITROEN JUMPY (G9) 2006-  СТ БОК НЕП ЛВ ТЗЛ/PEUGEOT EXP (G9) 2006-  СТ БОК НЕП ЛВ ТЗЛ</t>
  </si>
  <si>
    <t>CITROEN JUMPY (G9) 2006-  СТ БОК НЕП ЛВ ТЗЛ+ИЗМ РАЗМ/PEUGEOT EXP (G9) 2006-  СТ БОК НЕП ЛВ ТЗЛ</t>
  </si>
  <si>
    <t>CITROEN JUMPY (G9) 2006-  СТ БОК НЕП ПР ЗЛ/PEUGEOT EXP (G9) 2006-  СТ БОК НЕП ПР ЗЛ</t>
  </si>
  <si>
    <t>CITROEN JUMPY (G9) 2006-  СТ БОК НЕП ПР ЗЛ+ИЗМ РАЗМ/PEUGEOT EXP (G9) 2006-  СТ БОК НЕП ПР ЗЛ</t>
  </si>
  <si>
    <t>CITROEN JUMPY (G9) 2006-  СТ БОК НЕП ПР ТЗЛ/PEUGEOT EXP (G9) 2006-  СТ БОК НЕП ПР ТЗЛ</t>
  </si>
  <si>
    <t>CITROEN JUMPY (G9) 2006-  СТ БОК НЕП ПР ТЗЛ+ИЗМ РАЗМ/PEUGEOT EXP (G9) 2006-  СТ БОК НЕП ПР ТЗЛ</t>
  </si>
  <si>
    <t>CITROEN JUMPY (G9) 2006-  СТ ЗАДН ДВ НЕП ЛВ ЗЛ/PEUGEOT EXP (G9) 2006-  СТ БОК НЕП ЛВ ЗЛ</t>
  </si>
  <si>
    <t>CITROEN JUMPY (G9) 2006-  СТ ЗАДН ДВ ОП ЛВ ТЗЛ/PEUGEOT EXP (G9) 2006-  СТ ЗАДН ДВ ОП ЛВ ТЗЛ</t>
  </si>
  <si>
    <t>CITROEN JUMPY (G9) 2006-  СТ ЗАДН ДВ ОП ЛВ ТЗЛ/PEUGEOT EXP (G9) 2006-  СТ ЗАДН ДВ ОП ЛВ ЗЛ</t>
  </si>
  <si>
    <t>CITROEN JUMPY (G9) 2006-  СТ ЗАДН ДВ ОП ПР ТЗЛ/PEUGEOT EXP (G9) 2006-  СТ ЗАДН ДВ ОП ПР ТЗЛ</t>
  </si>
  <si>
    <t>CITROEN JUMPY (G9) 2006-  СТ ЗАДН ДВ ОП ПР ТЗЛ/PEUGEOT EXP (G9) 2006-  СТ ЗАДН ДВ ОП ПР ЗЛ</t>
  </si>
  <si>
    <t>CITROEN JUMPY (G9) 2006-  СТ ПЕР ДВ ОП ЛВ ЗЛ/PEUGEOT EXP (G9) 2006-  СТ ПЕР ДВ ОП ЛВ ЗЛ</t>
  </si>
  <si>
    <t>CITROEN JUMPY (G9) 2006-  СТ ПЕР ДВ ОП ПР ЗЛ/PEUGEOT EXP (G9) 2006-  СТ ПЕР ДВ ОП ПР ЗЛ</t>
  </si>
  <si>
    <t>NEMO 2008-</t>
  </si>
  <si>
    <t>CITROEN NEMO 2008- СТ ВЕТР ЗЛ+VIN/FIAT FIORINO 2008- СТ ВЕТР ЗЛ+VIN</t>
  </si>
  <si>
    <t>SAXO 3/5Д 1996-2003</t>
  </si>
  <si>
    <t>CITROEN SAXO 3Д/5Д 08/1999-2004  СТ ВЕТР ТЕПЛООТР</t>
  </si>
  <si>
    <t>1996-2004</t>
  </si>
  <si>
    <t>CITROEN SAXO 3Д ХБ 1996-2004  СТ ВЕТР/PEUGEOT 106 08/1999 СТ ВЕТР</t>
  </si>
  <si>
    <t>CITROEN SAXO 3Д ХБ 1996-2004  СТ ВЕТР БР/PEUGEOT 106 1991 СТ ВЕТР БР КР</t>
  </si>
  <si>
    <t>CITROEN SAXO 3Д ХБ 1996-2004  СТ ВЕТР ЗЛГЛ/PEUGEOT 106 1996  СТ ВЕТР ЗЛГЛ</t>
  </si>
  <si>
    <t>CITROEN SAXO 3Д/5Д 08/1999-2004  СТ ВЕТР/PEUGEOT 106 1996  СТ ВЕТР</t>
  </si>
  <si>
    <t>CITROEN SAXO 3Д/5Д 08/1999-2004  СТ ВЕТР ЗЛ/PEUGEOT 106 1996 СТ ВЕТР ЗЛ</t>
  </si>
  <si>
    <t>CITROEN SAXO 1996-2004   МОЛД  ДЛЯ СТ ВЕТР</t>
  </si>
  <si>
    <t>CITROEN SAXO 3Д/5Д ХБ 1996-2004  СТ ЗАДН ЭО ЗЛ</t>
  </si>
  <si>
    <t>CITROEN SAXO SPORT ХБ 1999-2004 СТ ЗАДН ЗЛ+ИЗМ ОТВ</t>
  </si>
  <si>
    <t>CITROEN SAXO 3Д/5Д 1996-2004  МОЛД  ДЛЯ СТ ЗАДН</t>
  </si>
  <si>
    <t>CITROEN SAXO 5Д 1996-2004  СТ ФОРТ ЗАДН НЕП ЛВ ЗЛ/PEUGEOT 106 5Д 1991 СТ БОК НЕП ЛВ ЗЛ</t>
  </si>
  <si>
    <t>CITROEN SAXO 5Д 1996-2004  СТ ФОРТ ЗАДН НЕП ПР ЗЛ/PEUGEOT 106 5Д 1991 СТ БОК НЕП ПР ЗЛ</t>
  </si>
  <si>
    <t>CITROEN SAXO 3Д ХБ 1996-2004  СТ БОК ПОД ЛВ ЗЛ ОТКР</t>
  </si>
  <si>
    <t>CITROEN SAXO 3Д ХБ 1996-2004  СТ БОК ПОД ПР ЗЛ ОТКР</t>
  </si>
  <si>
    <t>CITROEN SAXO 5Д 1996-2004  СТ ЗАДН ДВ ОП ЛВ ЗЛ/PEUGEOT 106 5Д 1991 СТ ЗАДН ДВ ОП ЛВ ЗЛ</t>
  </si>
  <si>
    <t>CITROEN SAXO 5Д 1996-2004  СТ ЗАДН ДВ ОП ПР ЗЛ/PEUGEOT 106 5Д 1991 СТ ЗАДН ДВ ОП ПР ЗЛ</t>
  </si>
  <si>
    <t>CITROEN SAXO 3Д ХБ 1996-2004  СТ ПЕР ДВ ОП ЛВ ЗЛ/PEUGEOT 106 3Д 1991 СТ ПЕР ДВ ОП ЛВ ЗЛ</t>
  </si>
  <si>
    <t>CITROEN SAXO 3Д ХБ 1996-2004  СТ ПЕР ДВ ОП ПР ЗЛ/PEUGEOT 106 3Д 1991 СТ ПЕР ДВ ОП ПР ЗЛ</t>
  </si>
  <si>
    <t>CITROEN SAXO 5Д 1996-2004  СТ ПЕР ДВ ОП ЛВ ЗЛ/PEUGEOT 106 5Д 1991 СТ ПЕР ДВ ОП ЛВ ЗЛ</t>
  </si>
  <si>
    <t>CITROEN SAXO 5Д 1996-2004  СТ ПЕР ДВ ОП ПР ЗЛ/PEUGEOT 106 5Д 1991 СТ ПЕР ДВ ОП ПР ЗЛ</t>
  </si>
  <si>
    <t>VISA 1978-2003</t>
  </si>
  <si>
    <t>1978-2003</t>
  </si>
  <si>
    <t>CITROEN VISA 1978-2003  СТ ВЕТР КР</t>
  </si>
  <si>
    <t>CITROEN VISA 1978-2003  СТ ВЕТР ЗЛ КР</t>
  </si>
  <si>
    <t>CITROEN VISA 1980-1989 РЕЗ ПРОФ ДЛЯ СТ ВЕТР</t>
  </si>
  <si>
    <t>CITROEN VISA 1978-2003  СТ ПЕР ДВ ОП ЛВ</t>
  </si>
  <si>
    <t>CITROEN VISA 1978-2003  СТ ПЕР ДВ ОП ПР</t>
  </si>
  <si>
    <t>XANTIA 1993-2001</t>
  </si>
  <si>
    <t>1997-2001</t>
  </si>
  <si>
    <t>CITROEN XANTIA СД/УН 11/1997-2001  СТ ВЕТР ТЕПЛООТР+ИЗМ КР</t>
  </si>
  <si>
    <t>CITROEN XANTIA СЕД+УН 11/1997-2001  СТ ВЕТР ТЕПЛООТР+ДД+ИЗМ КР</t>
  </si>
  <si>
    <t>1993-2001</t>
  </si>
  <si>
    <t>CITROEN XANTIA СД 1993 /УН 1995-2001  СТ ВЕТР</t>
  </si>
  <si>
    <t>CITROEN XANTIA СД 1993 /УН 1995-2001  СТ ВЕТР ЗЛ</t>
  </si>
  <si>
    <t>CITROEN XANTIA СД+УН 11/1997-2001  СТ ВЕТР ЗЛ+КР+ИЗМ КР</t>
  </si>
  <si>
    <t>CITROEN XANTIA СЕД 1993 /УН 1995-2001  СТ ВЕТР ЗЛЗЛ</t>
  </si>
  <si>
    <t>CITROEN XANTIA СД+УН 11/1997-2001 СТ ВЕТР ЗЛ+КР+ДД+ИЗМ КР</t>
  </si>
  <si>
    <t>CITROEN XANTIA СЕД+УН 1993  В/С  УСТ КОМПЛ ДЛЯ СТ ВЕТР  СО СПЕЙСЕРОМ</t>
  </si>
  <si>
    <t>CITROEN XANTIA ХБ 1993-2001  СТ ЗАДН+ИНК</t>
  </si>
  <si>
    <t>CITROEN XANTIA ХБ 1993-2001  СТ ЗАДН ЗЛ+ИНК</t>
  </si>
  <si>
    <t>1998-2001</t>
  </si>
  <si>
    <t>CITROEN XANTIA ХБ 1998-2001  СТ ЗАДН ЗЛ+ИНК+ИЗМ ОТВ</t>
  </si>
  <si>
    <t>CITROEN XANTIA СД 1993 /УН 1995-2001 СТ ПЕР ДВ ОП ЛВ ЗЛ</t>
  </si>
  <si>
    <t>CITROEN XANTIA СД 1993-2001  СТ ЗАДН ДВ ОП ЛВ ЗЛ</t>
  </si>
  <si>
    <t>CITROEN XANTIA СД 1993 /УН 1995-2001 СТ ПЕР ДВ ОП ПР ЗЛ</t>
  </si>
  <si>
    <t>CITROEN XANTIA СД 1993-2001  СТ ЗАДН ДВ ОП ПР ЗЛ</t>
  </si>
  <si>
    <t>XM 1989-2000</t>
  </si>
  <si>
    <t>1989-2000</t>
  </si>
  <si>
    <t>CITROEN XM 1989-2000  СТ ВЕТР ЗЛ КР</t>
  </si>
  <si>
    <t>CITROEN XM 1989-2000  СТ ВЕТР ЗЛЗЛ КР</t>
  </si>
  <si>
    <t>CITROEN XM 1989-2000  СТ ПЕР ДВ ОП ЛВ ЗЛ</t>
  </si>
  <si>
    <t>CITROEN XM 1989-2000  СТ ПЕР НЕП ЛВ ЗЛ</t>
  </si>
  <si>
    <t>CITROEN XM 1989-2000  СТ ЗАДН ДВ ОП ЛВ ЗЛ</t>
  </si>
  <si>
    <t>CITROEN XM 1989-2000  СТ ЗАДН ДВ НЕП ЛВ ЗЛ</t>
  </si>
  <si>
    <t>CITROEN XM 1989-2000  СТ ПЕР ДВ ОП ПР ЗЛ</t>
  </si>
  <si>
    <t>CITROEN XM 1989-2000  СТ ПЕР НЕП ПР ЗЛ</t>
  </si>
  <si>
    <t>CITROEN XM 1989-2000  СТ ЗАДН ДВ ОП ПР ЗЛ</t>
  </si>
  <si>
    <t>XSARA HBK/EST/COUPE 1997-2004</t>
  </si>
  <si>
    <t>CITROEN XSARA 1997-07/2001 СТ ВЕТР ТЕПЛООТР ДД+VIN</t>
  </si>
  <si>
    <t>CITROEN XSARA 07/2001-2004 СТ ВЕТР ТЕПЛООТР ДД+VIN+ИЗМ ДД</t>
  </si>
  <si>
    <t>CITROEN XSARA ХБ/УН/КП 1997-07/2001 СТ ВЕТР ТЕПЛООТР+VIN</t>
  </si>
  <si>
    <t>CITROEN XSARA ХБ/УН/КУП 1997-2004  СТ ВЕТР ЗЛ</t>
  </si>
  <si>
    <t>CITROEN XSARA ХБ/УН/КП 1997-2004 СТ ВЕТР ЗЛ+ДД</t>
  </si>
  <si>
    <t>CITROEN XSARA ХБ/УН/КП 1997-07/01 СТ ВЕТР ЗЛ+ДД+VIN</t>
  </si>
  <si>
    <t>CITROEN XSARA ХБ/УН/КП 1997-07/01 СТ ВЕТР ЗЛ+VIN</t>
  </si>
  <si>
    <t>CITROEN XSARA ХБ/УН/КБ 1997  МОЛД  ДЛЯ СТ ВЕТР ВЕРХ</t>
  </si>
  <si>
    <t>CITROEN XSARA УН 1997-2004 СТ ЗАДН ЭО ЗЛ</t>
  </si>
  <si>
    <t>CITROEN XSARA ХБ 1997-2004  СТ ЗАДН ЗЛ+ИНК</t>
  </si>
  <si>
    <t>CITROEN XSARA КП 1997-2004 СТ ПЕР ДВ ОП ЛВ ЗЛ</t>
  </si>
  <si>
    <t>CITROEN XSARA КП 1997-2004 СТ БОК ПОД ЛВ ОТКР ЗЛ</t>
  </si>
  <si>
    <t>CITROEN XSARA УН 1997-2004 СТ ЗАДН ДВ ОП ЛВ ЗЛ</t>
  </si>
  <si>
    <t>CITROEN XSARA ХБ/УН 1997-2004  СТ ПЕР ДВ ОП ЛВ ЗЛ</t>
  </si>
  <si>
    <t>CITROEN XSARA ХБ 1997-2004  СТ ЗАДН ДВ ОП ЛВ ЗЛ</t>
  </si>
  <si>
    <t>CITROEN XSARA УН 2002-2004 СТ ЗАДН ДВ ОП ЛВ ЗЛ 1ОТВ+ИЗМ РАЗМ</t>
  </si>
  <si>
    <t>CITROEN XSARA УН 1997-2004  СТ БОК ЛВ ЗЛ</t>
  </si>
  <si>
    <t>CITROEN XSARA КП 1997-2004  СТ ПЕР ДВ ОП ПР ЗЛ</t>
  </si>
  <si>
    <t>CITROEN XSARA КП 1997-2004  СТ БОК ПОД ПР ОТКР ЗЛ</t>
  </si>
  <si>
    <t>CITROEN XSARA УН 1997-2004  СТ ЗАДН ДВ ОП ПР ЗЛ</t>
  </si>
  <si>
    <t>CITROEN XSARA ХБ/УН 1997-2004  СТ ПЕР ДВ ОП ПР ЗЛ</t>
  </si>
  <si>
    <t>CITROEN XSARA ХБ 1997-2004  СТ ЗАДН ДВ ОП ПР ЗЛ</t>
  </si>
  <si>
    <t>CITROEN XSARA УН 2002-2004 СТ ЗАДН ДВ ОП ПР ЗЛ 1ОТВ+ИЗМ РАЗМ</t>
  </si>
  <si>
    <t>CITROEN XSARA УН 1997-2004  СТ БОК ПР ЗЛ</t>
  </si>
  <si>
    <t>XSARA PICASSO 1999-</t>
  </si>
  <si>
    <t>CITROEN XSARA PICASSO 12/2004-  СТ ВЕТР ТЕПЛООТР+ДД+VIN</t>
  </si>
  <si>
    <t>1999-2012</t>
  </si>
  <si>
    <t>CITROEN XSARA PICASSO 1999-  СТ ВЕТР ТЕПЛООТР+VIN</t>
  </si>
  <si>
    <t>CITROEN XSARA PICASSO 1999-  СТ ВЕТР ЗЛ</t>
  </si>
  <si>
    <t>CITROEN XSARA PICASSO 1999  УСТ КОМПЛ ДЛЯ СТ ВЕТР СО СПЕЙС</t>
  </si>
  <si>
    <t>CITROEN XSARA PICASSO МИН 1999-  СТ ЗАДН ТЗЛ+СТОП</t>
  </si>
  <si>
    <t>CITROEN XSARA PICASSO МИН 1999-  СТ ЗАДН ЗЛ+СТОП</t>
  </si>
  <si>
    <t>CITROEN XSARA PICASSO 1999-  СТ ПЕР ДВ ОП ЛВ ЗЛ</t>
  </si>
  <si>
    <t>CITROEN XSARA PICASSO 1999-  СТ БОК ПЕР НЕП ЛВ ЗЛ</t>
  </si>
  <si>
    <t>CITROEN XSARA PICASSO 1999-  СТ ЗАДН ДВ ОП ЛВ ЗЛ</t>
  </si>
  <si>
    <t>CITROEN XSARA PICASSO 1999-  СТ БОК НЕП ЛВ ЗЛ</t>
  </si>
  <si>
    <t>CITROEN XSARA PICASSO 1999-  СТ ПЕР ДВ ОП ПР ЗЛ</t>
  </si>
  <si>
    <t>CITROEN XSARA PICASSO 1999-  СТ ЗАДН ДВ ОП ПР ЗЛ</t>
  </si>
  <si>
    <t>CITROEN XSARA PICASSO 1999-  СТ БОК НЕП ПР ЗЛ</t>
  </si>
  <si>
    <t>ZX 1991-1998</t>
  </si>
  <si>
    <t>CITROEN ZX 1991-1997 СТ ВЕТР КР</t>
  </si>
  <si>
    <t>CITROEN ZX 1991-1997 СТ ВЕТР ЗЛ КР</t>
  </si>
  <si>
    <t>CITROEN ZX 1991-1997 СТ ВЕТР ЗЛГЛ</t>
  </si>
  <si>
    <t>CITROEN ZX 1991-1997 СТ ВЕТР ЗЛЗЛ</t>
  </si>
  <si>
    <t>CITROEN ZX 1991  УСТ КОМПЛ ДЛЯ СТ ВЕТР СО СПЕЙС</t>
  </si>
  <si>
    <t>CITROEN ZX ХБ 1991-1997 СТ ЗАДН ЭО</t>
  </si>
  <si>
    <t>1993-1997</t>
  </si>
  <si>
    <t>CITROEN ZX УН 1993-1998 СТ ЗАДН ЭО ЗЛ</t>
  </si>
  <si>
    <t>CITROEN ZX ХБ 1991-1997 СТ ЗАДН ЭО ЗЛ</t>
  </si>
  <si>
    <t>CITROEN ZX СЕД 1991-1997 МОЛД  ДЛЯ СТ ЗАДН</t>
  </si>
  <si>
    <t>CITROEN ZX HB 5Д 1991-1997 СТ ПЕР ДВ ОП ЛВ</t>
  </si>
  <si>
    <t>CITROEN ZX 3Д 1991-1997 СТ ПЕР ДВ ОП ЛВ ЗЛ</t>
  </si>
  <si>
    <t>CITROEN ZX 5Д+УН 1991-1997 СТ ПЕР ДВ ОП ЛВ ЗЛ</t>
  </si>
  <si>
    <t>CITROEN ZX 5Д+УН 1991-1997 СТ ЗАДН ДВ ОП ЛВ ЗЛ</t>
  </si>
  <si>
    <t>CITROEN ZX 5Д 1991-1997 СТ БОК НЕП ЛВ ЗЛ</t>
  </si>
  <si>
    <t>CITROEN ZX 5Д+УН 1991-1997  СТ ПЕР ДВ ОП ПР</t>
  </si>
  <si>
    <t>CITROEN ZX HB 3Д 1991-1997 СТ ПЕР ДВ ОП ПР ЗЛ</t>
  </si>
  <si>
    <t>CITROEN ZX 5Д+УН 1991-1997 СТ ПЕР ДВ ОП ПР ЗЛ</t>
  </si>
  <si>
    <t>CITROEN ZX 5Д+УН 1991-1997 СТ ЗАДН ДВ ОП ПР ЗЛ</t>
  </si>
  <si>
    <t>CITROEN ZX 5Д 1991-1997 СТ БОК ПР ЗЛ</t>
  </si>
  <si>
    <t>DAEWOO</t>
  </si>
  <si>
    <t>AVIA TRUCK 2002-</t>
  </si>
  <si>
    <t>DAEWOO AVIA 2002- СТ ВЕТР</t>
  </si>
  <si>
    <t>DAEWOO AVIA 2002- СТ ВЕТР ЗЛГЛ</t>
  </si>
  <si>
    <t>DAEWOO AVIA ГР 2002- СТ ЗАДН ЛВ</t>
  </si>
  <si>
    <t>DAEWOO AVIA ГР 2002- СТ ЗАДН ПР</t>
  </si>
  <si>
    <t>DAEWOO AVIA ГР 2002- СТ ЗАДН СРЕД+ИЗМ РАЗМ</t>
  </si>
  <si>
    <t>DAEWOO AVIA ГР 2002- СТ ЗАДН ПР ЗЛ</t>
  </si>
  <si>
    <t>DAEWOO AVIA ГР 2002- СТ ЗАДН СРЕД ЗЛ+ИЗМ РАЗМ</t>
  </si>
  <si>
    <t>DAEWOO AVIA 2002- СТ ПЕР ДВ ОП ЛВ</t>
  </si>
  <si>
    <t>DAEWOO AVIA 2002- СТ ПЕР ДВ НЕП ЛВ</t>
  </si>
  <si>
    <t>DAEWOO AVIA 2002- СТ ПЕР ДВ ОП ЛВ ЗЛ</t>
  </si>
  <si>
    <t>DAEWOO AVIA 2002- СТ ПЕР ДВ НЕП ЛВ ЗЛ</t>
  </si>
  <si>
    <t>DAEWOO AVIA 2002- СТ ПЕР ДВ ОП ПР</t>
  </si>
  <si>
    <t>DAEWOO AVIA 2002- СТ ПЕР ДВ НЕП ПР</t>
  </si>
  <si>
    <t>DAEWOO AVIA 2002- СТ ПЕР ДВ ОП ПР ЗЛ</t>
  </si>
  <si>
    <t>DAEWOO AVIA 2002- СТ ПЕР ДВ НЕП ПР ЗЛ</t>
  </si>
  <si>
    <t>ESPERO 4Д 1995-1999</t>
  </si>
  <si>
    <t>DAEWOO ESPERO 4Д 1995-1999  СТ ВЕТР ЗЛГЛ</t>
  </si>
  <si>
    <t>DAEWOO ESPERO 1995-1999   МОЛД  ДЛЯ СТ ВЕТР</t>
  </si>
  <si>
    <t>DAEWOO ESPERO СД 4Д 1995-1999  СТ ЗАДН ЗЛ</t>
  </si>
  <si>
    <t>DAEWOO ESPERO 4Д 1995-1999  СТ ПЕР ДВ ОП ЛВ ЗЛ</t>
  </si>
  <si>
    <t>DAEWOO ESPERO 4Д 1995-1999  СТ ЗАДН ДВ ОП ЛВ ЗЛ</t>
  </si>
  <si>
    <t>DAEWOO ESPERO 1995-1999  СТ БОК НЕП ЛВ ЗЛ+ИНК</t>
  </si>
  <si>
    <t>DAEWOO ESPERO 4Д 1995-1999  СТ ПЕР ДВ ОП ПР ЗЛ</t>
  </si>
  <si>
    <t>DAEWOO ESPERO 4Д 1995-1999  СТ ЗАДН ДВ ОП ПР ЗЛ</t>
  </si>
  <si>
    <t>LANOS 1997-</t>
  </si>
  <si>
    <t>1997-</t>
  </si>
  <si>
    <t>DAEWOO LANOS 1997-  СТ ВЕТР ПРГЛ</t>
  </si>
  <si>
    <t>DAEWOO LANOS 1997-  СТ ВЕТР ЗЛГЛ</t>
  </si>
  <si>
    <t>DAEWOO LANOS 1997-   МОЛД  ДЛЯ СТ ВЕТР</t>
  </si>
  <si>
    <t>DAEWOO LANOS СД 1997-  СТ ЗАДН ЭО</t>
  </si>
  <si>
    <t>DAEWOO LANOS ХБ 1997-  СТ ЗАДН ЭО ЗЛ</t>
  </si>
  <si>
    <t>DAEWOO LANOS СД 1997-  СТ ЗАДН ЭО ЗЛ ФИТ</t>
  </si>
  <si>
    <t>DAEWOO LANOS 1997- СТ ПЕР ДВ ОП ЛВ</t>
  </si>
  <si>
    <t>DAEWOO LANOS 1997- СТ ЗАДН ДВ ОП ЛВ</t>
  </si>
  <si>
    <t>DAEWOO LANOS 3Д ХБ 1997-  СТ ПЕР ДВ ОП ЛВ ЗЛ+2 ОТВ</t>
  </si>
  <si>
    <t>DAEWOO LANOS 1997- СТ ПЕР ДВ ОП ЛВ ЗЛ</t>
  </si>
  <si>
    <t>DAEWOO LANOS 5Д ХБ+СД 1997- СТ ПЕР ДВ ОП ЛВ ЗЛ+2ОТВ</t>
  </si>
  <si>
    <t>DAEWOO LANOS 5Д ХБ+СД 1997- СТ ЗАДН ДВ ОП ЛВ ЗЛ+2ОТВ</t>
  </si>
  <si>
    <t>DAEWOO LANOS 1997- СТ ЗАДН ДВ ОП ЛВ ЗЛ</t>
  </si>
  <si>
    <t>DAEWOO LANOS 1997- СТ ПЕР ДВ ОП ПР</t>
  </si>
  <si>
    <t>DAEWOO LANOS 1997- СТ ЗАДН ДВ ОП ПР</t>
  </si>
  <si>
    <t>DAEWOO LANOS 3Д ХБ 1997- СТ ПЕР ДВ ОП ПР ЗЛ+2ОТВ</t>
  </si>
  <si>
    <t>DAEWOO LANOS 1997- СТ ПЕР ДВ ОП ПР ЗЛ</t>
  </si>
  <si>
    <t>DAEWOO LANOS 1997- СТ ЗАДН ДВ ОП ПР ЗЛ</t>
  </si>
  <si>
    <t>DAEWOO LANOS 1997- ХБ 3Д СТ БОК НЕП ПР ЗЛ ОТКР</t>
  </si>
  <si>
    <t>DAEWOO LANOS 5Д ХБ+СД 1997- СТ ПЕР УО ПР ЗЛ+2ОТВ</t>
  </si>
  <si>
    <t>DAEWOO LANOS 5Д ХБ+СД 1997- СТ ЗАДН ДВ ОП ПР ЗЛ+2ОТВ</t>
  </si>
  <si>
    <t>LEGANZA СД 1997-2002</t>
  </si>
  <si>
    <t>1997-2002</t>
  </si>
  <si>
    <t>DAEWOO LEGANZA СЕД 1997-2002  СТ ВЕТР ЗЛГЛ</t>
  </si>
  <si>
    <t>DAEWOO LEGANZA СЕД 1997-2002  МОЛД  ДЛЯ СТ ВЕТР</t>
  </si>
  <si>
    <t>DAEWOO LEGANZA СД 1997-2002  СТ ЗАДН ЭО ЗЛ</t>
  </si>
  <si>
    <t>DAEWOO LEGANZA СЕД 1997-2002  СТ ПЕР ДВ ОП ЛВ ЗЛ</t>
  </si>
  <si>
    <t>DAEWOO LEGANZA СЕД 1997-2002  СТ ЗАДН ДВ ОП ЛВ ЗЛ+2ОТВ</t>
  </si>
  <si>
    <t>DAEWOO LEGANZA СЕД 1997-2002  ФОРТ ЗАДН НЕП ЛВ ЗЛ</t>
  </si>
  <si>
    <t>DAEWOO LEGANZA СЕД 1997-2002  СТ ПЕР ДВ ОП ПР ЗЛ+2ОТВ</t>
  </si>
  <si>
    <t>DAEWOO LEGANZA СЕД 1997-2002  СТ ЗАДН ДВ ОП ПР ЗЛ+2 ОТВ</t>
  </si>
  <si>
    <t>DAEWOO LEGANZA СЕД 1997-2002  ФОРТ ЗАДН НЕП ПР ЗЛ</t>
  </si>
  <si>
    <t>MATIZ 1998-</t>
  </si>
  <si>
    <t>1998-</t>
  </si>
  <si>
    <t>DAEWOO MATIZ 1998-  СТ ВЕТР ЗЛГЛ</t>
  </si>
  <si>
    <t>DAEWOO MATIZ 1998-   МОЛД  ДЛЯ СТ ВЕТР</t>
  </si>
  <si>
    <t>DAEWOO MATIZ ХБ 1998-  СТ ЗАДН+УО</t>
  </si>
  <si>
    <t>DAEWOO MATIZ ХБ 1998-  СТ ЗАДН ЗЛ+УО</t>
  </si>
  <si>
    <t>DAEWOO MATIZ 1998-  СТ ПЕР ДВ ОП ЛВ</t>
  </si>
  <si>
    <t>DAEWOO MATIZ 1998-  СТ ПЕР ДВ ОП ЛВ ЗЛ</t>
  </si>
  <si>
    <t>DAEWOO MATIZ 1998-  СТ ФОРТ ПЕР ДВ ЛВ ЗЛ</t>
  </si>
  <si>
    <t>DAEWOO MATIZ 1998-  СТ ЗАДН ДВ ОП ЛВ ЗЛ</t>
  </si>
  <si>
    <t>DAEWOO MATIZ 1998-  СТ ПЕР ДВ ОП ПР</t>
  </si>
  <si>
    <t>DAEWOO MATIZ 1998-  СТ ПЕР ДВ ОП ПР ЗЛ</t>
  </si>
  <si>
    <t>DAEWOO MATIZ 1998-  СТ ФОРТ ПЕР ДВ ПР ЗЛ</t>
  </si>
  <si>
    <t>DAEWOO MATIZ 1998-  СТ ЗАДН ДВ ОП ПР ЗЛ</t>
  </si>
  <si>
    <t>NEXIA 3Д/4Д/5Д 1995-</t>
  </si>
  <si>
    <t>DAEWOO NEXIA 4Д/5Д 1995-  СТ ВЕТР ЗЛ</t>
  </si>
  <si>
    <t>DAEWOO NEXIA 3Д/4Д/5Д 1995-  СТ ВЕТР ЗЛГЛ</t>
  </si>
  <si>
    <t>Q069450</t>
  </si>
  <si>
    <t>DAEWOO NEXIA 3Д/4Д/5Д 1995-  СТ ВЕТР ЗЛГЛ-OES</t>
  </si>
  <si>
    <t>DAEWOO NEXIA 3Д/4Д/5Д 1995-  МОЛД  ДЛЯ СТ ВЕТР</t>
  </si>
  <si>
    <t>DAEWOO NEXIA 4Д СД 1995-  СТ ЗАДН ЗЛ/OPEL KADETT E СД 1983-1991 СТ ЗАДН ЭО ЗЛ</t>
  </si>
  <si>
    <t>DAEWOO NEXIA 4Д/5Д 1995-  СТ ПЕР ДВ ОП ЛВ/OPEL KADETT E ХБ/УН 5Д+СД 1983-1991 СТ ПЕР ДВ ОП ЛВ</t>
  </si>
  <si>
    <t>DAEWOO NEXIA 3Д 1995-  СТ ЗАДН ОП ЛВ/OPEL KADETT E 1983-1991 СТ ЗАДН ДВ ОП ЛВ</t>
  </si>
  <si>
    <t>DAEWOO NEXIA 3Д 1995- ХБ 5Д СТ ФОРТ ЗАДН НЕП ЛВ/OPEL KADETT E 1983-1991 СТ ФОРТ ЗАДН НЕП ЛВ</t>
  </si>
  <si>
    <t>DAEWOO NEXIA 1995- HB СТ ПЕР ДВ ОП ЛВ ЗЛ/OPEL KADETT E ХБ/УН +VAN 1983-1991 СТ ПЕР ДВ ОП ЗЛ</t>
  </si>
  <si>
    <t>DAEWOO NEXIA 1995-  СТ ПЕР ДВ ОП ЛВ ЗЛ/OPEL KADETT E ХБ/УН5Д+СД 1983-1991 СТ ПЕР ДВ ОП ЛВ ЗЛ</t>
  </si>
  <si>
    <t>DAEWOO NEXIA 1995-  СТ ЗАДН ДВ ОП ЛВ ЗЛ/OPEL KADETT E 1983-1991 СТ ЗАДН ДВ ОП ЛВ ЗЛ</t>
  </si>
  <si>
    <t>DAEWOO NEXIA 1995-  СТ ФОРТ ЗАДН НЕП ЛВ ЗЛ/OPEL KADETTE СД 1983-1991 СТ ЗАДН ДВ НЕП ЛВ ЗЛ</t>
  </si>
  <si>
    <t>DAEWOO NEXIA 4Д/5Д 1995-  СТ ПЕР ДВ ОП ПР/OPEL KADETT E ХБ/УН +BELMONT 1983-1991 СТ ПЕР ДВ ОП ПР</t>
  </si>
  <si>
    <t>DAEWOO NEXIA 3Д 1995- ХБ 5Д СТ ЗАДН ОП ПР /OPEL KADETT E 1983-1991 СТ ЗАДН ДВ ОП ПР</t>
  </si>
  <si>
    <t>DAEWOO NEXIA 4Д/5Д 1995-  СТ ФОРТ ЗАДН НЕП ПР/OPEL KADETT E СД 1983-1991 СТ БОК НЕП ПР</t>
  </si>
  <si>
    <t>DAEWOO NEXIA 1995- HB  СТ ПЕР ДВ ОП ПР ЗЛ/OPEL KADETT E ХБ/УН3Д+2D 1983-1991 СТ ПЕР ДВ ОП ПР ЗЛ</t>
  </si>
  <si>
    <t>DAEWOO NEXIA 1995-  СТ ПЕР ДВ ОП ПР ЗЛ/OPEL KADETTE ХБ/УН 5Д+СД 1983-1991 СТ ПЕР ДВ ОП ПР ЗЛ</t>
  </si>
  <si>
    <t>DAEWOO NEXIA 1995-  СТ ЗАДН ДВ ОП ПР ЗЛ/OPEL KADETT E 1983-1991 СТ ЗАДН ДВ ОП ПР ЗЛ</t>
  </si>
  <si>
    <t>DAEWOO NEXIA 1995-  СТ ФОРТ ЗАДН НЕП ПР ЗЛ/OPEL KADETT E СД 1983-1991 СТ ЗАДН ДВ ПР ЗЛ</t>
  </si>
  <si>
    <t>NUBIRA 1997-2003</t>
  </si>
  <si>
    <t>DAEWOO NUBIRA ХБ+СЕД+УН 1997-2003  СТ ВЕТР ЗЛГЛ</t>
  </si>
  <si>
    <t>DAEWOO NUBIRA ХБ+СЕД+УН 1997-2003  СТ ВЕТР ЗЛГЛ+ИЗМ РАЗМ</t>
  </si>
  <si>
    <t>DAEWOO NUBIRA 1997-2003  МОЛД  ДЛЯ СТ ВЕТР</t>
  </si>
  <si>
    <t>DAEWOO NUBIRA ХБ 1997-2003  СТ ЗАДН ЗЛ</t>
  </si>
  <si>
    <t>DAEWOO NUBIRA СД 1997-2003  СТ ЗАДН ЭО ЗЛ</t>
  </si>
  <si>
    <t>DAEWOO NUBIRA УН 1997-2003  СТ ЗАДН ДВ ОП ЛВ ЗЛ</t>
  </si>
  <si>
    <t>DAEWOO NUBIRA УН 1997-2003  СТ БОК ЛВ ЗЛ</t>
  </si>
  <si>
    <t>DAEWOO NUBIRA ХБ+СД+УН 1997-2003 СТ ПЕП ДВ ОП ЛВ ЗЛ</t>
  </si>
  <si>
    <t>DAEWOO NUBIRA ХБ+СЕД 1997-2003  СТ ЗАДН ДВ ОП ЛВ ЗЛ</t>
  </si>
  <si>
    <t>DAEWOO NUBIRA УН 1997-2003  СТ ЗАДН ДВ ОП ПР ЗЛ</t>
  </si>
  <si>
    <t>DAEWOO NUBIRA УН 1997-2003  СТ БОК ПР ЗЛ</t>
  </si>
  <si>
    <t>DAEWOO NUBIRA ХБ+СД+УН 1997-2003 СТ ПЕР ДВ ОП ПР ЗЛ</t>
  </si>
  <si>
    <t>DAEWOO NUBIRA ХБ+СЕД 1997-2003  СТ ЗАДН ДВ ОП ПР ЗЛ</t>
  </si>
  <si>
    <t>TICO 3/5Д HB 1995-2003</t>
  </si>
  <si>
    <t>1995-2003</t>
  </si>
  <si>
    <t>DAEWOO TICO 1995-2003  СТ ВЕТР</t>
  </si>
  <si>
    <t>DAEWOO TICO 1995-2003  СТ ВЕТР ЗЛГЛ</t>
  </si>
  <si>
    <t>DAEWOO TICO 1996-2003 5Д МОЛД  ДЛЯ СТ ВЕТР ЛВ</t>
  </si>
  <si>
    <t>DAEWOO TICO 1996-2003 5Д  МОЛД  ДЛЯ СТ ВЕТР ПР</t>
  </si>
  <si>
    <t>DAEWOO TICO 1996-2003  МОЛД  ДЛЯ СТ ВЕТР ВЕРХ</t>
  </si>
  <si>
    <t>DAEWOO TICO ХБ 1995-2003  СТ ЗАДН ДВ</t>
  </si>
  <si>
    <t>DAEWOO TICO ХБ 1995-2003  СТ ЗАДН ДВ ЗЛ</t>
  </si>
  <si>
    <t>DAEWOO TICO 1995-2003  СТ ПЕР ДВ ОП ЛВ</t>
  </si>
  <si>
    <t>DAEWOO TICO 1995-2003  СТ ПЕР ДВ ОП ПР</t>
  </si>
  <si>
    <t>DAEWOO TICO 1995-2003  СТ ЗАДН ДВ ОП ПР</t>
  </si>
  <si>
    <t>DAF</t>
  </si>
  <si>
    <t>DAF 2800 1975-1983</t>
  </si>
  <si>
    <t>DAF 2800 1975-1983  СТ ВЕТР</t>
  </si>
  <si>
    <t>DAF 75/85 1993-2000</t>
  </si>
  <si>
    <t>1993-2000</t>
  </si>
  <si>
    <t>DAF 75/85 1993-2000  СТ ВЕТР</t>
  </si>
  <si>
    <t>DAF 75/85 1993-2000  СТ ВЕТР ЗЛ</t>
  </si>
  <si>
    <t>DAF 75/85 1993-2000  МОЛД  ДЛЯ СТ ВЕТР</t>
  </si>
  <si>
    <t>DAF 75/85 1993-2000  СТ ПЕР ДВ ОП ЛВ</t>
  </si>
  <si>
    <t>DAF 75/85 1993-2000  СТ ПЕР ДВ ОП ЛВ ЗЛ</t>
  </si>
  <si>
    <t>DAF 75/85 1993-2000  СТ ПЕР ДВ ОП ПР</t>
  </si>
  <si>
    <t>DAF 75/85 1993-2000  СТ ПЕР ДВ ОП ПР ЗЛ</t>
  </si>
  <si>
    <t>DAF F1200-3300,TURBO 1973-1994</t>
  </si>
  <si>
    <t>1973-1994</t>
  </si>
  <si>
    <t>DAF F1200 3300 1973-1994 СТ ВЕТР</t>
  </si>
  <si>
    <t>DAF F95 1987-1997</t>
  </si>
  <si>
    <t>DAF F95 1987-1997  СТ ВЕТР БР</t>
  </si>
  <si>
    <t>DAF F95 1987-1997  СТ ВЕТР</t>
  </si>
  <si>
    <t>DAF F95 1987-1997  СТ ВЕТР ЗЛ</t>
  </si>
  <si>
    <t>DAF F95 1987-1997  СТ ВЕТР ЗЛЗЛ</t>
  </si>
  <si>
    <t>DAF F95 1987-1997 РЕЗ ПРОФ ДЛЯ СТ ВЕТР БЕЗ ДОЖД КАН</t>
  </si>
  <si>
    <t>DAF F95 1987-1997  СТ ПЕР ДВ ОП</t>
  </si>
  <si>
    <t>DAF F95 1987-1997  СТ ПЕР ДВ ОП ЛВ БР/PEGASO TRONER 1987 СТ ПЕР ДВ ОП ЛВ БР</t>
  </si>
  <si>
    <t>DAF 400 1987-</t>
  </si>
  <si>
    <t>1987-</t>
  </si>
  <si>
    <t>DAF 400 1987-  СТ ВЕТР/LEYLAND NC SHERPA VAN+PU+BUS 1974-  СТ ВЕТР</t>
  </si>
  <si>
    <t>DAF LF45-55 2001-</t>
  </si>
  <si>
    <t>DAF LF 45-55 2001- СТ ВЕТР ЗЛ/RENAULT MIDLUM 2001- СТ ВЕТР ЗЛ+УО</t>
  </si>
  <si>
    <t>DAF LF 45-55 2001- МОЛД  ДЛЯ СТ ВЕТР</t>
  </si>
  <si>
    <t>DAF XF 2006-</t>
  </si>
  <si>
    <t>DAF XF 2006- СТ ВЕТР ЗЛ</t>
  </si>
  <si>
    <t>IVECO CLUB/DAF 500,700,900 1976-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</si>
  <si>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</si>
  <si>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</si>
  <si>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</si>
  <si>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</si>
  <si>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1977-1993</t>
  </si>
  <si>
    <t>FIAT 110,130,150 SER HCF 1977-1993 СТ ВЕТР</t>
  </si>
  <si>
    <t>FIAT 242 1983-</t>
  </si>
  <si>
    <t>1974-1986</t>
  </si>
  <si>
    <t>FIAT 242 1983  СТ ВЕТР</t>
  </si>
  <si>
    <t>FIAT 684 1972-1978</t>
  </si>
  <si>
    <t>1972-1978</t>
  </si>
  <si>
    <t>FIAT 643 697,FC TRUCK 1972-1978 СТ ВЕТР</t>
  </si>
  <si>
    <t>FIAT OM 50/100 1973-1988</t>
  </si>
  <si>
    <t>1973-1988</t>
  </si>
  <si>
    <t>FIAT OM 50/100 1973-1988 СТ ВЕТР</t>
  </si>
  <si>
    <t>FIAT OM DAILY/GRINTA (TURBO DAILY) 1978-1999</t>
  </si>
  <si>
    <t>1978-1999</t>
  </si>
  <si>
    <t>FIAT DAILY F8 VAN 1978-1999 СТ ВЕТР</t>
  </si>
  <si>
    <t>FIAT DAILY F8 VAN 1978-1999 СТ ВЕТР ЗЛЗЛ</t>
  </si>
  <si>
    <t>FIAT DAILY F8 VAN 1978-1999 РЕЗ ПРОФ ДЛЯ СТ ВЕТР</t>
  </si>
  <si>
    <t>FIAT OM 170/TURBOTECH 1978-1993</t>
  </si>
  <si>
    <t>1978-1993</t>
  </si>
  <si>
    <t>FIAT 170, F26/35 TRUCK 1978-1993 СТ ВЕТР</t>
  </si>
  <si>
    <t>FIAT 170, F26/35 TRUCK 1978-1993 СТ ВЕТР ЗЛ</t>
  </si>
  <si>
    <t>FIAT/FORD TURBOSTAR 1985-1993</t>
  </si>
  <si>
    <t>1984-1993</t>
  </si>
  <si>
    <t>FIAT /FORD TURBOSTAR 1985-1993 СТ ВЕТР ЗЛ</t>
  </si>
  <si>
    <t>FORD</t>
  </si>
  <si>
    <t>FORD CARGO 1981-1993</t>
  </si>
  <si>
    <t>1981-1993</t>
  </si>
  <si>
    <t>FORD CARGO 1981-1993 СТ ВЕТР</t>
  </si>
  <si>
    <t>FORD ECONOVAN 1985-1992</t>
  </si>
  <si>
    <t>1985-1992</t>
  </si>
  <si>
    <t>FORD ECONOVAN 1985-1992 СТ ВЕТР</t>
  </si>
  <si>
    <t>FORD EUROCARGO 1991-2003</t>
  </si>
  <si>
    <t>1991-2003</t>
  </si>
  <si>
    <t>FORD EUROCARGO 1991-2003 СТ ВЕТР/MAGIRUS EUROCARGO 1991-  СТ ВЕТР</t>
  </si>
  <si>
    <t>FORD EUROCARGO 1991-2003 СТ ВЕТР ЗЛ</t>
  </si>
  <si>
    <t>FORD EUROCARGO 1991-2003 СТ ВЕТР ЗЛЗЛ</t>
  </si>
  <si>
    <t>FORD EUROCARGO 1991-2003  РЕЗ ПРОФ ДЛЯ СТ ВЕТР</t>
  </si>
  <si>
    <t>FORD EUROCARGO 1991-2003 СТ ПЕР ДВ ОП ЛВ/IVECO EUROTECH 1993-1996 СТ ПЕР ДВ ОП ЛВ</t>
  </si>
  <si>
    <t>FORD EUROCARGO 1991-2003 СТ ПЕР ДВ ОП ЛВ ЗЛ/IVECO EUROSTAR 1993-  СТ ПЕР ДВ ОП ЛВ ЗЛ</t>
  </si>
  <si>
    <t>FORD EUROCARGO 1991-2003 СТ ФОРТ ПЕР НЕП ЛВ ЗЛ</t>
  </si>
  <si>
    <t>FORD EUROCARGO 1991-2003 СТ ПЕР ДВ ОП ПР/IVECO EUROTECH 1993-1996 СТ ПЕР ДВ ОП ПР</t>
  </si>
  <si>
    <t>FORD EUROCARGO 1991-2003 СТ ПЕР НЕП ПР/IVECO EUROTECH 1992-1996 СТ ФОРТ ПЕР НЕП ПР</t>
  </si>
  <si>
    <t>FORD EUROCARGO 1991-2003 СТ ПЕР ДВ ОП ПР ЗЛ/IVECO EUROSTAR 1993- СТ ПЕР ДВ ОП ПР ЗЛ</t>
  </si>
  <si>
    <t>FORD EUROCARGO 1991-2003 СТ ФОРТ ПЕР НЕП ПР ЗЛ/IVECO EUROSTAR 1993- СТ ФОРТ ПЕР НЕП ПР ЗЛ</t>
  </si>
  <si>
    <t>FORD TRANSCONTINENTAL,H SERIES 1975-1985</t>
  </si>
  <si>
    <t>1975-1985</t>
  </si>
  <si>
    <t>FORD TRANSCONTINENTAL,H SER 1975-1985 СТ ВЕТР БР</t>
  </si>
  <si>
    <t>FORD TRANSCONTINENTAL,H SER 1975-1985 СТ ВЕТР/RENAULT MAJOR 2P TRUCK CLEAR СТ ВЕТР</t>
  </si>
  <si>
    <t>IVECO</t>
  </si>
  <si>
    <t>IVECO DAILY S 2000 1999-</t>
  </si>
  <si>
    <t>IVECO DAILY S 2000 1999- СТ ВЕТР ЗЛ/IVECO DAILY II 1999- СТ ВЕТР ЗЛ+КР</t>
  </si>
  <si>
    <t>IVECO DAILY II 1999- СТ ВЕТР ЗЛ+КР/IVECO DAILY S 2000 1999- СТ ВЕТР ЗЛ</t>
  </si>
  <si>
    <t>IVECO DAILY II 1999- СТ ВЕТР ЗЛЗЛ+КР/IVECO DAILY II 1999- СТ ВЕТР ЗЛЗЛ+КР</t>
  </si>
  <si>
    <t>IVECO DAILY II 1999- СТ ВЕТР ЗЛ ЭО+КР</t>
  </si>
  <si>
    <t>IVECO DAILY II 1999- МОЛД  ДЛЯ СТ ВЕТР</t>
  </si>
  <si>
    <t>IVECO DAILY S 2000 ПИКАП 1999- СТ ЗАДН ЗЛ ЭО</t>
  </si>
  <si>
    <t>IVECO DAILY S 2000 МИН 1999- СТ ЗАДН ЗЛ ЛВ+УО</t>
  </si>
  <si>
    <t>IVECO DAILY S 2000 МИН 1999- СТ ЗАДН ЗЛ ПР+УО</t>
  </si>
  <si>
    <t>IVECO DAILY S 2000 1999- СТ ПЕР ДВ ОП ЛВ ЗЛ+УО/RENAULT MASTER 12/1999-  VAN 4Д СТ ПЕР ДВ ОП ЛВ ЗЛ+УО</t>
  </si>
  <si>
    <t>IVECO DAILY S 2000 1999- СТ ПЕР ДВ НЕП ЛВ ЗЛ/RENAULT MASTER 12/1999-  VAN 4Д СТ ФОРТ ПЕР НЕП ЛВ ЗЛ</t>
  </si>
  <si>
    <t>IVECO DAILY S 2000 1999- СТ ПЕР ДВ ОП ПР ЗЛ+УО/RENAULT MASTER 12/1999-  VAN 4Д СТ ПЕР ДВ ОП ПР ЗЛ+УО</t>
  </si>
  <si>
    <t>IVECO DAILY S 2000 1999- СТ ПЕР ДВ НЕП ПР ЗЛ/RENAULT MASTER 12/1999-  VAN 4Д СТ ФОТР ПЕР НЕП ПР ЗЛ</t>
  </si>
  <si>
    <t>IVECO EUROTECH 1993-2003/EUROTRAKKER 1996-2003</t>
  </si>
  <si>
    <t>1993-2003</t>
  </si>
  <si>
    <t>IVECO EUROTECH 1993-2003 /EUROTRAKKER 1996-2003 СТ ВЕТР</t>
  </si>
  <si>
    <t>IVECO EUROTECH 1993-2003 /EUROTRAKKER 1996-2003 СТ ВЕТР ЗЛ</t>
  </si>
  <si>
    <t>IVECO EUROTECH 1993-2003 /EUROTRAKKER 1996-2003  РЕЗ ПРОФ ДЛЯ СТ ВЕТР</t>
  </si>
  <si>
    <t>1993-1996</t>
  </si>
  <si>
    <t>IVECO EUROTECH 1993-1996 СТ ПЕР ДВ ОП ЛВ/FORD EUROCARGO 1991-2003 СТ ПЕР ДВ ОП ЛВ</t>
  </si>
  <si>
    <t>IVECO EUROTECH 1993-1996 СТ ПЕР ДВ ОП ПР/FORD EUROCARGO 1991-2003 СТ ПЕР ДВ ОП ПР</t>
  </si>
  <si>
    <t>IVECO EUROTECH 1992-1996 СТ ФОРТ ПЕР НЕП ПР/FORD EUROCARGO 1991-2003 СТ ПЕР НЕП ПР</t>
  </si>
  <si>
    <t>IVECO EUROCARGO 2003-</t>
  </si>
  <si>
    <t>IVECO EUROCARGO 2003- СТ ВЕТР+УО</t>
  </si>
  <si>
    <t>IVECO EUROCARGO 2003- СТ ВЕТР ЗЛ</t>
  </si>
  <si>
    <t>IVECO EUROCARGO 2003- СТ ВЕТР ЗЛ+УО</t>
  </si>
  <si>
    <t>IVECO EUROCARGO 2003 МОЛД  ДЛЯ СТ ВЕТР ВЕРХ</t>
  </si>
  <si>
    <t>IVECO LD, EUROSTAR (STRALIS) 1993-</t>
  </si>
  <si>
    <t>1993-</t>
  </si>
  <si>
    <t>IVECO EUROSTAR 1993-  СТ ВЕТР ЗЛ/FIAT STRALIS 2002  СТ ВЕТР ЗЛ</t>
  </si>
  <si>
    <t>IVECO EUROSTAR 1993-  РЕЗ ПРОФ ДЛЯ СТ ВЕТР</t>
  </si>
  <si>
    <t>IVECO EUROSTAR 1993-  СТ ПЕР ДВ ОП ЛВ ЗЛ/FORD EUROCARGO 1991-2003 СТ ПЕР ДВ ОП ЛВ ЗЛ</t>
  </si>
  <si>
    <t>IVECO EUROSTAR 1993-  СТ ПЕР ДВ ОП ПР ЗЛ/FORD EUROCARGO 1991-2003 СТ ПЕР ДВ ОП ПР ЗЛ</t>
  </si>
  <si>
    <t>LEYLAND/DAF</t>
  </si>
  <si>
    <t>LEYLAND/DAF 200 SER. PILOT VAN 1996-</t>
  </si>
  <si>
    <t>LEYLAND/DAF 200 SER PILOT VAN 1996- СТ ВЕТР</t>
  </si>
  <si>
    <t>LEYLAND/DAF 200 SER PILOT VAN 1996- СТ ПЕР ДВ ОП ЛВ/LEYLAND/DAF 400 SER CONVOY VAN 1996- СТ ПЕР ДВ ОП ЛВ</t>
  </si>
  <si>
    <t>LEYLAND/DAF 200 SER PILOT VAN 1996- СТ ФОРТ ПЕР НЕП ЛВ/LEYLAND/DAF 400 SER CONVOY VAN 1996- СТ ФОР ПЕР ДВ ЛВ</t>
  </si>
  <si>
    <t>LEYLAND/DAF 200 SER PILOT VAN 1996- СТ ПЕР ДВ ОП ПР/LEYLAND/DAF 400 SER CONVOY VAN 1996- СТ ПЕР ДВ ОП ПР</t>
  </si>
  <si>
    <t>LEYLAND/DAF 200 SER PILOT VAN 1996- СТ ФОРТ ПЕР НЕП ПР/LEYLAND/DAF 400 SER CONVOY VAN 1996- СТ ФОРТ ПЕР НЕП ПР</t>
  </si>
  <si>
    <t>LEYLAND/DAF 400 SER. CONVOY VAN 1996-</t>
  </si>
  <si>
    <t>LEYLAND/DAF 400 SER CONVOY VAN 1996- СТ ВЕТР</t>
  </si>
  <si>
    <t>LEYLAND/DAF 400 SER CONVOY VAN 1996- СТ ВЕТР+ИЗМ КР</t>
  </si>
  <si>
    <t>LEYLAND/DAF 400 SER CONVOY VAN 1996- СТ ПЕР ДВ ОП ЛВ/LEYLAND/DAF 200 SER PILOT VAN 1996- СТ ПЕР ДВ ОП ЛВ</t>
  </si>
  <si>
    <t>LEYLAND/DAF 400 SER CONVOY VAN 1996- СТ ФОР ПЕР ДВ ЛВ/LEYLAND/DAF 200 SER PILOT VAN 1996- СТ ФОРТ ПЕР НЕП ЛВ</t>
  </si>
  <si>
    <t>LEYLAND/DAF 400 SER CONVOY VAN 1996- СТ ПЕР ДВ ОП ПР/LEYLAND/DAF 200 SER PILOT VAN 1996- СТ ПЕР ДВ ОП ПР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</si>
  <si>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</si>
  <si>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</si>
  <si>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</si>
  <si>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1987-2003</t>
  </si>
  <si>
    <t>LEYLAND ROADRUNNER 1987-2003 СТ ВЕТР</t>
  </si>
  <si>
    <t>LEYLAND NC SHERPA VAN+PU+BUS 1974-</t>
  </si>
  <si>
    <t>1974-</t>
  </si>
  <si>
    <t>LEYLAND NC SHERPA VAN+PU+BUS 1974-  СТ ВЕТР/DAF 400 1987-  СТ ВЕТР</t>
  </si>
  <si>
    <t>LEYLAND ROADRUNNER (RUBBER) 1984- LARGE</t>
  </si>
  <si>
    <t>1984-</t>
  </si>
  <si>
    <t>LEYLAND ROADRUNNER (RUBBER) 1984-  СТ ВЕТР</t>
  </si>
  <si>
    <t>LEYLAND W BODIED SHERPA+DAF F400 1983-1996</t>
  </si>
  <si>
    <t>1983-1996</t>
  </si>
  <si>
    <t>LEYLAND W BODIED SHERPA+DAF F400 1983-1996  СТ ВЕТР/DAF 400 1987-  СТ ВЕТР</t>
  </si>
  <si>
    <t>DAIHATSU</t>
  </si>
  <si>
    <t>APPLAUSE 1989-2000</t>
  </si>
  <si>
    <t>DAIHATSU APPLAUSE 1989-2000 СТ ВЕТР ГЛ</t>
  </si>
  <si>
    <t>CHARADE (G11) 1983-1987</t>
  </si>
  <si>
    <t>1983-1987</t>
  </si>
  <si>
    <t>DAIHATSU CHARADE G11 1983-1987 СТ ВЕТР ГЛ</t>
  </si>
  <si>
    <t>CHARADE 1987-1993</t>
  </si>
  <si>
    <t>DAIHATSU CHARADE 1987-1993 СТ ВЕТР ГЛ</t>
  </si>
  <si>
    <t>DAIHATSU CHARADE 1987-1993 СТ ВЕТР</t>
  </si>
  <si>
    <t>DAIHATSU CHARADE 1987-1993 УСТ КОМПЛ ДЛЯ СТ ВЕТР</t>
  </si>
  <si>
    <t>DAIHATSU CHARADE 1987-1993 СТ ПЕР ДВ ОП ЛВ ГЛ</t>
  </si>
  <si>
    <t>DAIHATSU CHARADE 1987-1993 СТ ПЕР ДВ ОП ПР ГЛ</t>
  </si>
  <si>
    <t>CHARADE 1993-2001</t>
  </si>
  <si>
    <t>DAIHATSU CHARADE 3Д/5Д 1993-2001  СТ ВЕТР ГЛ</t>
  </si>
  <si>
    <t>DAIHATSU CHARADE 3Д/5Д 1993-2001  СТ ВЕТР</t>
  </si>
  <si>
    <t>DAIHATSU CHARADE 3Д/5Д 1993-2001  СТ ВЕТР ЗЛ</t>
  </si>
  <si>
    <t>DAIHATSU CHARADE + 1993-2001  СТ ПЕР ДВ ОП ПР ГЛ+УО</t>
  </si>
  <si>
    <t>DAIHATSU CHARADE 4Д (VALERA G203) 1993-2001  СЕД 4Д СТ ЗАДН ДВ ОП ПР ГЛ+УО</t>
  </si>
  <si>
    <t>CUORE 3Д/5Д 2003-</t>
  </si>
  <si>
    <t>DAIHATSU CUORE /CHARADE L251 2003-  СТ ВЕТР ЗЛ</t>
  </si>
  <si>
    <t>CUORE 3Д/5Д 2008-</t>
  </si>
  <si>
    <t>DAIHATSU CUORE 3Д/5Д 2008-  СТ ВЕТР ЗЛ</t>
  </si>
  <si>
    <t>CUORE L501 3Д+5Д 1995-1999</t>
  </si>
  <si>
    <t>DAIHATSU CUORE L501 3Д+5Д 1995-1999  СТ ВЕТР ЗЛ</t>
  </si>
  <si>
    <t>DAIHATSU CUORE 1995-1999 РЕЗ ПРОФ ДЛЯ СТ ВЕТР</t>
  </si>
  <si>
    <t>CUORE V L701 1999-2003</t>
  </si>
  <si>
    <t>DAIHATSU CUORE 1999-2003 СТ ВЕТР ЗЛ</t>
  </si>
  <si>
    <t>DAIHATSU CUORE 1999-2003  МОЛД  ДЛЯ СТ ВЕТР</t>
  </si>
  <si>
    <t>SIRION 2005-</t>
  </si>
  <si>
    <t>DAIHATSU SIRION 2005  СТ ВЕТР ЗЛ</t>
  </si>
  <si>
    <t>DAIHATSU SIRION 2005  СТ ПЕР ДВ ОП ЛВ ЗЛ+УО</t>
  </si>
  <si>
    <t>DAIHATSU SIRION 2005  СТ ПЕР ДВ ОП ПР ЗЛ+УО</t>
  </si>
  <si>
    <t>TERIOS LHD 2006-</t>
  </si>
  <si>
    <t>DAIHATSU TERIOS LHD 2006  СТ ВЕТР ЗЛ</t>
  </si>
  <si>
    <t>DAIHATSU TERIOS LHD 2006  СТ ВЕТР ЗЛ+ЭО</t>
  </si>
  <si>
    <t>FOURTRACK HARDTOP 1984-1994</t>
  </si>
  <si>
    <t>1984-1994</t>
  </si>
  <si>
    <t>DAIHATSU FOURTRACK HARDTOP 1984-1994 СТ ВЕТР ГЛ</t>
  </si>
  <si>
    <t>DAIHATSU FOURTRACK HARDTOP 1984-1994 СТ ВЕТР</t>
  </si>
  <si>
    <t>DAIHATSU FOURTRACK HARDTOP 1984-1994 СТ ВЕТР ЗЛГЛ</t>
  </si>
  <si>
    <t>GRAND MOVE 1997-2003</t>
  </si>
  <si>
    <t>DAIHATSU GRAND MOVE 1997-2003  СТ ВЕТР ЗЛ</t>
  </si>
  <si>
    <t>DAIHATSU GRAND MOVE 1997-2003 МОЛД  ДЛЯ СТ ВЕТР</t>
  </si>
  <si>
    <t>MOVE 1997-1999</t>
  </si>
  <si>
    <t>1997-1999</t>
  </si>
  <si>
    <t>DAIHATSU MOVE 1997-1999  СТ ВЕТР ЗЛЗЛ/PERODUA KENARI 2000- СТ ВЕТР ЗЛЗЛ</t>
  </si>
  <si>
    <t>DAIHATSU MOVE 1997-1999  РЕЗ ПРОФ ДЛЯ СТ ВЕТР</t>
  </si>
  <si>
    <t>DAIHATSU MOVE МИН 1997-1999  СТ ЗАДН ЗЛ/PERODUA KENARI 2000- СТ ЗАДН ЗЛ</t>
  </si>
  <si>
    <t>MOVE L901 12/1999-</t>
  </si>
  <si>
    <t>1999-</t>
  </si>
  <si>
    <t>DAIHATSU MOVEL 901 12/1999 СТ ВЕТР ЗЛ/PERODUA KENARI 2005- СТ ВЕТР ЗЛ</t>
  </si>
  <si>
    <t>DAIHATSU MOVEL 901 12/1999  МОЛД  ДЛЯ СТ ВЕТР</t>
  </si>
  <si>
    <t>SIRION 1999-2005</t>
  </si>
  <si>
    <t>DAIHATSU SIRION 5Д 1999-2005 СТ ВЕТР ЗЛ</t>
  </si>
  <si>
    <t>DAIHATSU SIRION 5Д 1999-2005 СТ ВЕТР ЗЛГЛ</t>
  </si>
  <si>
    <t>DAIHATSU SIRION 5Д 1998-2005  МОЛД  ДЛЯ СТ ВЕТР</t>
  </si>
  <si>
    <t>DAIHATSU SIRION 5Д 1999-2005 СТ ЗАДН ДВ ОП ЛВ ЗЛ+УО</t>
  </si>
  <si>
    <t>DAIHATSU SIRION 5Д 1999-2005 СТ ПЕР ДВ ОП ПР ЗЛ+УО</t>
  </si>
  <si>
    <t>DAIHATSU SIRION 5Д 1999-2005 СТ ЗАДН ДВ ОП ПР ЗЛ+УО</t>
  </si>
  <si>
    <t>SPORT TRACK 1989-1998</t>
  </si>
  <si>
    <t>DAIHATSU SPORT TRACK 1989-1998 СТ ВЕТР ГЛ</t>
  </si>
  <si>
    <t>DAIHATSU SPORT TRACK 1989-1998  РЕЗ ПРОФ ДЛЯ СТ ВЕТР</t>
  </si>
  <si>
    <t>TERIOS 1997-2006</t>
  </si>
  <si>
    <t>1997-2006</t>
  </si>
  <si>
    <t>DAIHATSU TERIOS 1997-2006 СТ ВЕТР</t>
  </si>
  <si>
    <t>DAIHATSU TERIOS 1997-2006 СТ ВЕТР ЗЛЗЛ</t>
  </si>
  <si>
    <t>DAIHATSU TERIOS 1997-2006 МОЛД  ДЛЯ СТ ВЕТР</t>
  </si>
  <si>
    <t>DAIHATSU TERIOS 1997-2006 СТ ПЕР ДВ ОП ЛВ ЗЛ+УО</t>
  </si>
  <si>
    <t>DAIHATSU TERIOS 1997-2006 СТ ПЕР ДВ ОП ПР ЗЛ+УО</t>
  </si>
  <si>
    <t>DAIHATSU TERIOS 1997-2006 СТ ЗАДН ДВ ОП ПР ЗЛ+УО</t>
  </si>
  <si>
    <t>YRV 5Д ХБ 2001-</t>
  </si>
  <si>
    <t>DAIHATSU YRV 5Д ХБ 2001-  СТ ВЕТР ЗЛ</t>
  </si>
  <si>
    <t>DODGE</t>
  </si>
  <si>
    <t>AVENGER 4Д 2007-</t>
  </si>
  <si>
    <t>DODGE AVENGER 4Д СД 2007- СТ ВЕТР ЗЛ+VIN/CHRYSLER SEBRING СД 4D 2007- СТ ВЕТР ЗЛ+VIN</t>
  </si>
  <si>
    <t>CALIBER 2007-</t>
  </si>
  <si>
    <t>DODGE CALIBER 2007-  СТ ВЕТР ЗЛ</t>
  </si>
  <si>
    <t>DODGE CALIBER МИН 2007-  СТ ЗАДН ЗЛ</t>
  </si>
  <si>
    <t>DODGE CALIBER 2007-  СТ ПЕР ДВ ОП ЛВ ЗЛ</t>
  </si>
  <si>
    <t>DODGE CALIBER 2007-  СТ ЗАДН ДВ ОП ЛВ ЗЛ</t>
  </si>
  <si>
    <t>DODGE CALIBER 2007-  СТ ПЕР ДВ ОП ПР ЗЛ</t>
  </si>
  <si>
    <t>DODGE CALIBER 2007-  СТ ЗАДН ДВ ОП ПР ЗЛ</t>
  </si>
  <si>
    <t>GRAND CARAVAN 2008-</t>
  </si>
  <si>
    <t>DODGE GRAND CARAVAN 2008- СТ ВЕТР ЗЛ+VIN/CHRYSLER GRAND VOYAGER 2008- СТ ВЕТР ЗЛ+VIN</t>
  </si>
  <si>
    <t>NITRO 2007-</t>
  </si>
  <si>
    <t>DODGE NITRO 2007- СТ ВЕТР ЗЛ+VIN</t>
  </si>
  <si>
    <t>DODGE NITRO 2007- СТ ПЕР ДВ ОП ЛВ ЗЛ</t>
  </si>
  <si>
    <t>DODGE NITRO 2007- СТ ПЕР ДВ ОП ПР ЗЛ</t>
  </si>
  <si>
    <t>ERF</t>
  </si>
  <si>
    <t>ES SER 1988-</t>
  </si>
  <si>
    <t>ERF ES SER 1988-  СТ ВЕТР/MAN L00 1993-1997  СТ ВЕТР</t>
  </si>
  <si>
    <t>FERRARI</t>
  </si>
  <si>
    <t>SCAGLIETTI 2005-</t>
  </si>
  <si>
    <t>FERRARI SCAGLIETTI 2005- СТ ВЕТР ЗЛ ДД+VIN+ИНК</t>
  </si>
  <si>
    <t>126 1973-1987</t>
  </si>
  <si>
    <t>1973-1987</t>
  </si>
  <si>
    <t>FIAT 126 1973-1987 СТ ВЕТР</t>
  </si>
  <si>
    <t>127 СЕД+ХБ+FIORINO 1971-1983</t>
  </si>
  <si>
    <t>1971-1983</t>
  </si>
  <si>
    <t>FIAT 127 СЕД+ХБ+FIORINO 1971-1983 СТ ВЕТР</t>
  </si>
  <si>
    <t>500 3Д 2007-</t>
  </si>
  <si>
    <t>FIAT 500 3Д 2007- СТ ВЕТР ЗЛ+ИНК</t>
  </si>
  <si>
    <t>FIAT 500 3Д 2007- СТ ВЕТР ЗЛ+ИНК+ИЗМ ШЕЛК</t>
  </si>
  <si>
    <t>FIAT 500 3Д ХБ 2007- СТ ЗАДН ЗЛ+СТОП</t>
  </si>
  <si>
    <t>FIAT 500 3Д 2007- СТ ПЕР ДВ ОП ЛВ ЗЛ+УО</t>
  </si>
  <si>
    <t>FIAT 500 3Д 2007- СТ ПЕР ДВ ОП ПР ЗЛ+УО</t>
  </si>
  <si>
    <t>ALBEA 2003-</t>
  </si>
  <si>
    <t>FIAT ALBEA СЕД 2003- СТ ВЕТР ЗЛ</t>
  </si>
  <si>
    <t>FIAT ALBEA СЕД 2003- СТ ВЕТР ЗЛГЛ</t>
  </si>
  <si>
    <t>FIAT ALBEA СЕД+УН 1997-  МОЛД  ДЛЯ СТ ВЕТР</t>
  </si>
  <si>
    <t>FIAT ALBEA СЕД 2003- СТ ПЕР ДВ ОП ПР ЗЛ</t>
  </si>
  <si>
    <t>FIAT ALBEA СЕД 2003- СТ ПЕР ДВ ОП ЛВ ЗЛ</t>
  </si>
  <si>
    <t>FIAT ALBEA СЕД 2003- СТ ЗАДН ДВ ОП ПР ЗЛ</t>
  </si>
  <si>
    <t>FIAT ALBEA СЕД 2003- СТ ЗАДН ДВ ОП ЛВ ЗЛ</t>
  </si>
  <si>
    <t>FIAT ALBEA СД 2003- СТ ЗАДН ЗЛ ЭО+ИЗМ РАЗМ</t>
  </si>
  <si>
    <t>BARCHETTA 1995-2002</t>
  </si>
  <si>
    <t>FIAT BARCHETTA 1995-2002 СТ ВЕТР ЗЛ</t>
  </si>
  <si>
    <t>FIAT BARCHETTA 1994-2002  МОЛД  ДЛЯ СТ ВЕТР</t>
  </si>
  <si>
    <t>FIAT BARCHETTA 1995-2002 СТ ПЕР ДВ ОП ЛВ ЗЛ</t>
  </si>
  <si>
    <t>FIAT BARCHETTA 1995-2002 СТ ПЕР ДВ ОП ПР ЗЛ</t>
  </si>
  <si>
    <t>BRAVO/BRAVA/MAREA 1995-2001</t>
  </si>
  <si>
    <t>FIAT BRAVO /BRAVA/MAREA 1995-2001+MAREA 1996-2001 СТ ВЕТР ЗЛГЛ+ИЗМ ШЕЛК</t>
  </si>
  <si>
    <t>FIAT BRAVO /BRAVA/MAREA 1995-2001+MAREA 1996-2001 СТ ВЕТР ЗЛЗЛ+ИЗМ ШЕЛК</t>
  </si>
  <si>
    <t>FIAT BRAVO /BRAVA/MAREA 1995-2001+MAREA 1996-2001 СТ ВЕТР ЗЛ+ИЗМ ШЕЛК</t>
  </si>
  <si>
    <t>FIAT BRAVO /BRAVA/MAREA 1995-2001  МОЛД  ДЛЯ СТ ВЕТР С АЛЮМ ВСТ</t>
  </si>
  <si>
    <t>FIAT BRAVO /BRAVA/MAREA УН 1995-2001 СТ ЗАДН ЗЛ+СТОП+УО+ИЗМ РАЗМ</t>
  </si>
  <si>
    <t>FIAT BRAVO /BRAVA/MAREA УН 1996-2001 СТ ЗАДН ЭО ЗЛ+СТОП+ИНК</t>
  </si>
  <si>
    <t>FIAT BRAVO /BRAVA/MAREA ХБ 1995-2001 СТ ЗАДН ЭО ЗЛ ОТВ+ИЗМ РАЗМ</t>
  </si>
  <si>
    <t>FIAT BRAVO /BRAVA/MAREA ХБ 1995-2001 СТ ЗАДН ЗЛ+ИНК+СТОП</t>
  </si>
  <si>
    <t>FIAT BRAVO /BRAVA/MAREA УН 1996-2001 СТ ЗАДН ДВ ОП ЛВ ЗЛ ФИТ</t>
  </si>
  <si>
    <t>FIAT BRAVO /BRAVA/MAREA 1995-2001 СТ ПЕР ДВ ОП ЛВ ЗЛ+ФИТ</t>
  </si>
  <si>
    <t>FIAT BRAVO /BRAVA/MAREA 1995-2001 +MAREAСД/УН 1996-2001  СТ ПЕР ДВ ОП ЛВ ЗЛ+ФИТ</t>
  </si>
  <si>
    <t>FIAT BRAVO /BRAVA/MAREA 1995-2001  СТ ЗАДН ДВ ОП ЛВ ЗЛ+УО</t>
  </si>
  <si>
    <t>FIAT BRAVO /BRAVA/MAREA СД 1996-2001 СТ ЗАДН ДВ ОП ЛВ ЗЛ+ФИТ</t>
  </si>
  <si>
    <t>FIAT BRAVO /BRAVA/MAREA СЕД 1996-2001  ФОРТ ЗАДН НЕП ЛВ ЗЛ</t>
  </si>
  <si>
    <t>FIAT BRAVO /BRAVA/MAREA УН 1996-2001 СТ ЗАДН ДВ ОП ПР ЗЛ+ФИТ</t>
  </si>
  <si>
    <t>FIAT BRAVO /BRAVA/MAREA 1995-2001 СТ ПЕР ДВ ОП ПР ЗЛ+ФИТ+ОТВ</t>
  </si>
  <si>
    <t>FIAT BRAVO /BRAVA/MAREA 1995-2001 +MAREAСД/УН 1996-2001  СТ ПЕР ДВ ОП ПР ЗЛ+ФИТ</t>
  </si>
  <si>
    <t>FIAT BRAVO /BRAVA/MAREA 1995-2001  СТ ЗАДН ДВ ОП ПР ЗЛ+УО</t>
  </si>
  <si>
    <t>FIAT BRAVO /BRAVA/MAREA СД 1996-2001 СТ ЗАДН ДВ ОП ПР ЗЛ+ФИТ</t>
  </si>
  <si>
    <t>FIAT BRAVO /BRAVA/MAREA СД 1996-2001 СТ БОК НЕП ПР ЗЛ</t>
  </si>
  <si>
    <t>BRAVO LHD 5Д 2007-</t>
  </si>
  <si>
    <t>FIAT BRAVO LHD 2007-  СТ ВЕТР ЗЛ+ДД+ИНК+ИЗМ ШЕЛК</t>
  </si>
  <si>
    <t>FIAT BRAVO LHD 2007-  СТ ВЕТР ЗЛ+ИНК</t>
  </si>
  <si>
    <t>FIAT BRAVO 5Д ХБ 2007- СТ ЗАДН ДВ ЗЛ+ИНК</t>
  </si>
  <si>
    <t>FIAT BRAVO 5Д 2007- СТ ПЕР ДВ ОП ЛВ ЗЛ+УО</t>
  </si>
  <si>
    <t>FIAT BRAVO 5Д 2007- СТ ПЕР ДВ ОП ЛВ ЗЛ+УО+ИЗМ ТОЛЩ</t>
  </si>
  <si>
    <t>FIAT BRAVO 5Д 2007- СТ ПЕР ДВ ОП ПР ЗЛ+УО+ИЗМ ТОЛЩ</t>
  </si>
  <si>
    <t>FIAT BRAVO 5Д 2007- СТ ЗАДН ДВ ОП ПР ЗЛ+УО</t>
  </si>
  <si>
    <t>CINQUECENTO/MICRO/500 1992-1998</t>
  </si>
  <si>
    <t>FIAT CINQUECENTO 1992-1998 СТ ВЕТР</t>
  </si>
  <si>
    <t>FIAT CINQUECENTO 1992-1998 СТ ВЕТР ЗЛ</t>
  </si>
  <si>
    <t>FIAT CINQUECENTO 1992-1998 СТ ВЕТР ЗЛЗЛ</t>
  </si>
  <si>
    <t>FIAT CINQUECENTO 1992-1998 РЕЗ ПРОФ ДЛЯ СТ ВЕТР</t>
  </si>
  <si>
    <t>FIAT CINQUECENTO ХБ 1992-1998 СТ ЗАДН ЭО ЗЛ</t>
  </si>
  <si>
    <t>FIAT CINQUECENTO 1992-1998 РЕЗ ПРОФ ДЛЯ СТ ЗАДН</t>
  </si>
  <si>
    <t>FIAT CINQUECENTO 1992-1998 СТ ПЕР ДВ ОП ЛВ ЗЛ/FIAT SEICENTO 1998- СТ ПЕР ДВ ОП ЛВ ЗЛ</t>
  </si>
  <si>
    <t>FIAT CINQUECENTO 1992-1998 СТ БОК ПОД ЛВ ЗЛ</t>
  </si>
  <si>
    <t>FIAT CINQUECENTO 1992-1998 СТ ПЕР ДВ ОП ПР ЗЛ/FIAT SEICENTO 1998- СТ ПЕР ДВ ОП ПР ЗЛ</t>
  </si>
  <si>
    <t>FIAT CINQUECENTO 1992-1998 СТ БОК ПОД ПР ЗЛ+ОТКР</t>
  </si>
  <si>
    <t>CROMA/THEMA 1985-1996</t>
  </si>
  <si>
    <t>1985-1996</t>
  </si>
  <si>
    <t>FIAT CROMA 1985-1996  СТ ВЕТР ГЛ</t>
  </si>
  <si>
    <t>FIAT CROMA 1985-1996  СТ ВЕТР БР</t>
  </si>
  <si>
    <t>FIAT CROMA 1985-1996  СТ ВЕТР ЗЛ/LANCIA THEMA SAL+EST 1985-1996  СТ ВЕТР ЗЛ</t>
  </si>
  <si>
    <t>FIAT CROMA 1990-  МОЛД  ДЛЯ СТ ВЕТР</t>
  </si>
  <si>
    <t>FIAT CROMA 1985-1996  СТ ЗАДН ДВ ОП ЛВ ГЛ+ФИТ</t>
  </si>
  <si>
    <t>FIAT CROMA 1985-1996  СТ ПЕР ДВ ОП ЛВ ЗЛ+ФИТ</t>
  </si>
  <si>
    <t>FIAT CROMA 1985-1996  СТ ЗАДН ДВ ОП ПР ГЛ+ФИТ</t>
  </si>
  <si>
    <t>FIAT CROMA 1985-1996  СТ ПЕР ДВ ОП ПР ЗЛ+ФИТ</t>
  </si>
  <si>
    <t>CROMA 2005-</t>
  </si>
  <si>
    <t>FIAT CROMA 2005  СТ ВЕТР ЗЛ+ДД+ИНК+АКУСТИК+ИЗМ LOGO</t>
  </si>
  <si>
    <t>FIAT CROMA 2005  СТ ВЕТР ЗЛ+ИНК+АКУСТИК+ИЗМ LOGO</t>
  </si>
  <si>
    <t>FIAT CROMA ХБ 2005  СТ ЗАДН ЗЛ+СТОП+ИНК</t>
  </si>
  <si>
    <t>FIAT CROMA 2005 5Д СТ ЗАДН ДВ ОП ЛВ ТЗЛ+УО</t>
  </si>
  <si>
    <t>FIAT CROMA 2005 СТ ПЕР ДВ ОП ЛВ ЗЛ</t>
  </si>
  <si>
    <t>FIAT CROMA 2005 5Д СТ ЗАДН ДВ ОП ЛВ ЗЛ+УО</t>
  </si>
  <si>
    <t>FIAT CROMA 2005 СТ ЗАДН ДВ ОП ПР ТЗЛ+УО</t>
  </si>
  <si>
    <t>FIAT CROMA 2005 СТ ПЕР ДВ ОП ПР ЗЛ</t>
  </si>
  <si>
    <t>FIAT CROMA 2005 СТ ЗАДН ДВ ОП ПР ЗЛ+УО</t>
  </si>
  <si>
    <t>DOBLO VAN 2001-</t>
  </si>
  <si>
    <t>FIAT DOBLO VAN 2001 СТ ВЕТР ЗЛ</t>
  </si>
  <si>
    <t>FIAT DUBLO VAN 2001 СТ ВЕТР ЗЛГЛ</t>
  </si>
  <si>
    <t>FIAT DOBLO VAN 2001- СТ ВЕТР ЗЛЗЛ</t>
  </si>
  <si>
    <t>FIAT DOBLO VAN 2001  МОЛД  ДЛЯ СТ ВЕТР ВЕРХ</t>
  </si>
  <si>
    <t>FIAT DUBLO VAN 2001 СТ ЗАДН НЕП ПР ЗЛ+ОТКР</t>
  </si>
  <si>
    <t>DOBLO  2010-</t>
  </si>
  <si>
    <t>FIAT DOBLO 2010 СТ ВЕТР ЗЛ+VIN</t>
  </si>
  <si>
    <t>FIAT DUCATO 1982-1994</t>
  </si>
  <si>
    <t>FIAT DUCATO 1982-1994 СТ ВЕТР БР/CITROEN C25 VAN 1982-1994 СТ ВЕТР БР</t>
  </si>
  <si>
    <t>FIAT DUCATO 1982-1994 СТ ВЕТР/CITROEN C25 VAN 1982-1994 СТ ВЕТР</t>
  </si>
  <si>
    <t>FIAT DUCATO 1982-1994 СТ ВЕТР ЗЛ</t>
  </si>
  <si>
    <t>FIAT DUCATO 1982-1994 СТ ВЕТР ЗЛГЛ</t>
  </si>
  <si>
    <t>FIAT DUCATO 1982-1994 СТ ВЕТР ЗЛЗЛ/CITROEN C25 VAN 1982-1994 СТ ВЕТР ЗЛЗЛ</t>
  </si>
  <si>
    <t>FIAT DUCATO 1982-1994 РЕЗ ПРОФ ДЛЯ СТ ВЕТР</t>
  </si>
  <si>
    <t>FIAT DUCATO 1982-1994 СТ ПЕР ДВ ОП ЛВ С 1990</t>
  </si>
  <si>
    <t>FIAT DUCATO 1982-1994 СТ ПЕР ДВ ОП ПР С 1990</t>
  </si>
  <si>
    <t>DUCATO II 1994-</t>
  </si>
  <si>
    <t>FIAT DUCATO II 1994-  СТ ВЕТР+КР+ИЗМ ШЕЛК/CITROEN JUMPER 1998-2006  СТ ВЕТР КР+ИЗМ ШЕЛК</t>
  </si>
  <si>
    <t>FIAT DUCATO II 1994- СТ ВЕТР ЗЛ+КР+ИЗМ ШЕЛК/CITROEN JUMPER 1998-2006  СТ ВЕТР ЗЛ КР+ИЗМ ШЕЛК</t>
  </si>
  <si>
    <t>FIAT DUCATO II 1994-  СТ ВЕТР ЗЛГЛ+КР/CITROEN JUMPER 1998-2006  СТ ВЕТР ЗЛГЛ КР+ИЗМ ШЕЛК</t>
  </si>
  <si>
    <t>FIAT DUCATO II 1994-  СТ ВЕТР ЗЛЗЛ/CITROEN JUMPER 1998-2006  СТ ВЕТР ЗЛЗЛ+ИЗМ ШЕЛК</t>
  </si>
  <si>
    <t>FIAT DUCATO 1994-  СТ ВЕТР ЗЛ</t>
  </si>
  <si>
    <t>FIAT DUCATO II 1994  МОЛД  ДЛЯ СТ ВЕТР</t>
  </si>
  <si>
    <t>FIAT DUCATO 1994- СТ ЗАДН ПР БЭО</t>
  </si>
  <si>
    <t>FIAT DUCATO 1994- СТ ЗАДН ЛВ БЭО</t>
  </si>
  <si>
    <t>FIAT DUCATO II МИН 1994- СТ ЗАДН ЭО ПР/CITROEN JUMPER 1994-2006  СТ ЗАДН ПР Б/ЭО+ИЗМ РАЗМ</t>
  </si>
  <si>
    <t>FIAT DUCATO II 1994-  СТ ПЕР ДВ ОП ЛВ/CITROEN JUMPER 1994-2006  СТ ПЕР ДВ ОП ЛВ</t>
  </si>
  <si>
    <t>FIAT DUCATO II 1994-  СТ ФОРТ ПЕР НЕП ЛВ/CITROEN JUMPER 1994-2006  СТ ФОРТ ПЕР НЕП ЛВ</t>
  </si>
  <si>
    <t>FIAT DUCATO II 1994- СТ ПЕР ДВ ОП ЛВ ЗЛ/CITROEN JUMPER 1994-2006  СТ ПЕР ДВ ОП ЛВ ЗЛ</t>
  </si>
  <si>
    <t>FIAT DUCATO II 1994- СТ ПЕР ДВ ОП ПР/CITROEN JUMPER 1994-2006  СТ ПЕР ДВ ОП ПР</t>
  </si>
  <si>
    <t>FIAT DUCATO II 1994-  СТ ПЕР ДВ ОП ПР ЗЛ/CITROEN JUMPER 1994-2006  СТ ПЕР ДВ ОП ПР ЗЛ</t>
  </si>
  <si>
    <t>FIAT DUCATO1994- СТ ПЕР ДВ ОП ЛВ ЗЛ+УО</t>
  </si>
  <si>
    <t>FIAT DUCATO 1994- СТ ФОРТ ПЕР НЕПОДВ ПР ЗЛ</t>
  </si>
  <si>
    <t>FIAT DUCATO 1994- СТ ПЕР ДВ ОП ПР ЗЛ+УО</t>
  </si>
  <si>
    <t>FIAT DUCATO 1994- СТ ФОРТ ПЕР НЕПОДВ ЛВ ЗЛ</t>
  </si>
  <si>
    <t>FIAT DUCATO III 2006-</t>
  </si>
  <si>
    <t>FIAT DUCATO III 2006-  СТ ВЕТР ТЕПЛООТР+VIN+ИНК/CITROEN JUMPER II 2006-  СТ ВЕТР ТЕПЛООТР+VIN+ИНК</t>
  </si>
  <si>
    <t>FIAT DUCATO III 2006-  СТ ВЕТР ЗЛ+ДД+VIN+ИНК+КР/CITROEN JUMPER II 2006-  СТ ВЕТР ЗЛ+ДД+VIN+ИНК+ИЗМ ШЕЛК</t>
  </si>
  <si>
    <t>FIAT DUCATO III 2006-  СТ ВЕТР ЗЛ+VIN+ИНК/CITROEN JUMPER II 2006-  СТ ВЕТР ЗЛ+VIN+ИНК</t>
  </si>
  <si>
    <t>IDEA 2004-</t>
  </si>
  <si>
    <t>FIAT IDEA МИН 2004-/LANCIA MUSA 2004-  СТ ВЕТР ЗЛ/LANCIA MUSA МИН 2004-  СТ ВЕТР ЗЛ</t>
  </si>
  <si>
    <t>FIAT IDEA МИН 2004- СТ ВЕТР ЗЛЗЛ/LANCIA MUSA МИН 2004-  СТ ВЕТР ЗЛЗЛ</t>
  </si>
  <si>
    <t>FIAT IDEA МИН 2004-/LANCIA MUSA 2004- СТ ВЕТР ЗЛ+ДД/LANCIA MUSA МИН 2004-  СТ ВЕТР ЗЛ+ДД</t>
  </si>
  <si>
    <t>FIAT IDEA МИН 2004-/LANCIA MUSA 2004- СТ ВЕТР ЗЛ+VIN/LANCIA MUSA МИН 2004-  СТ ВЕТР ЗЛ+VIN</t>
  </si>
  <si>
    <t>FIAT IDEA МИН 2004- СТ ЗАДН ЭО ТЗЛ+СТОП</t>
  </si>
  <si>
    <t>FIAT IDEA МИН 2004-  СТ ЗАДН ЗЛ ЭО+СТОП</t>
  </si>
  <si>
    <t>FIAT IDEA MPV 2004- СТ ЗАДН ДВ ОП ЛВ ТЗЛ+УО/LANCIA MUSA MPV 2004-  СТ ЗАДН ДВ ОП ЛВ ТЗЛ+УО</t>
  </si>
  <si>
    <t>FIAT IDEA MPV 2004- СТ БОК НЕП ЛВ ТЗЛ+ИНК/LANCIA MUSA MPV 2004-  СТ ЗАДН НЕП ЛВ ТЗЛ+ИНК</t>
  </si>
  <si>
    <t>FIAT IDEA MPV 2004-/LANCIA MUSA 2004- СТ ПЕР ДВ ОП ЛВ ЗЛ+УО/LANCIA MUSA MPV 2004-  СТ ПЕР ДВ ОП ЛВ ЗЛ+УО</t>
  </si>
  <si>
    <t>FIAT IDEA MPV 2004-/LANCIA MUSA 2004- СТ ПЕР НЕП ЛВ ЗЛ+АНТ+УО/LANCIA MUSA MPV 2004-  СТ БОК ПЕР НЕП ЛВ ЗЛ+АНТ+УО</t>
  </si>
  <si>
    <t>FIAT IDEA MPV 2004-/LANCIA MUSA 2004- СТ ЗАДН ОП ЛВ ЗЛ+УО/LANCIA MUSA MPV 2004-  СТ ЗАДН ОП ЛВ ЗЛ+УО</t>
  </si>
  <si>
    <t>FIAT IDEA MPV 2004-/LANCIA MUSA 2004- СТ БОК НЕП ЛВ ЗЛ+ИНК/LANCIA MUSA MPV 2004-  СТ БОК НЕП ЛВ ЗЛ+ИНК</t>
  </si>
  <si>
    <t>FIAT IDEA MPV 2004- СТ ЗАДН ДВ ОП ПР ТЗЛ+УО/LANCIA MUSA MPV 2004-  СТ ЗАДН ДВ ОП ПР ТЗЛ+УО</t>
  </si>
  <si>
    <t>FIAT IDEA MPV 2004- СТ БОК НЕП ПР ТЗЛ+ИНК/LANCIA MUSA MPV 2004-  СТ ЗАДН НЕП ПР ТЗЛ+ИНК</t>
  </si>
  <si>
    <t>FIAT IDEA MPV 2004-/LANCIA MUSA 2004- СТ ПЕР ДВ ОП ПР ЗЛ+УО/LANCIA MUSA MPV 2004-  СТ ПЕР ДВ ОП ПР ЗЛ+УО</t>
  </si>
  <si>
    <t>FIAT IDEA MPV 2004-/LANCIA MUSA 2004- СТ ПЕР НЕП ПР ЗЛ+УО/LANCIA MUSA MPV 2004-  СТ БОК ПЕР ДВ НЕП ПР ЗЛ+УО</t>
  </si>
  <si>
    <t>FIAT IDEA MPV 2004-/LANCIA MUSA 2004- СТ ЗАДН ОП ПР ЗЛ+УО/LANCIA MUSA MPV 2004-  СТ ЗАДН ДВ ОП ПР ЗЛ+УО</t>
  </si>
  <si>
    <t>FIAT IDEA MPV 2004-/LANCIA MUSA 2004- СТ БОК НЕП ПР ЗЛ+ИНК/LANCIA MUSA MPV 2004-  СТ БОК НЕП ПР ЗЛ+УО</t>
  </si>
  <si>
    <t>FIORINO 2008-</t>
  </si>
  <si>
    <t>FIAT FIORINO 2008- СТ ВЕТР ЗЛ+VIN/CITROEN NEMO 2008- СТ ВЕТР ЗЛ+VIN</t>
  </si>
  <si>
    <t>MULTIPLA 1998-</t>
  </si>
  <si>
    <t>1998-2010</t>
  </si>
  <si>
    <t>FIAT MULTIPLA ЛВРУЛЬ 1998- СТ ВЕТР ГЛ</t>
  </si>
  <si>
    <t>FIAT MULTIPLA ЛВРУЛЬ 09/2004- СТ ЗАДН+ИЗМ КР</t>
  </si>
  <si>
    <t>FIAT MULTIPLA ПРРУЛЬ 1998- СТ ВЕТР ГЛ</t>
  </si>
  <si>
    <t>FIAT MULTIPLA ЛВРУЛЬ 1998- СТ ВЕТР ЗЛ</t>
  </si>
  <si>
    <t>FIAT MULTIPLA ЛВРУЛЬ 2004- СТ ВЕТР ЛВ ЗЛ+ИЗМ КР</t>
  </si>
  <si>
    <t>FIAT MULTIPLA ПРРУЛЬ 1998- СТ ВЕТР ЗЛ</t>
  </si>
  <si>
    <t>FIAT MULTIPLA ПРРУЛЬ 09/2004- СТ ВЕТР ЗЛ+ИНК+ИЗМ КР</t>
  </si>
  <si>
    <t>FIAT MULTIPLA 1999-  МОЛД ДЛЯ СТ ВЕТР</t>
  </si>
  <si>
    <t>2001-2010</t>
  </si>
  <si>
    <t>FIAT MULTIPLA МИН 2001- СТ ЗАДН ЭО ТГЛ+СТОП</t>
  </si>
  <si>
    <t>FIAT MULTIPLA МИН 2001- СТ ЗАДН ГЛ ЭО СТОП</t>
  </si>
  <si>
    <t>FIAT MULTIPLA МИН 1998- СТ ЗАДН ЭО ЗЛ 1 ОТВ+СТОП</t>
  </si>
  <si>
    <t>FIAT MULTIPLA 2001- СТ ПЕР ДВ ОП ЛВ ГЛ+УО</t>
  </si>
  <si>
    <t>FIAT MULTIPLA 2001- СТ ЗАДН ДВ ОП ЛВ ГЛ+УО</t>
  </si>
  <si>
    <t>FIAT MULTIPLA 2001- СТ БОК ЛВ ТГЛ ИНК</t>
  </si>
  <si>
    <t>FIAT MULTIPLA 2001- СТ ЗАДН ДВ ОП ЛВ ТГЛ+УО</t>
  </si>
  <si>
    <t>FIAT MULTIPLA 1998- СТ ПЕР ДВ ОП ЛВ ЗЛ 2 ОТВ+УО</t>
  </si>
  <si>
    <t>FIAT MULTIPLA 1998- СТ ЗАДН ДВ ОП ЛВ ЗЛ 2 ОТВ+УО</t>
  </si>
  <si>
    <t>FIAT MULTIPLA 1998- СТ БОК НЕП ЛВ ЗЛ+ИНК</t>
  </si>
  <si>
    <t>FIAT MULTIPLA 2001- СТ ПЕР ДВ ОП ПР ГЛ+УО</t>
  </si>
  <si>
    <t>FIAT MULTIPLA 2001- СТ ЗАДН ДВ ОП ПР ТГЛ+УО</t>
  </si>
  <si>
    <t>FIAT MULTIPLA 2001- СТ БОК ПР ТГЛ ИНК</t>
  </si>
  <si>
    <t>FIAT MULTIPLA 1998- СТ ПЕР ДВ ОП ПР ЗЛ 2 ОТВ+УО</t>
  </si>
  <si>
    <t>FIAT MULTIPLA 1998- СТ ЗАДН ДВ ОП ПР ЗЛ 2 ОТВ+УО</t>
  </si>
  <si>
    <t>FIAT MULTIPLA 1998- СТ БОК ПР ЗЛ+ИНК</t>
  </si>
  <si>
    <t>PALIO 1997-2002</t>
  </si>
  <si>
    <t>FIAT PALIO СЕД+УН 1997-2002 СТ ВЕТР ЗЛ+КР</t>
  </si>
  <si>
    <t>FIAT PALIO СЕД+УН 1997  МОЛД  ДЛЯ СТ ВЕТР</t>
  </si>
  <si>
    <t>FIAT PALIO СЕД+УН 1997-2002 СТ ПЕР ДВ ОП ЛВ</t>
  </si>
  <si>
    <t>FIAT PALIO СЕД+УН 1997-2002 СТ ЗАДН ДВ ОП ПР</t>
  </si>
  <si>
    <t>PANDA 1981-2003</t>
  </si>
  <si>
    <t>1981-2003</t>
  </si>
  <si>
    <t>FIAT PANDA 1981-2003  СТ ВЕТР/SEAT MARBELLA 1981-2003  СТ ВЕТР</t>
  </si>
  <si>
    <t>FIAT PANDA 1981-2003  СТ ВЕТР ЗЛ/SEAT MARBELLA 1981-2003  СТ ВЕТР ЗЛ</t>
  </si>
  <si>
    <t>FIAT PANDA 1981-2003  РЕЗ ПРОФ ДЛЯ СТ ВЕТР</t>
  </si>
  <si>
    <t>FIAT PANDA ХБ 1981-2003  СТ ЗАДН ЭО</t>
  </si>
  <si>
    <t>FIAT PANDA ХБ 1981-2003  СТ ЗАДН ЗЛ ЭО</t>
  </si>
  <si>
    <t>FIAT PANDA 1981-2003  СТ ПЕР ДВ ОП+ИЗМ РАЗМ</t>
  </si>
  <si>
    <t>1986-1989</t>
  </si>
  <si>
    <t>FIAT PANDA 1986-1989  СТ БОК ПОД 3 ОТВ ЭО+ИЗМ ОТВ</t>
  </si>
  <si>
    <t>FIAT PANDA 1981-2003  СТ ПЕР ДВ ОП ЗЛ+ИЗМ РАЗМ</t>
  </si>
  <si>
    <t>FIAT PANDA 1986-1989  СТ БОК ПОД ЗЛ 3 ОТВ ЭО+ИЗМ ОТВ</t>
  </si>
  <si>
    <t>PANDA 2003-</t>
  </si>
  <si>
    <t>FIAT PANDA 2003- СТ ВЕТР ЗЛ</t>
  </si>
  <si>
    <t>FIAT PANDA 2003- В/С МОЛД</t>
  </si>
  <si>
    <t>FIAT PANDA ХБ 2003- СТ ЗАДН ДВ ЗЛ+СТОП+ИНК</t>
  </si>
  <si>
    <t>FIAT PANDA 2003- СТ ПЕР ДВ ОП ЛВ ЗЛ+УО</t>
  </si>
  <si>
    <t>FIAT PANDA 2003- СТ ПЕР ДВ ОП ПР ЗЛ+УО</t>
  </si>
  <si>
    <t>FIAT PANDA 2003- СТ ЗАДН ДВ ОП ПР ЗЛ+УО</t>
  </si>
  <si>
    <t>FIAT PANDA 2003- СТ ЗАДН ДВ ОП ЛВ ЗЛ+УО</t>
  </si>
  <si>
    <t>POLONEZ 1979-</t>
  </si>
  <si>
    <t>1979-</t>
  </si>
  <si>
    <t>FIAT POLSKI POLONEZ 1979-  СТ ВЕТР</t>
  </si>
  <si>
    <t>PUNTO CAB 1994-1999</t>
  </si>
  <si>
    <t>FIAT PUNTO КБ 1994-1999 СТ ВЕТР ЗЛ</t>
  </si>
  <si>
    <t>FIAT PUNTO КБ 1994-1999  МОЛД  ДЛЯ СТ ВЕТР</t>
  </si>
  <si>
    <t>FIAT PUNTO КБ 1994-1999 СТ ФОРТ ПЕР НЕП ПР ЗЛ</t>
  </si>
  <si>
    <t>PUNTO 3/5Д 1993-1999</t>
  </si>
  <si>
    <t>FIAT PUNTO 3Д+5Д 1993-1999  СТ ВЕТР ЗЛ</t>
  </si>
  <si>
    <t>FIAT PUNTO 3Д+5Д 1993-1999  СТ ВЕТР ЗЛГЛ</t>
  </si>
  <si>
    <t>FIAT PUNTO 3Д+5Д 1993-1999  СТ ВЕТР ЗЛЗЛ</t>
  </si>
  <si>
    <t>FIAT PUNTO 3Д+5Д 1993-1999  МОЛД  ДЛЯ СТ ВЕТР</t>
  </si>
  <si>
    <t>FIAT PUNTO 3Д+5Д ХБ 1993-1999  СТ ЗАДН ЗЛ</t>
  </si>
  <si>
    <t>FIAT PUNTO 3Д+5Д 1993-1999  МОЛД  ДЛЯ СТ ЗАДН</t>
  </si>
  <si>
    <t>FIAT PUNTO 3Д 1993-1999 СТ ПЕР ДВ ОП ЛВ ЗЛ ФИТ</t>
  </si>
  <si>
    <t>FIAT PUNTO 3Д 1993-1999 СТ БОК ПОД ЛВ ЗЛ ФИТ</t>
  </si>
  <si>
    <t>FIAT PUNTO 5Д 1993-1999 СТ ПЕР ДВ ОП ЛВ ЗЛ ФИТ</t>
  </si>
  <si>
    <t>FIAT PUNTO 5Д 1993-1999 СТ ЗАДН ДВ ОП ЛВ ЗЛ ФИТ</t>
  </si>
  <si>
    <t>FIAT PUNTO 5Д 1993-1999 СТ БОК НЕП ЛВ ЗЛ+ИНК</t>
  </si>
  <si>
    <t>FIAT PUNTO 3Д 1993-1999 СТ ПЕР ДВ ОП ПР ЗЛ ФИТ</t>
  </si>
  <si>
    <t>FIAT PUNTO 3Д 1993-1999 СТ БОК ПОД ПР ЗЛ ОТКР ФИТ</t>
  </si>
  <si>
    <t>FIAT PUNTO 5Д 1993-1999 СТ ПЕР ДВ ОП ПР ЗЛ ФИТ</t>
  </si>
  <si>
    <t>FIAT PUNTO 5Д 1993-1999 СТ ЗАДН ДВ ОП ПР ЗЛ ФИТ</t>
  </si>
  <si>
    <t>FIAT PUNTO 5Д 1993-1999 СТ БОК НЕП ПР ЗЛ+ИНК</t>
  </si>
  <si>
    <t>PUNTO 3/5Д 1999-</t>
  </si>
  <si>
    <t>FIAT PUNTO II 1999- СТ ВЕТР ЗЛ</t>
  </si>
  <si>
    <t>FIAT PUNTO II 3Д+5Д 1999-  СТ ВЕТР ЗЛГЛ</t>
  </si>
  <si>
    <t>FIAT PUNTO III 3Д+5Д 2003- СТ ВЕТР ЗЛ ДД+ИЗМ ШЕЛК</t>
  </si>
  <si>
    <t>FIAT PUNTO II 1999-  МОЛД ДЛЯ СТ ВЕТР ВЕРХ</t>
  </si>
  <si>
    <t>FIAT PUNTO II ХБ 1999- 3Д СТ ЗАДН ЗЛ+СТОП+УО</t>
  </si>
  <si>
    <t>FIAT PUNTO II ХБ 1999- 3Д СТ ЗАДН ЗЛ+СТОП+УО+ИЗМ ОТВ</t>
  </si>
  <si>
    <t>FIAT PUNTO II ХБ 1999- 5Д СТ ЗАДН ЭО ЗЛ+СТОП+УО+ИЗМ РАЗМ</t>
  </si>
  <si>
    <t>FIAT PUNTO II 1999- 3Д СТ ПЕР ДВ ОП ЛВ ЗЛ+УО</t>
  </si>
  <si>
    <t>FIAT PUNTO II 1999- 3Д СТ БОК ПОД ЛВ ЗЛ ОТКР+УО</t>
  </si>
  <si>
    <t>FIAT PUNTO II 1999- 5Д СТ ПЕР ДВ ОП ЛВ ЗЛ+УО</t>
  </si>
  <si>
    <t>FIAT PUNTO II 1999- 5Д СТ ЗАДН ДВ ОП ЛВ ЗЛ+УО</t>
  </si>
  <si>
    <t>FIAT PUNTO II 1999- 3Д СТ ПЕР ДВ ОП ПР ЗЛ+УО</t>
  </si>
  <si>
    <t>FIAT PUNTO II 1999- 3Д СТ БОК ПОД ПР ЗЛ+УО</t>
  </si>
  <si>
    <t>FIAT PUNTO II 1999- 5Д СТ ПЕР ДВ ОП ПР ЗЛ+УО</t>
  </si>
  <si>
    <t>FIAT PUNTO II 1999- 5Д СТ ЗАДН ДВ ОП ПР ЗЛ+УО</t>
  </si>
  <si>
    <t>PUNTO 3Д+5Д 2005-</t>
  </si>
  <si>
    <t>FIAT GRANDE PUNTO 2007-  СТ ВЕТР ЗЛ+ИНК+ИЗМ ИНК</t>
  </si>
  <si>
    <t>FIAT GRANDE PUNTO 2005-  СТ ВЕТР ЗЛ+ДД+ИНК+ИЗМ ШЕЛК</t>
  </si>
  <si>
    <t>FIAT GRANDE PUNTO 2005-  СТ ВЕТР ЗЛ+ИНК</t>
  </si>
  <si>
    <t>FIAT GRANDE PUNTO ХБ 2005- СТ ЗАДН ТЗЛ ЭО+УО</t>
  </si>
  <si>
    <t>FIAT GRANDE PUNTO 3Д+5Д ХБ 2005- СТ ЗАДН ЗЛ УО</t>
  </si>
  <si>
    <t>FIAT GRANDE PUNTO 2005- 3Д ХБ СТ БОК ЛВ ТЗЛ ИНК</t>
  </si>
  <si>
    <t>FIAT GRANDE PUNTO 2005- СТ ЗАДН ДВ ОП ПР ТЗЛ+УО/FIAT PUNTO 5Д 2005-  СТ ЗАДН ДВ ОП ЛВ ЗЛ УО</t>
  </si>
  <si>
    <t>FIAT GRANDE PUNTO 2005- 3Д СТ ПЕР ДВ ОП ЛВ ЗЛ УО</t>
  </si>
  <si>
    <t>FIAT GRANDE PUNTO 2005- 3Д ХБ СТ БОК ЛВ ЗЛ ИНК</t>
  </si>
  <si>
    <t>FIAT GRANDE PUNTO 2005-  СТ ПЕР ДВ ОП ЛВ ЗЛ+УО</t>
  </si>
  <si>
    <t>FIAT GRANDE PUNTO + 2005-  СТ БОК ПЕР НЕП ЛВ ЗЛ+ИНК</t>
  </si>
  <si>
    <t>FIAT GRANDE PUNTO 5Д 2005-  СТ ЗАДН ДВ ОП ЛВ ЗЛ УО</t>
  </si>
  <si>
    <t>FIAT GRANDE PUNTO 3Д 2005- СТ БОК НЕП ЛВ СР+ИНК</t>
  </si>
  <si>
    <t>FIAT GRANDE PUNTO 2005- 3Д ХБ СТ БОК ПР ТЗЛ ИНК</t>
  </si>
  <si>
    <t>FIAT GRANDE PUNTO 2005- СТ ЗАДН ДВ ОП ЛВ ТЗЛ+УО/FIAT PUNTO 5Д 2005-  СТ ЗАДН ДВ ОП ПР ЗЛ УО</t>
  </si>
  <si>
    <t>FIAT GRANDE PUNTO 2005-  СТ ПЕР ДВ ОП ПР ЗЛ УО</t>
  </si>
  <si>
    <t>FIAT GRANDE PUNTO 2005- 3Д ХБ СТ БОК ПР ЗЛ ИНК</t>
  </si>
  <si>
    <t>FIAT GRANDE PUNTO 2005-  СТ ПЕР ДВ ОП ПР ЗЛ+УО</t>
  </si>
  <si>
    <t>FIAT GRANDE PUNTO + 2005- СТ БОК ПЕР НЕП ПР ЗЛ+ИНК</t>
  </si>
  <si>
    <t>FIAT GRANDE PUNTO 5Д 2005-  СТ ЗАДН ДВ ОП ПР ЗЛ УО</t>
  </si>
  <si>
    <t>FIAT GRANDE PUNTO 3Д+5Д 2005- СТ БОК НЕП ПР СР+ИНК</t>
  </si>
  <si>
    <t>SCUDO 2007-</t>
  </si>
  <si>
    <t>FIAT SCUDO 2007-  СТ ВЕТР ТЕПЛООТР+ДД+VIN+ИНК+ИЗМ КР/PEUGEOT EXP (G9) 2006-  СТ ВЕТР ТЕПЛООТР+ДД+VIN+ИНК</t>
  </si>
  <si>
    <t>FIAT SCUDO 2007-  СТ ВЕТР ТЕПЛООТР+VIN+ИНК/PEUGEOT EXP (G9) 2006-  СТ ВЕТР ТЕПЛООТР+VIN+ИНК</t>
  </si>
  <si>
    <t>FIAT SCUDO 2007-  СТ ВЕТР ЗЛ+ДД+VIN+ИНК+ИЗМ КР/PEUGEOT EXP (G9) 2006-  СТ ВЕТР ЗЛ+ДД+VIN+ИНК</t>
  </si>
  <si>
    <t>FIAT SCUDO 2007-  СТ ВЕТР ЗЛ+VIN+ИНК/PEUGEOT EXP (G9) 2006-  СТ ВЕТР ЗЛ+VIN+ИНК</t>
  </si>
  <si>
    <t>FIAT SCUDO МИН 2007-  СТ ЗАДН ТЗЛ+СТОП/PEUGEOT EXP (G9) 2006-  СТ ЗАДН ТЗЛ+VIN+СТОП</t>
  </si>
  <si>
    <t>FIAT SCUDO МИН 2007-  СТ ЗАДН ЗЛ+СТОП/PEUGEOT EXP (G9) 2006-  СТ ЗАДН ЗЛ+СТОП</t>
  </si>
  <si>
    <t>FIAT SCUDO МИН 2007-  СТ ЗАДН ЗЛ ЛВ/PEUGEOT EXP (G9) 2006-  СТ ЗАДН ЗЛ ЛВ</t>
  </si>
  <si>
    <t>FIAT SCUDO МИН 2007-  СТ ЗАДН ЗЛ ЛВ Б/ЭО/PEUGEOT EXP (G9) 2006-  СТ ЗАДН ЗЛ ЛВ Б/ЭО</t>
  </si>
  <si>
    <t>FIAT SCUDO МИН 2007-  СТ ЗАДН ЗЛ ПР/PEUGEOT EXP (G9) 2006-  СТ ЗАДН ЗЛ ПР</t>
  </si>
  <si>
    <t>FIAT SCUDO МИН 2007-  СТ ЗАДН ЗЛ ПР Б/ЭО/PEUGEOT EXP (G9) 2006-  СТ ЗАДН ЗЛ ПР+Б/ЭО</t>
  </si>
  <si>
    <t>FIAT SCUDO 2007-  СТ ЗАДН ДВ ОП ЛВ ЗЛ/PEUGEOT EXP (G9) 2006-  СТ ЗАДН ДВ ОП ЛВ ТЗЛ</t>
  </si>
  <si>
    <t>FIAT SCUDO 2007-  СТ ПЕР ДВ ОП ЛВ ЗЛ/PEUGEOT EXP (G9) 2006-  СТ ПЕР ДВ ОП ЛВ ЗЛ</t>
  </si>
  <si>
    <t>FIAT SCUDO 2007-  СТ ЗАДН ДВ ОП ЛВ ЗЛ/PEUGEOT EXP (G9) 2006-  СТ ЗАДН ДВ ОП ЛВ ЗЛ</t>
  </si>
  <si>
    <t>FIAT SCUDO 2007-  СТ БОК НЕП ЛВ ЗЛ+ИЗМ РАЗМ/PEUGEOT EXP (G9) 2006-  СТ БОК НЕП ЛВ ЗЛ</t>
  </si>
  <si>
    <t>FIAT SCUDO 2007-  СТ ЗАДН ДВ ОП ПР ТЗЛ/PEUGEOT EXP (G9) 2006-  СТ ЗАДН ДВ ОП ПР ТЗЛ</t>
  </si>
  <si>
    <t>FIAT SCUDO 2007-  СТ ПЕР ДВ ОП ПР ЗЛ/PEUGEOT EXP (G9) 2006-  СТ ПЕР ДВ ОП ПР ЗЛ</t>
  </si>
  <si>
    <t>FIAT SCUDO 2007-  СТ ЗАДН ДВ ОП ПР ЗЛ/PEUGEOT EXP (G9) 2006-  СТ ЗАДН ДВ ОП ПР ЗЛ</t>
  </si>
  <si>
    <t>FIAT SCUDO 2007-  СТ БОК НЕП ПР ЗЛ/PEUGEOT EXP (G9) 2006-  СТ БОК НЕП ПР ЗЛ</t>
  </si>
  <si>
    <t>FIAT SCUDO 2007-  СТ БОК НЕП ПР ЗЛ+ИЗМ РАЗМ/PEUGEOT EXP (G9) 2006-  СТ БОК НЕП ПР ЗЛ</t>
  </si>
  <si>
    <t>SEICENTO 1998-</t>
  </si>
  <si>
    <t>FIAT SEICENTO 1998- СТ ВЕТР</t>
  </si>
  <si>
    <t>FIAT SEICENTO 1998- СТ ВЕТР ЗЛ</t>
  </si>
  <si>
    <t>FIAT SEICENTO 1998-  МОЛД  ДЛЯ СТ ВЕТР</t>
  </si>
  <si>
    <t>FIAT SEICENTO 1998- СТ ПЕР ДВ ОП ЛВ ЗЛ/FIAT CINQUECENTO 1992-1998 СТ ПЕР ДВ ОП ЛВ ЗЛ</t>
  </si>
  <si>
    <t>FIAT SEICENTO 1998- СТ БОК ПР</t>
  </si>
  <si>
    <t>FIAT SEICENTO 1998- СТ ПЕР ДВ ОП ПР ЗЛ/FIAT CINQUECENTO 1992-1998 СТ ПЕР ДВ ОП ПР ЗЛ</t>
  </si>
  <si>
    <t>STILO 2001-2007</t>
  </si>
  <si>
    <t>FIAT STILO 2001-2007  СТ ВЕТР ЗЛ+ДД+ИНК</t>
  </si>
  <si>
    <t>FIAT STILO 2001-2007  СТ ВЕТР ЗЛ+ИНК</t>
  </si>
  <si>
    <t>FIAT STILO ХБ 2001-2007  СТ ЗАДН ЗЛ+СТОП+УО</t>
  </si>
  <si>
    <t>FIAT STILO 2001-2007  СТ ПЕР ДВ ОП ЛВ ЗЛ</t>
  </si>
  <si>
    <t>FIAT STILO 2001-2007  СТ ЗАДН ДВ ОП ЛВ ЗЛ+УО</t>
  </si>
  <si>
    <t>FIAT STILO 2001-2007  СТ БОК НЕП ЛВ ЗЛ+ИНК</t>
  </si>
  <si>
    <t>FIAT STILO 2001-2007  СТ ПЕР ДВ ОП ПР ЗЛ</t>
  </si>
  <si>
    <t>FIAT STILO 2001-2007  СТ ЗАДН ДВ ОП ПР ЗЛ+УО</t>
  </si>
  <si>
    <t>FIAT STILO 2001-2007  СТ БОК НЕП ПР ЗЛ+ИНК</t>
  </si>
  <si>
    <t>STILO 3Д 2001-2007</t>
  </si>
  <si>
    <t>FIAT STILO 3Д 2001-2007  СТ ВЕТР ЗЛ+ИНК</t>
  </si>
  <si>
    <t>FIAT STILO ХБ 2001-2007  СТ ЗАДН ЗЛ+СТОП+УО+ИЗМ ОТВ</t>
  </si>
  <si>
    <t>STRADA/REGATA 1978-1988</t>
  </si>
  <si>
    <t>1978-1988</t>
  </si>
  <si>
    <t>FIAT STRADA /REGATA 1978-1988 СТ ВЕТР</t>
  </si>
  <si>
    <t>FIAT STRALIS 2002-</t>
  </si>
  <si>
    <t>FIAT STRALIS 2002-  СТ ВЕТР ЗЛ/IVECO EUROSTAR 1993-  СТ ВЕТР ЗЛ</t>
  </si>
  <si>
    <t>TIPO/TEMPRA 1988-1996</t>
  </si>
  <si>
    <t>1988-1996</t>
  </si>
  <si>
    <t>FIAT TIPO/TEMPRA 1988-1996  СТ ВЕТР ГЛ</t>
  </si>
  <si>
    <t>FIAT TIPO/TEMPRA 1988-1996  СТ ВЕТР КР</t>
  </si>
  <si>
    <t>FIAT TIPO/TEMPRA 1988-1996  СТ ВЕТР ЗЛ КР</t>
  </si>
  <si>
    <t>FIAT TIPO/TEMPRA 1988-1996  СТ ВЕТР ЗЛЗЛ</t>
  </si>
  <si>
    <t>FIAT TIPO/TEMPRA 1988-1996  УСТ КОМПЛ ДЛЯ СТ ВЕТР</t>
  </si>
  <si>
    <t>FIAT TIPO/TEMPRA ХБ 1988-1996  СТ ЗАДН ЭО</t>
  </si>
  <si>
    <t>FIAT TIPO/TEMPRA ХБ 1988-1996  СТ ЗАДН ЗЛ</t>
  </si>
  <si>
    <t>FIAT TIPO/TEMPRA СД 1988-1996  СТ ЗАДН ЗЛ ОТВ</t>
  </si>
  <si>
    <t>FIAT TIPO/TEMPRA 1988-  УСТ КОМПЛ ДЛЯ СТ ЗАДН</t>
  </si>
  <si>
    <t>FIAT TIPO/TEMPRA СД+УН 1988-1996  СТ ПЕР ДВ ОП ЛВ+ФИТ</t>
  </si>
  <si>
    <t>FIAT TIPO/TEMPRA СД+УН 1988-1996  СТ ЗАДН ДВ ОП ЛВ+УО</t>
  </si>
  <si>
    <t>FIAT TIPO/TEMPRA СД+УН 1988-1996 СТ ФОРТ ЗАДН НЕП ЛВ</t>
  </si>
  <si>
    <t>FIAT TIPO/TEMPRA СД+УН 1988-1996 СТ ПЕР ДВ ОП ЛВ ЗЛ+ФИТ/ALFAROMEO ALFA 155 1992-1998  СТ ПЕР ДВ ОП ЛВ ЗЛ+УО</t>
  </si>
  <si>
    <t>FIAT TIPO/TEMPRA СД+УН 1988-1996 СТ ЗАДН ДВ ОП ЗЛ ЛВ+УО</t>
  </si>
  <si>
    <t>FIAT TIPO/TEMPRA СД+УН 1988-1996 СТ БОК НЕП ЛВ ЗЛ</t>
  </si>
  <si>
    <t>FIAT TIPO/TEMPRA СД+УН 1988-1996  СТ ПЕР ДВ ОП ПР+ФИТ</t>
  </si>
  <si>
    <t>FIAT TIPO/TEMPRA СД+УН 1988-1996  СТ ЗАДН ДВ ОП ПР+УО</t>
  </si>
  <si>
    <t>FIAT TIPO/TEMPRA СД+УН 1988-1996 СТ БОК НЕП ПР</t>
  </si>
  <si>
    <t>FIAT TIPO/TEMPRA СД+УН 1988-1996 СТ ПЕР ДВ ОП ПР ЗЛ+ФИТ</t>
  </si>
  <si>
    <t>FIAT TIPO/TEMPRA СД+УН 1988-1996 СТ ЗАДН ДВ ОП ПР ЗЛ+ФИТ</t>
  </si>
  <si>
    <t>FIAT TIPO/TEMPRA СД+УН 1988-1996 СТ БОК НЕП ПР ЗЛ</t>
  </si>
  <si>
    <t>ULYSSE 2002-</t>
  </si>
  <si>
    <t>2002-2010</t>
  </si>
  <si>
    <t>FIAT ULYSSE 2002- СТ ВЕТР ЗЛ+VIN+ИНК+ДД</t>
  </si>
  <si>
    <t>FIAT ULYSSE 2002- СТ ВЕТР ЗЛ+VIN+ИНК+ДД ИЗМ/LANCIA PHEDRA 2005/12 СТ ВЕТР ЗЛ+ДД+VIN+ИНК</t>
  </si>
  <si>
    <t>FIAT ULYSSE 09/2002- СТ ВЕТР ЗЛ+VIN+ИНК</t>
  </si>
  <si>
    <t>FIAT ULYSSE 2002- СТ ЗАДН ОП ЛВ ЗЛ/PEUGEOT 807 2002- СТ ЗАДН ДВ ОП ЛВ ЗЛ</t>
  </si>
  <si>
    <t>FIAT ULYSSE 2002- СТ ПЕР ДВ ОП ПР ЗЛ/CITROEN C8 2002-  СТ ПЕР ДВ ОП ПР ЗЛ</t>
  </si>
  <si>
    <t>FIAT ULYSSE 2002- СТ ЗАДН ОП ПР ЗЛ/PEUGEOT 807 2002- СТ ЗАДН ДВ ОП ПР ЗЛ</t>
  </si>
  <si>
    <t>UNO I 1983-1988</t>
  </si>
  <si>
    <t>1983-1988</t>
  </si>
  <si>
    <t>FIAT UNO I 1983-1988 СТ ВЕТР</t>
  </si>
  <si>
    <t>FIAT UNO I 1983-1988 СТ ВЕТР ЗЛ</t>
  </si>
  <si>
    <t>FIAT UNO I 1983-1988 РЕЗ ПРОФ ДЛЯ СТ ВЕТР</t>
  </si>
  <si>
    <t>FIAT UNO I ХБ 1983-1988 СТ ЗАДН ДВ ЗЛ</t>
  </si>
  <si>
    <t>1985-1988</t>
  </si>
  <si>
    <t>FIAT UNO I 3Д 1985-1988 СТ ПЕР ДВ ОП ЛВ+ФИТ+2ОТВ</t>
  </si>
  <si>
    <t>FIAT UNO I 3Д 1983-1988 СТ БОК ЛВ</t>
  </si>
  <si>
    <t>FIAT UNO I 5Д/FIORINO 1985-1988 СТ ПЕР ДВ ОП ЛВ+ФИТ/FIAT UNO 2 1988-2002 СТ ПЕР ДВ ОП ЛВ +2ОТВ</t>
  </si>
  <si>
    <t>FIAT UNO I 5Д 1985-1988 СТ ЗАДН ДВ ОП ЛВ+ФИТ/FIAT UNO 2 1988-2002 СТ ЗАДН ДВ ОП ЛВ +2ОТВ</t>
  </si>
  <si>
    <t>FIAT UNO I 5Д 1983-1988 СТ БОК НЕП ЛВ/FIAT UNO 2 5Д 1988-2002 СТ БОК НЕП ЛВ</t>
  </si>
  <si>
    <t>FIAT UNO I 3Д 1985-1988 СТ ПЕР ДВ ОП ЛВ ЗЛ+ФИТ+2ОТВ</t>
  </si>
  <si>
    <t>FIAT UNO I 5Д/FIORINO 1985-1988 СТ ПЕР ДВ ОП ЛВ ЗЛ+ФИТ/FIAT UNO 2 5D 1988-1990</t>
  </si>
  <si>
    <t>FIAT UNO I 3Д 1985-1988 СТ ПЕР ДВ ОП ПР+ФИТ+2ОТВ</t>
  </si>
  <si>
    <t>FIAT UNO I 3Д 1983-1988 СТ БОК ПР</t>
  </si>
  <si>
    <t>FIAT UNO I 5Д/FIORINO 1985-1988 СТ ПЕР ДВ ОП ПР+ФИТ/FIAT UNO 2 1988-2002 СТ ПЕР ДВ ОП ПР +2ОТВ</t>
  </si>
  <si>
    <t>FIAT UNO I 5Д 1985-1988 СТ ЗАДН ДВ ОП ПР+ФИТ/FIAT UNO 2 1988-2002 СТ ЗАДН ДВ ОП ПР +2ОТВ</t>
  </si>
  <si>
    <t>FIAT UNO I 5Д 1983-1988 СТ БОК ПР/FIAT UNO 2 5Д 1988-2002 СТ БОК НЕП ПР</t>
  </si>
  <si>
    <t>FIAT UNO I 3Д 1985-1988 СТ ПЕР ДВ ОП ПР ЗЛ+ФИТ+2 ОТВ</t>
  </si>
  <si>
    <t>FIAT UNO I 5Д/FIORINO 1985-1988 СТ ПЕР ДВ ОП ПР ЗЛ+ФИТ/FIAT UNO 2 1988-2002 СТ ПЕР ДВ ОП ПР ЗЛ+2ОТВ</t>
  </si>
  <si>
    <t>FIAT UNO I 1985-1988 СТ ЗАДН ДВ ОП ПР ЗЛ+ФИТ/FIAT UNO 2 1988-2002 СТ ЗАДН ДВ ОП ПР ЗЛ</t>
  </si>
  <si>
    <t>UNO II-III 1988-2002</t>
  </si>
  <si>
    <t>1988-1993</t>
  </si>
  <si>
    <t>FIAT UNO II 1988-1993 СТ ВЕТР</t>
  </si>
  <si>
    <t>1990-1993</t>
  </si>
  <si>
    <t>FIAT UNO III 1990-1993  СТ ВЕТР</t>
  </si>
  <si>
    <t>FIAT UNO II 1988-1993 СТ ВЕТР ЗЛ</t>
  </si>
  <si>
    <t>FIAT UNO III 1990-1993  СТ ВЕТР ЗЛ</t>
  </si>
  <si>
    <t>FIAT UNO III 1990-1993  СТ ВЕТР ЗЛЗЛ</t>
  </si>
  <si>
    <t>FIAT UNO II 1988-1993  В/С РЕЗ ПРОФ ДЛЯ СТ ВЕТР</t>
  </si>
  <si>
    <t>1988-2002</t>
  </si>
  <si>
    <t>FIAT UNO II ХБ 1988-2002+UNOVAN 1992-1993 СТ ЗАДН+ОТВ</t>
  </si>
  <si>
    <t>FIAT UNO II ХБ 1988-2002 СТ ЗАДН ЭО ЗЛ 90 ОТВ</t>
  </si>
  <si>
    <t>FIAT UNO II ХБ 1988-2002 СТ ЗАДН ЗЛ ЭО+ИЗМ РАЗМ</t>
  </si>
  <si>
    <t>FIAT UNO II 1988-2002  РЕЗ ПРОФ ДЛЯ СТ ЗАДН</t>
  </si>
  <si>
    <t>FIAT UNO II 3Д 1988-2002 СТ ПЕР ДВ ОП ЛВ+2ОТВ+ФИТ</t>
  </si>
  <si>
    <t>FIAT UNO II 1988-2002 СТ ПЕР ДВ ОП ЛВ +2ОТВ/FIAT UNO 5Д/FIORINO 1985-1988 СТ ПЕР ДВ ОП ЛВ+ФИТ</t>
  </si>
  <si>
    <t>FIAT UNO II 1988-2002 СТ ЗАДН ДВ ОП ЛВ +2ОТВ/FIAT UNO 5Д 1985-1988 СТ ЗАДН ДВ ОП ЛВ+ФИТ</t>
  </si>
  <si>
    <t>FIAT UNO II 5Д 1988-2002 СТ БОК НЕП ЛВ/FIAT UNO 5Д 1983-1988 СТ БОК НЕП ЛВ</t>
  </si>
  <si>
    <t>FIAT UNO II 3Д 1988-2002 СТ ПЕР ДВ ОП ЛВ ЗЛ+2ОТВ+ФИТ</t>
  </si>
  <si>
    <t>FIAT UNO II 3Д 1988-2002 СТ ПЕР ДВ ОП ПР+2ОТВ+ФИТ</t>
  </si>
  <si>
    <t>FIAT UNO II 1988-2002 СТ ПЕР ДВ ОП ПР +2ОТВ/FIAT UNO 5Д/FIORINO 1985-1988 СТ ПЕР ДВ ОП ПР+ФИТ</t>
  </si>
  <si>
    <t>FIAT UNO II 1988-2002 СТ ЗАДН ДВ ОП ПР +2ОТВ/FIAT UNO 5Д 1985-1988 СТ ЗАДН ДВ ОП ПР+ФИТ</t>
  </si>
  <si>
    <t>FIAT UNO II 5Д 1988-2002 СТ БОК НЕП ПР/FIAT UNO 5Д 1983-1988 СТ БОК ПР</t>
  </si>
  <si>
    <t>FIAT UNO II 3Д 1988-2002 СТ ПЕР ДВ ОП ПР ЗЛ+2ОТВ+ФИТ</t>
  </si>
  <si>
    <t>FIAT UNO II 1988-2002 СТ ПЕР ДВ ОП ПР ЗЛ+2ОТВ/FIAT UNO 5Д/FIORINO 1985-1988 СТ ПЕР ДВ ОП ПР ЗЛ+ФИТ</t>
  </si>
  <si>
    <t>FIAT UNO II 1988-2002 СТ ЗАДН ДВ ОП ПР ЗЛ/FIAT UNO 1985-1988 СТ ЗАДН ДВ ОП ПР ЗЛ+ФИТ</t>
  </si>
  <si>
    <t>COUPE S2000 PINNINFARINA 1994-2001</t>
  </si>
  <si>
    <t>FIAT 175 PINNINFARINA COUPE 1994-2001 СТ ВЕТР ЗЛ</t>
  </si>
  <si>
    <t>FIAT 175 PINNINFARINA COUPE 1994-2001  МОЛД  ДЛЯ СТ ВЕТР</t>
  </si>
  <si>
    <t>FIAT 175 PINNINFARINA COUPE 1994-2001 СТ ПЕР ДВ ОП ПР ЗЛ</t>
  </si>
  <si>
    <t>ULYSSE 1994-2002 /SCUDIO 1996-2002</t>
  </si>
  <si>
    <t>1994-2002</t>
  </si>
  <si>
    <t>FIAT ULYSSE 1994-2002 /SCUDIO 1996-2002  СТ ВЕТР /CITROEN EVASION 1994- /PG JUMPY 1996-  СТ ВЕТР</t>
  </si>
  <si>
    <t>FIAT ULYSSE 1994-2002 /SCUDIO 1996-2002  СТ ВЕТР ЗЛ/CITROEN EVASION 1994- /PG JUMPY 1996-  СТ ВЕТР ЗЛ</t>
  </si>
  <si>
    <t>FIAT ULYSSE 1994-2002 /SCUDIO 1996-2002 МОЛД  ДЛЯ СТ ВЕТР</t>
  </si>
  <si>
    <t>FIAT ULYSSE МИН 1994-2002 /SCUDIO 1996-2002 МИН СТ ЗАДН ЛВ/CITROEN JUMPY 1996-  СТ ЗАДН ЭО ЛВ</t>
  </si>
  <si>
    <t>FIAT ULYSSE МИН 1994-2002 /SCUDIO 1996-2002 МИН СТ ЗАДН ЛВ Б/ЭО/CITROEN JUMPY 1996-  СТ ЗАДН ЛВ</t>
  </si>
  <si>
    <t>FIAT ULYSSE МИН 1994-2002 /SCUDIO 1996-2002 МИН СТ ЗАДН ПР/CITROEN JUMPY 1996-  СТ ЗАДН ЭО ПР</t>
  </si>
  <si>
    <t>FIAT ULYSSE МИН 1994-2002 /SCUDIO 1996-2002 МИН СТ ЗАДН ПР Б/ЭО/CITROEN JUMPY 1996-  СТ ЗАДН ПР</t>
  </si>
  <si>
    <t>FIAT ULYSSE МИН 1994-2002 /SCUDIO 1996-2002 МИН СТ ЗАДН ЗЛ+СТОП/CITROEN EVASION 1994-  СТ ЗАДН ЭО ЗЛ+СТОП</t>
  </si>
  <si>
    <t>FIAT ULYSSE МИН 1994-2002 /SCUDIO 1996-2002 МИН СТ ЗАДН ЗЛ ЛВ/CITROEN JUMPY 1996-  СТ ЗАДН ЭО ЛВ ЗЛ</t>
  </si>
  <si>
    <t>FIAT ULYSSE МИН 1994-2002 /SCUDIO 1996-2002 МИН СТ ЗАДН ЗЛ ЛВ Б/ЭО/CITROEN JUMPY 1996-  СТ ЗАДН ЛВ ЗЛ</t>
  </si>
  <si>
    <t>FIAT ULYSSE МИН 1994-2002 /SCUDIO 1996-2002 МИН СТ ЗАДН ЗЛ ПР/CITROEN JUMPY 1996-  СТ ЗАДН ЭО ПР ЗЛ</t>
  </si>
  <si>
    <t>FIAT ULYSSE МИН 1994-2002 /SCUDIO 1996-2002 МИН СТ ЗАДН ЗЛ ПР Б/ЭО/CITROEN JUMPY 1996-  СТ ЗАДН ПР ЗЛ</t>
  </si>
  <si>
    <t>FIAT ULYSSE 1994-2002 /SCUDIO 1996-2002  СТ ПЕР ДВ ОП ЛВ/CITROEN EVASION 1994- /JUMPY 1996- СТ ПЕР ДВ ОП ЛВ</t>
  </si>
  <si>
    <t>FIAT ULYSSE 1994-2002 /SCUDIO 1996-2002  СТ ПЕР НЕП ЛВ/CITROEN EVASION 1994- /JUMPY 1996-  СТ ПЕР НЕП ЛВ</t>
  </si>
  <si>
    <t>FIAT ULYSSE 1994-2002 /SCUDIO 1996-2002  СТ ПЕР ДВ НЕП ЛВ ЗЛ/CITROEN EVASION 1994- /JUMPY 1996- СТ ПЕР НЕП ЛВ ЗЛ</t>
  </si>
  <si>
    <t>FIAT ULYSSE 1994-2002 /SCUDIO 1996-2002  СТ ЗАДН ДВ ОП ЛВ ЗЛ/CITROEN EVASION 1994-  СТ ЗАДН ДВ ОП ЛВ ЗЛ</t>
  </si>
  <si>
    <t>FIAT ULYSSE 1994-2002 /SCUDIO 1996-2002  СТ ЗАДН НЕП ЛВ ЗЛ ОТКР/CITROEN EVASION 1994-  СТ БОК ПОД ЛВ ЗЛ ОТКР</t>
  </si>
  <si>
    <t>FIAT ULYSSE 1994-2002 /SCUDIO 1996-2002  СТ ПЕР ДВ ОП ПР/CITROEN EVASION 1994- /JUMPY 1996- СТ ПЕР ДВ ОП ПР</t>
  </si>
  <si>
    <t>FIAT ULYSSE 1994-2002 /SCUDIO 1996-2002  СТ ПЕР ДВ НЕП ПР /CITROEN EVASION 1994- /JUMPY 1996-  СТ ПЕР НЕП ПР</t>
  </si>
  <si>
    <t>FIAT ULYSSE 1994-2002 /SCUDIO 1996-2002  СТ ПЕР ДВ НЕП ПР ЗЛ/CITROEN EVASION 1994- /JUMPY 1996-  СТ ПЕР НЕП ПР ЗЛ</t>
  </si>
  <si>
    <t>FIAT ULYSSE 1994-2002 /SCUDIO 1996-2002  СТ ЗАДН ДВ ОП ПР ЗЛ/CITROEN EVASION 1994-  СТ ЗАДН ДВ ОП ПР ЗЛ</t>
  </si>
  <si>
    <t>FIAT ULYSSE 1994-2002 /SCUDIO 1996-2002  СТ БОК НЕП ПР ЗЛ ОТКР/CITROEN EVASION 1994-  СТ БОК ПОД ПР ЗЛ ОТКР</t>
  </si>
  <si>
    <t>C-MAX/GRAND C-MAX 2010-</t>
  </si>
  <si>
    <t>FORD C-MAX/GRAND C-MAX 2010-СТ ВЕТР ЗЛ+Д</t>
  </si>
  <si>
    <t>FORD C-MAX/GRAND C-MAX 2010-СТ ВЕТР ЗЛ+V</t>
  </si>
  <si>
    <t>FORD C-MAX 2010-СТ ВЕТР ЗЛ+ЭО+ДД+VIN+ДО</t>
  </si>
  <si>
    <t>FORD C-MAX 2010-СТ ВЕТР ЗЛАКУСТ+ЭО+ДД+VI</t>
  </si>
  <si>
    <t>FORD C-MAX 2010-СТ ВЕТР ЗЛАКУСТ+ЭО+VIN+Д</t>
  </si>
  <si>
    <t>CORTINA MK5 1981-1982</t>
  </si>
  <si>
    <t>1981-1982</t>
  </si>
  <si>
    <t>FORD CORTINA MK5 1981-1982 СТ ВЕТР+КР</t>
  </si>
  <si>
    <t>COUGAR 1998-2001</t>
  </si>
  <si>
    <t>FORD COUGAR 1998-2001  СТ ВЕТР ЗЛ ЭО+VIN</t>
  </si>
  <si>
    <t>FORD COUGAR 1998-2001  СТ ВЕТР ЗЛ+VIN</t>
  </si>
  <si>
    <t>ECONOLINE 1992-1999</t>
  </si>
  <si>
    <t>1992-1999</t>
  </si>
  <si>
    <t>FORD ECONOLINE 1992-1999 СТ ВЕТР ЗЛГЛ+VIN+УО</t>
  </si>
  <si>
    <t>ESCAPE JEEP 2001-</t>
  </si>
  <si>
    <t>FORD ESCAPE JEEP 2001- СТ ВЕТР ЗЛ+VIN+УО/MAZDA TRIBUTE 2001-  СТ ВЕТР ЗЛ+VIN+УО</t>
  </si>
  <si>
    <t>ESCORT III 1980-1990</t>
  </si>
  <si>
    <t>1980-1990</t>
  </si>
  <si>
    <t>FORD ESCORT III СД+УН+КБ/ORION 1980-1990 СТ ВЕТР БР+ИЗМ КР</t>
  </si>
  <si>
    <t>FORD ESCORT III СД+УН+КБ/ORION 1980-1990 СТ ВЕТР БРГЛ</t>
  </si>
  <si>
    <t>FORD ESCORT III СД+УН+КБ/ORION 1980-1990 СТ ВЕТР</t>
  </si>
  <si>
    <t>FORD ESCORT III СД+УН+КБ/ORION 1980-1990 СТ ВЕТР ЗЛ+КР</t>
  </si>
  <si>
    <t>FORD ESCORT III СД+УН+КБ/ORION 1980-1990 СТ ЗЛГЛ</t>
  </si>
  <si>
    <t>FORD ESCORT III СД+УН+КБ/ORION 1980-1990 СТ ВЕТР ЗЛЗЛ+КР</t>
  </si>
  <si>
    <t>FORD ESCORT III СД+УН+КБ/ORION 1980-1990 РЕЗ ПРОФ ДЛЯ СТ ВЕТР</t>
  </si>
  <si>
    <t>FORD ESCORT III УН 1980-1990 СТ ЗАДН</t>
  </si>
  <si>
    <t>FORD ESCORT III СД 1980-1990 СТ ЗАДН ЭО</t>
  </si>
  <si>
    <t>FORD ESCORT III СД 1980-1990 СТ ЗАДН+АНТ</t>
  </si>
  <si>
    <t>FORD ESCORT III СД 1980-1990 СТ ЗАДН ЭО ЗЛ+АНТ</t>
  </si>
  <si>
    <t>FORD ESCORT III СД+УН+КБ/ORION 1980-1990 СТ ПЕР ДВ ОП ЛВ</t>
  </si>
  <si>
    <t>FORD ESCORT III СД 3Д 1980-1990 СТ БОК ЛВ</t>
  </si>
  <si>
    <t>FORD ESCORT III СД+УН+КБ/ORION 1980-1990 СТ ЗАДН ДВ ОП ЛВ</t>
  </si>
  <si>
    <t>FORD ESCORT III СД+УН+КБ/ORION 1980-1990 07/81 СТ БОК НЕП ЛВ+ИЗМ РАЗМ</t>
  </si>
  <si>
    <t>FORD ESCORT III СД+УН+КБ/ORION 1980-1990 СТ ПЕР ДВ ОП ЛВ ЗЛ</t>
  </si>
  <si>
    <t>FORD ESCORT III СД 3Д 1980-1990 СТ БОК НЕП ЛВ ЗЛ</t>
  </si>
  <si>
    <t>FORD ESCORT III СД+УН+КБ/ORION 1980-1990  СТ ПЕР ДВ ОП ЛВ ЗЛ</t>
  </si>
  <si>
    <t>FORD ESCORT III СД+УН+КБ/ORION 1980-1990 СТ ЗАДН ДВ ОП ЛВ ЗЛ</t>
  </si>
  <si>
    <t>FORD ESCORT III СД+УН+КБ/ORION 1980-1990 СТ БОК НЕП ЛВ+ИЗМ РАЗМ</t>
  </si>
  <si>
    <t>FORD ESCORT III СД+УН+КБ/ORION 1980-1990 СТ ПЕР ДВ ОП ПР</t>
  </si>
  <si>
    <t>FORD ESCORT III СД 3Д 1980-1990 СТ БОК НЕП ПР</t>
  </si>
  <si>
    <t>FORD ESCORT III СД+УН+КБ/ORION 1980-1990 СТ ЗАДН ДВ ОП ПР</t>
  </si>
  <si>
    <t>FORD ESCORT III СД 5Д 1980-1990 СТ БОК НЕП ПР</t>
  </si>
  <si>
    <t>FORD ESCORT III СД+УН+КБ/ORION 1980-1990 07/81 СТ БОК НЕП ПР+ИЗМ РАЗМ</t>
  </si>
  <si>
    <t>FORD ESCORT III СД+УН3Д 1980-1990 СТ ПЕР ДВ ОП ПР ЗЛ</t>
  </si>
  <si>
    <t>FORD ESCORT III СД+УН5Д 1980-1990  СТ ПЕР ДВ ОП ПР ЗЛ</t>
  </si>
  <si>
    <t>FORD ESCORT III СД+УН+КБ/ORION 1980-1990 СТ ЗАДН ДВ ОП ПР ЗЛ</t>
  </si>
  <si>
    <t>FORD ESCORT III СД 5Д 1980-1990 СТ БОК ПР ЗЛ</t>
  </si>
  <si>
    <t>FORD ESCORT III СД+УН+КБ/ORION 1980-1990 СТ БОК НЕП ПР+ИЗМ РАЗМ</t>
  </si>
  <si>
    <t>ESCORT IV MK4 1990-1998</t>
  </si>
  <si>
    <t>FORD ESCORT IV СД+УН+КБ 1990-1994 СТ ВЕТР КР</t>
  </si>
  <si>
    <t>FORD ESCORT IV СД+УН+КБ 1994-1998  СТ ВЕТР+КР+VIN</t>
  </si>
  <si>
    <t>FORD ESCORT IV СД+УН+КБ 1990-1998  СТ ВЕТР ЗЛ</t>
  </si>
  <si>
    <t>FORD ESCORT IV СД+УН+КБ 1990-1998  СТ ВЕТР ЗЛГЛ</t>
  </si>
  <si>
    <t>FORD ESCORT IV СД+УН+КБ 1994-1998 СТ ВЕТР ЗЛГЛ+VIN</t>
  </si>
  <si>
    <t>FORD ESCORT IV СД+УН+КБ 1990-1998  СТ ВЕТР ЗЛЗЛ</t>
  </si>
  <si>
    <t>FORD ESCORT IV 1990-1998 СТ ВЕТР ЗЛЗЛ+VIN</t>
  </si>
  <si>
    <t>FORD ESCORT IV СД+УН+КБ 1990-1998  СТ ВЕТР ЗЛ ЭО</t>
  </si>
  <si>
    <t>FORD ESCORT IV СД+УН+КБ 1994-1998 СТ ВЕТР ЗЛ+ЭО+VIN</t>
  </si>
  <si>
    <t>FORD ESCORT IV СД+УН+КБ 1994-1998 СТ ВЕТР ЗЛ+VIN</t>
  </si>
  <si>
    <t>FORD ESCORT IV СД+УН+КБ 1994-1998 МОЛД  ДЛЯ СТ ВЕТР</t>
  </si>
  <si>
    <t>FORD ESCORT IV СД+УН+КБ 1994-1998 МОЛД  ДЛЯ СТ ВЕТР ВЕРХ</t>
  </si>
  <si>
    <t>FORD ESCORT IV УН 1990-1998  СТ ЗАДН ЭО</t>
  </si>
  <si>
    <t>1990-1992</t>
  </si>
  <si>
    <t>FORD ESCORT IV ХБ 1990-1992 СТ ЗАДН ДВ</t>
  </si>
  <si>
    <t>1993-1998</t>
  </si>
  <si>
    <t>FORD ESCORT IV ХБ 1993-1998 СТ ЗАДН ЭО+ИЗМ РАЗМ</t>
  </si>
  <si>
    <t>FORD ESCORT IV МИН 1990-1998  СТ ЗАДН ЛВ Б/ЭО</t>
  </si>
  <si>
    <t>FORD ESCORT IV МИН 1990-1998  СТ ЗАДН ПР Б/ЭО</t>
  </si>
  <si>
    <t>FORD ESCORT IV УН 1990-08/1997 СТ ЗАДН ЭО ЗЛ</t>
  </si>
  <si>
    <t>FORD ESCORT IV ХБ 1990-1992 СТ ЗАДН ДВ ЗЛ</t>
  </si>
  <si>
    <t>FORD ESCORT IV ХБ 1993-08/1997 СТ ЗАДН ЭО ЗЛ+ИЗМ РАЗМ</t>
  </si>
  <si>
    <t>FORD ESCORT IV ХБ 1990-08/1997  СТ ЗАДН ЭО ЗЛ+СТОП+ИЗМ РАЗМ</t>
  </si>
  <si>
    <t>FORD ESCORT IV СД 1990-1998  СТ ЗАДН ЗЛ</t>
  </si>
  <si>
    <t>FORD ESCORT IV ХБ 1990-1992 МОЛД  ДЛЯ СТ ЗАДН</t>
  </si>
  <si>
    <t>FORD ESCORT IV УН 1990-1998  СТ ЗАДН ДВ ОП ЛВ</t>
  </si>
  <si>
    <t>FORD ESCORT IV УН 1990-1998  СТ БОК ЛВ</t>
  </si>
  <si>
    <t>FORD ESCORT IV 3Д ХБ 1990-1998  СТ ПЕР ДВ ОП ЛВ</t>
  </si>
  <si>
    <t>FORD ESCORT IV 5Д ХБ+СД+УН+VAN 1990-1998 СТ ПЕР ДВ ОП ЛВ</t>
  </si>
  <si>
    <t>FORD ESCORT IV 5Д ХБ+СД 1990-1998  СТ ЗАДН ДВ ОП ЛВ</t>
  </si>
  <si>
    <t>FORD ESCORT IV УН 1990-1998  СТ ЗАДН ДВ ОП ЛВ ЗЛ</t>
  </si>
  <si>
    <t>FORD ESCORT IV УН 1990-1998  СТ БОК ЛВ ЗЛ</t>
  </si>
  <si>
    <t>FORD ESCORT IV 3Д ХБ 1990-1998  СТ ПЕР ДВ ОП ЛВ ЗЛ</t>
  </si>
  <si>
    <t>FORD ESCORT IV ХБ 1990-1998  СТ БОК НЕП ЛВ ЗЛ</t>
  </si>
  <si>
    <t>FORD ESCORT IV 5Д ХБ+СД+УН+VAN 1990-1998 СТ ПЕР ДВ ОП ЛВ ЗЛ</t>
  </si>
  <si>
    <t>FORD ESCORT IV 5Д ХБ+СД 1990-1998 СТ ЗАДН ДВ ОП ЛВ ЗЛ</t>
  </si>
  <si>
    <t>FORD ESCORT IV УН 1990-1998  СТ ЗАДН ДВ ОП ПР</t>
  </si>
  <si>
    <t>FORD ESCORT IV ХБ 1990-1998  СТ ПЕР ДВ ОП ПР</t>
  </si>
  <si>
    <t>FORD ESCORT IV 5Д ХБ+СД+УН+VAN 1990-1998 СТ ПЕР ДВ ОП ПР</t>
  </si>
  <si>
    <t>FORD ESCORT IV 5Д ХБ+СД 1990-1998  СТ ЗАДН ДВ ОП ПР</t>
  </si>
  <si>
    <t>FORD ESCORT IV УН 1990-1998  СТ ЗАДН ДВ ОП ПР ЗЛ</t>
  </si>
  <si>
    <t>FORD ESCORT IV УН 1990-1998  СТ БОК ПР ЗЛ</t>
  </si>
  <si>
    <t>FORD ESCORT IV 3Д ХБ 1990-1998  СТ ПЕР ДВ ОП ПР ЗЛ</t>
  </si>
  <si>
    <t>FORD ESCORT IV ХБ 1990-1998  СТ БОК НЕП ПР ЗЛ</t>
  </si>
  <si>
    <t>FORD ESCORT IV 5Д ХБ+СД+УН+VAN 1990-1998 СТ ПЕР ДВ ОП ПР ЗЛ</t>
  </si>
  <si>
    <t>FORD ESCORT IV 5Д ХБ+СД 1990-1998 СТ ЗАДН ДВ ОП ПР ЗЛ</t>
  </si>
  <si>
    <t>EXPEDITION 5Д 1997-2002</t>
  </si>
  <si>
    <t>FORD EXPEDITION 1997-2003 СТ ВЕТР ЗЛГЛ+VIN+ИНК</t>
  </si>
  <si>
    <t>FORD EXPEDITION 2003-2006 СТ ВЕТР ЗЛГЛ+VIN</t>
  </si>
  <si>
    <t>FORD EXPEDITION 1997-2003 СТ ПЕР ДВ ОП ЛВ ЗЛ+УО</t>
  </si>
  <si>
    <t>FORD EXPEDITION 1997-2003 СТ ПЕР ДВ ОП ПР ЗЛ+УО</t>
  </si>
  <si>
    <t>FORD EXPEDITION 2003-2006 СТ ПЕР ДВ ОП ПР ЗЛ</t>
  </si>
  <si>
    <t>EXPLORER 2006-</t>
  </si>
  <si>
    <t>2006-2010</t>
  </si>
  <si>
    <t>FORD EXPLORER 2006- СТ ВЕТР ЗЛГЛ+УО/MERCURY MOUNTAINEER 2006- СТ ВЕТР ЗЛГЛ+УО</t>
  </si>
  <si>
    <t>EXPLORER 2002-</t>
  </si>
  <si>
    <t>FORD EXPLORER 2002- СТ ВЕТР ЗЛГЛ+УО</t>
  </si>
  <si>
    <t>EXPLORER 1990-1994</t>
  </si>
  <si>
    <t>FORD EXPLORER 1990-1994 СТ ВЕТР ЗЛГЛ+VIN+ИНК</t>
  </si>
  <si>
    <t>EXPLORER 1990-2001</t>
  </si>
  <si>
    <t>1990-2001</t>
  </si>
  <si>
    <t>FORD EXPLORER 1990-2001  СТ ВЕТР ЗЛГЛ</t>
  </si>
  <si>
    <t>F SERIES F150 2/4D 2004-2007</t>
  </si>
  <si>
    <t>FORD F SERIES F150 2/4D 2004-2007 СТ ВЕТР ЗЛ</t>
  </si>
  <si>
    <t>FIESTA I 1976-1981</t>
  </si>
  <si>
    <t>1976-1981</t>
  </si>
  <si>
    <t>FORD FIESTA I 1976-1981 СТ ВЕТР</t>
  </si>
  <si>
    <t>FORD FIESTA I 1976-1981 СТ ПЕР ДВ ОП ЛВ</t>
  </si>
  <si>
    <t>FORD FIESTA I 1976-1981 СТ ФОРТ ПЕР ДВ ЛВ</t>
  </si>
  <si>
    <t>FORD FIESTA I 1976-1981 СТ ПЕР ДВ ОП ЛВ ЗЛ</t>
  </si>
  <si>
    <t>FORD FIESTA I 1976-1981 СТ ПЕР ДВ ОП ПР</t>
  </si>
  <si>
    <t>FORD FIESTA I 1976-1981 СТ ФОРТ ПЕР ДВ ПР</t>
  </si>
  <si>
    <t>FIESTA II 1982-1989</t>
  </si>
  <si>
    <t>1982-1989</t>
  </si>
  <si>
    <t>FORD FIESTA II 1982-1989 СТ ВЕТР</t>
  </si>
  <si>
    <t>FORD FIESTA II 1982-1989 СТ ВЕТР ЗЛ</t>
  </si>
  <si>
    <t>FORD FIESTA II 1982-1989 СТ ВЕТР ЗЛГЛ</t>
  </si>
  <si>
    <t>FORD FIESTA II 1982-1989 РЕЗ ПРОФ ДЛЯ СТ ВЕТР</t>
  </si>
  <si>
    <t>FORD FIESTA II ХБ 1982-1989 СТ ЗАДН</t>
  </si>
  <si>
    <t>FORD FIESTA II ХБ 1982-1989 СТ ЗАДН ЗЛ</t>
  </si>
  <si>
    <t>FIESTA 1989-1995</t>
  </si>
  <si>
    <t>1989-1995</t>
  </si>
  <si>
    <t>FORD FIESTA 1989-1995  СТ ВЕТР</t>
  </si>
  <si>
    <t>FORD FIESTA 1989-1995  СТ ВЕТР ЗЛ</t>
  </si>
  <si>
    <t>FORD FIESTA 1989-1995  СТ ВЕТР ЗЛГЛ</t>
  </si>
  <si>
    <t>FORD FIESTA 1989-1995  СТ ВЕТР ЗЛЗЛ</t>
  </si>
  <si>
    <t>FORD FIESTA 1989-1995 РЕЗ ПРОФ ДЛЯ СТ ВЕТР</t>
  </si>
  <si>
    <t>FORD FIESTA ХБ 1989-1995  СТ ЗАДН</t>
  </si>
  <si>
    <t>FORD FIESTA МИН COURIER 2Д 1989-1995  СТ ЗАДН ЭО ЛВ</t>
  </si>
  <si>
    <t>FORD FIESTA МИН COURIER 2Д 1989-1995  СТ ЗАДН ЭО ПР</t>
  </si>
  <si>
    <t>FORD FIESTA ХБ 1989-1995  СТ ЗАДН ЗЛ</t>
  </si>
  <si>
    <t>FORD FIESTA 1989-1995 РЕЗ ПРОФ ДЛЯ СТ ЗАДН</t>
  </si>
  <si>
    <t>FORD FIESTA 3Д+VAN 2Д 1989-1995 СТ ПЕР ДВ ОП ЛВ/FORD FIESTA IV 3Д 1995-2002  СТ ПЕР ДВ ОП ЛВ</t>
  </si>
  <si>
    <t>FORD FIESTA 3Д 1989-1995  СТ БОК ЛВ</t>
  </si>
  <si>
    <t>FORD FIESTA 5Д+COURIER VAN 1989-1995  СТ ПЕР ДВ ОП ЛВ/FORD FIESTA IV 5Д 1995-2002  СТ ПЕР ДВ ОП ЛВ</t>
  </si>
  <si>
    <t>FORD FIESTA 5Д 1989-1995  СТ ЗАДН ДВ ОП ЛВ/FORD FIESTA IV 5Д 1995-2002  СТ ЗАДН ДВ ОП ЛВ</t>
  </si>
  <si>
    <t>FORD FIESTA 5Д 1989-1995  СТ БОК НЕП ЛВ/FORD FIESTA IV 5Д 1995-2002  СТ ФОРТ ЗАДН НЕП ЛВ</t>
  </si>
  <si>
    <t>FORD FIESTA 3Д+VAN 2D 1989-1995  СТ ПЕР ДВ ОП ЛВ ЗЛ/FORD FIESTA IV 3Д 1995-2002  СТ ПЕР ДВ ОП ЛВ ЗЛ</t>
  </si>
  <si>
    <t>FORD FIESTA 3Д 1989-1995  СТ БОК ЛВ ЗЛ</t>
  </si>
  <si>
    <t>FORD FIESTA 3Д RS TURBO 1989-1995 СТ БОК ПОДВ ЛВ ЗЛ</t>
  </si>
  <si>
    <t>FORD FIESTA 5Д+COURIER VAN 1989-1995 СТ ПЕР ДВ ОП ЛВ ЗЛ/FORD FIESTA IV 5Д 1995-2002  СТ ПЕР ДВ ОП ЛВ ЗЛ</t>
  </si>
  <si>
    <t>FORD FIESTA 5Д 1989-1995  СТ ЗАДН ДВ ОП ЛВ ЗЛ/FORD FIESTA IV 5Д 1995-2002  СТ ЗАДН ДВ ОП ЛВ ЗЛ</t>
  </si>
  <si>
    <t>FORD FIESTA 5Д 1989-1995  СТ БОК НЕП ЛВ ЗЛ/FORD FIESTA IV 5Д 1995-2002  СТ ФОРТ ЗАДН НЕП ЛВ ЗЛ</t>
  </si>
  <si>
    <t>FORD FIESTA 3Д+VAN 2D 1989-1995  СТ ПЕР ДВ ОП ПР/FORD FIESTA IV 3Д 1995-2002  СТ ПЕР ДВ ОП ПР</t>
  </si>
  <si>
    <t>FORD FIESTA 3Д 1989-1995  СТ БОК ПР</t>
  </si>
  <si>
    <t>FORD FIESTA 5Д+COURIER VAN 1989-1995  СТ ПЕР ДВ ОП ПР/FORD FIESTA IV 5Д 1995-2002  СТ ПЕР ДВ ОП ПР</t>
  </si>
  <si>
    <t>FORD FIESTA 5Д 1989-1995  СТ ЗАДН ДВ ОП ПР/FORD FIESTA IV 5Д 1995-2002  СТ ЗАДН ДВ ОП ПР</t>
  </si>
  <si>
    <t>FORD FIESTA 5Д 1989-1995  СТ БОК НЕП ПР/FORD FIESTA IV 5Д 1995-2002  СТ ФОРТ ЗАДН НЕП ПР</t>
  </si>
  <si>
    <t>FORD FIESTA 3Д+VAN 2D 1989-1995  СТ ПЕР ДВ ОП ПР ЗЛ/FORD FIESTA IV 3Д 1995-2002  СТ ПЕР ДВ ОП ПР ЗЛ</t>
  </si>
  <si>
    <t>FORD FIESTA 3Д 1989-1995  СТ БОК ПР ЗЛ</t>
  </si>
  <si>
    <t>FORD FIESTA 3Д 1989-1995  СТ БОК ПОД ПР ЗЛ ОТКР</t>
  </si>
  <si>
    <t>FORD FIESTA 5Д+COURIER VAN 1989-1995 СТ ПЕР ДВ ОП ПР ЗЛ/FORD FIESTA IV 5Д 1995-2002  СТ ПЕР ДВ ОП ПР ЗЛ</t>
  </si>
  <si>
    <t>FORD FIESTA 5Д 1989-1995  СТ ЗАДН ДВ ОП ПР ЗЛ/FORD FIESTA IV 5Д 1995-2002  СТ ЗАДН ДВ ОП ПР ЗЛ</t>
  </si>
  <si>
    <t>FORD FIESTA 5Д 1989-1995  СТ БОК НЕП ПР ЗЛ/FORD FIESTA IV 5Д 1995-2002  СТ ФОРТ ЗАДН НЕП ПР ЗЛ</t>
  </si>
  <si>
    <t>FIESTA II 1995-2002</t>
  </si>
  <si>
    <t>FORD FIESTA II 3Д+5Д 1995-2002  СТ ВЕТР/MAZDA 121 3Д+5Д 1996-2002  СТ ВЕТР</t>
  </si>
  <si>
    <t>2000-2002</t>
  </si>
  <si>
    <t>FORD FIESTA II 3Д+5Д 12/2000-2002  СТ ВЕТР/MAZDA 121 3Д+5Д 12/2000-2002  СТ ВЕТР</t>
  </si>
  <si>
    <t>FORD FIESTA II 3Д+5Д 1995-2002  СТ ВЕТР ЗЛ/MAZDA 121 3Д+5Д 1996-2002  СТ ВЕТР ЗЛ</t>
  </si>
  <si>
    <t>FORD FIESTA II 3Д+5Д 12/2000-2002  СТ ВЕТР ЗЛ/MAZDA 121 3Д+5Д 12/2000-2002  СТ ВЕТР ЗЛ</t>
  </si>
  <si>
    <t>FORD FIESTA II 3Д+5Д 1995-2002  СТ ВЕТР ЗЛГЛ/MAZDA 121 3Д+5Д 1996-2002  СТ ВЕТР ЗЛГЛ</t>
  </si>
  <si>
    <t>FORD FIESTA II 3Д+5Д 12/2000-2002  СТ ВЕТР ЗЛГЛ/MAZDA 121 3Д+5Д 2000-2002  СТ ВЕТР ГЛБЛ</t>
  </si>
  <si>
    <t>FORD FIESTA II 3Д+5Д 1995-2002  СТ ВЕТР ЗЛЗЛ/MAZDA 121 3Д+5Д 1996-2002  СТ ВЕТР ЗЛЗЛ</t>
  </si>
  <si>
    <t>FORD FIESTA II 3Д+5Д 2000-2002  СТ ВЕТР ЗЛ ЭО/MAZDA 121 3Д+5Д 1996-2002  СТ ВЕТР ЗЛ+ЭО</t>
  </si>
  <si>
    <t>FORD FIESTA II 3Д+5Д 1995-2002  МОЛД  ДЛЯ СТ ВЕТР</t>
  </si>
  <si>
    <t>FORD FIESTA II ХБ 3Д+5Д 1995-2002  СТ ЗАДН /MAZDA 121 3Д+5Д 1996-2002  СТ ЗАДН</t>
  </si>
  <si>
    <t>FORD FIESTA II COURIER МИН 1995-2002 СТ ЗАДН ЛВ Б/ЭО</t>
  </si>
  <si>
    <t>FORD FIESTA II 3Д+5Д ХБ 1995-2002  СТ ЗАДН ЗЛ /MAZDA 121 3Д+5Д 1996-2002  СТ ЗАДН ЗЛ</t>
  </si>
  <si>
    <t>FORD FIESTA II 3Д+5Д ХБ 1995-2002 СТ ЗАДН ЗЛ+СТОП/MAZDA 121 3D+5D 1996-2002  СТ ЗАДН ЗЛ+СТОП</t>
  </si>
  <si>
    <t>FORD FIESTA II 3Д+5Д 1995-2002    РЕЗ БЕЗ МОЛД ДЛЯ СТ ЗАДН</t>
  </si>
  <si>
    <t>FORD FIESTA II 3Д 1995-2002  СТ ПЕР ДВ ОП ЛВ/FORD FIESTA III 3Д+VAN 2Д 1989-1995 СТ ПЕР ДВ ОП ЛВ</t>
  </si>
  <si>
    <t>FORD FIESTA II 5Д 1995-2002  СТ ПЕР ДВ ОП ЛВ/FORD FIESTA III 5Д+COURIER VAN 1989-1995  СТ ПЕР ДВ ОП ЛВ</t>
  </si>
  <si>
    <t>FORD FIESTA II 5Д 1995-2002  СТ ЗАДН ДВ ОП ЛВ/FORD FIESTA III 5Д 1989-1995  СТ ЗАДН ДВ ОП ЛВ</t>
  </si>
  <si>
    <t>FORD FIESTA II 5Д 1995-2002  СТ ФОРТ ЗАДН НЕП ЛВ/FORD FIESTA III 5Д 1989-1995  СТ БОК НЕП ЛВ</t>
  </si>
  <si>
    <t>FORD FIESTA II 3Д 1995-2002  СТ ПЕР ДВ ОП ЛВ ЗЛ/FORD FIESTA III 3Д+VAN 2D 1989-1995  СТ ПЕР ДВ ОП ЛВ ЗЛ</t>
  </si>
  <si>
    <t>FORD FIESTA II 3Д 1995-2002  СТ БОК НЕП ЛВ ЗЛ/MAZDA 121 3D 1996- СТ БОК НЕП ЛВ ЗЛ</t>
  </si>
  <si>
    <t>FORD FIESTA II 3Д 1995-2002  СТ БОК ПОД ЛВ ЗЛ ОТКР/MAZDA 121 3D 1996- СТ БОК ПОД ЛВ ЗЛ ОТКР</t>
  </si>
  <si>
    <t>FORD FIESTA II 5Д 1995-2002  СТ ПЕР ДВ ОП ЛВ ЗЛ/FORD FIESTA III 5Д+COURIER VAN 1989-1995 СТ ПЕР ДВ ОП ЛВ ЗЛ</t>
  </si>
  <si>
    <t>FORD FIESTA II 5Д 1995-2002  СТ ЗАДН ДВ ОП ЛВ ЗЛ/FORD FIESTA III 5Д 1989-1995  СТ ЗАДН ДВ ОП ЛВ ЗЛ</t>
  </si>
  <si>
    <t>FORD FIESTA II 5Д 1995-2002  СТ ФОРТ ЗАДН НЕП ЛВ ЗЛ/FORD FIESTA III 5Д 1989-1995  СТ БОК НЕП ЛВ ЗЛ</t>
  </si>
  <si>
    <t>FORD FIESTA II 3Д 1995-2002  СТ ПЕР ДВ ОП ПР/FORD FIESTA III 3Д+VAN 2D 1989-1995  СТ ПЕР ДВ ОП ПР</t>
  </si>
  <si>
    <t>FORD FIESTA II 3Д 1995-2002  СТ БОК ПР/MAZDA 121 3D 1996- СТ БОК ПР</t>
  </si>
  <si>
    <t>FORD FIESTA II 5Д 1995-2002  СТ ПЕР ДВ ОП ПР/FORD FIESTA III 5Д+COURIER VAN 1989-1995  СТ ПЕР ДВ ОП ПР</t>
  </si>
  <si>
    <t>FORD FIESTA II 5Д 1995-2002  СТ ЗАДН ДВ ОП ПР/FORD FIESTA III 5Д 1989-1995  СТ ЗАДН ДВ ОП ПР</t>
  </si>
  <si>
    <t>FORD FIESTA II 5Д 1995-2002  СТ ФОРТ ЗАДН НЕП ПР/FORD FIESTA III 5Д 1989-1995  СТ БОК НЕП ПР</t>
  </si>
  <si>
    <t>FORD FIESTA II 3Д 1995-2002  СТ ПЕР ДВ ОП ПР ЗЛ/FORD FIESTA III 3Д+VAN 2D 1989-1995  СТ ПЕР ДВ ОП ПР ЗЛ</t>
  </si>
  <si>
    <t>FORD FIESTA II 3Д 1995-2002  СТ БОК НЕП ПР ЗЛ/MAZDA 121 3D 1996- СТ БОК НЕП ПР ЗЛ</t>
  </si>
  <si>
    <t>FORD FIESTA II 5Д 1995-2002  СТ ПЕР ДВ ОП ПР ЗЛ/FORD FIESTA III 5Д+COURIER VAN 1989-1995 СТ ПЕР ДВ ОП ПР ЗЛ</t>
  </si>
  <si>
    <t>FORD FIESTA II 5Д 1995-2002  СТ ЗАДН ДВ ОП ПР ЗЛ/FORD FIESTA III 5Д 1989-1995  СТ ЗАДН ДВ ОП ПР ЗЛ</t>
  </si>
  <si>
    <t>FORD FIESTA II 5Д 1995-2002  СТ ФОРТ ЗАДН НЕП ПР ЗЛ/FORD FIESTA III 5Д 1989-1995  СТ БОК НЕП ПР ЗЛ</t>
  </si>
  <si>
    <t>FIESTA III 2002-2008</t>
  </si>
  <si>
    <t>2002-2008</t>
  </si>
  <si>
    <t>FORD FIESTA III 2002-2008  СТ ВЕТР ЗЛ+IIIIN+УО</t>
  </si>
  <si>
    <t>FORD FIESTA III 2002-2008  СТ ВЕТР ЗЛ+VIN+УО</t>
  </si>
  <si>
    <t>FORD FIESTA III 2002-2008 МОЛД  ДЛЯ СТ ВЕТР</t>
  </si>
  <si>
    <t>FORD FIESTA III ХБ 5Д 2002-2008  СТ ЗАДН ЗЛ+УО</t>
  </si>
  <si>
    <t>FORD FIESTA III ХБ 3Д 2002-2008  СТ ЗАДН ЗЛ+УО</t>
  </si>
  <si>
    <t>FORD FIESTA III 2002-2008  СТ ПЕР ДВ ОП ЛВ ЗЛ</t>
  </si>
  <si>
    <t>FORD FIESTA III 2002-2008  СТ ПЕР ДВ ОП ЛВ ЗЛ+УО</t>
  </si>
  <si>
    <t>FORD FIESTA III 2002-2008  СТ ЗАДН ДВ ОП ЛВ ЗЛ</t>
  </si>
  <si>
    <t>FORD FIESTA III 2002-2008  СТ БОК НЕП ЛВ ЗЛ+УО</t>
  </si>
  <si>
    <t>FORD FIESTA III 2002-2008  СТ ПЕР ДВ ОП ПР ЗЛ</t>
  </si>
  <si>
    <t>FORD FIESTA III 2002-2008  СТ БОК НЕП ПР ЗЛ+УО</t>
  </si>
  <si>
    <t>FORD FIESTA III 2002-2008  СТ ПЕР ДВ ОП ПР ЗЛ+УО</t>
  </si>
  <si>
    <t>FORD FIESTA III 2002-2008  СТ ЗАДН ДВ ОП ПР ЗЛ</t>
  </si>
  <si>
    <t>FIESTA IV 5Д ХБ 2008-</t>
  </si>
  <si>
    <t>FORD FIESTA IV 2008- СТ ВЕТР ЗЛ+VIN+УО</t>
  </si>
  <si>
    <t>FORD FIESTA 08-СТ ВЕТР ЗЛ+ДД+VIN+УО+ИЗМ КР</t>
  </si>
  <si>
    <t>FORD FIESTA IV ХБ 5Д 2008- СТ ПЕР ДВ ОП ЛВ ЗЛ</t>
  </si>
  <si>
    <t>FORD FIESTA IV 5Д ХБ 2008- СТ ЗАДН ДВ ОП ЛВ ЗЛ</t>
  </si>
  <si>
    <t>FORD FIESTA IV ХБ 3Д 2008-  СТ ПЕР ДВ ОП ЛВ ЗЛ</t>
  </si>
  <si>
    <t>FORD FIESTA IV ХБ 5Д 2008-  СТ ЗАДН ОП ЛВ СР</t>
  </si>
  <si>
    <t>FORD FIESTA IV ХБ 5Д 2008- СТ ПЕР ДВ ОП ПР ЗЛ</t>
  </si>
  <si>
    <t>FORD FIESTA IV ХБ 3Д 2008-  СТ ПЕР ДВ ОП ПР ЗЛ</t>
  </si>
  <si>
    <t>FORD FIESTA IV 5Д ХБ 2008- СТ ЗАДН ДВ ОП ПР ЗЛ</t>
  </si>
  <si>
    <t>FORD FIESTA IV ХБ 5Д 2008-  СТ ЗАДН ОП ПР СР</t>
  </si>
  <si>
    <t>FOCUS I 1998-2004</t>
  </si>
  <si>
    <t>FORD FOCUS I ХБ+СД+УН 1998-2004 СТ ВЕТР ЗЛГЛ+VIN+УО</t>
  </si>
  <si>
    <t>FORD FOCUS I ХБ+СД+УН 1998-2004 СТ ВЕТР ЗЛЗЛ+VIN+УО</t>
  </si>
  <si>
    <t>FORD FOCUS I ХБ+СД+УН 1998-2004 СТ ВЕТР ЭО ЗЛ+VIN ФИТ</t>
  </si>
  <si>
    <t>2001-2004</t>
  </si>
  <si>
    <t>FORD FOCUS I ХБ+СД+УН 2001-2004 СТ ВЕТР ЭО ЗЛ+VIN+УО</t>
  </si>
  <si>
    <t>FORD FOCUS I 1998-2004 СТ ВЕТР ЗЛ+VIN+УО</t>
  </si>
  <si>
    <t>FORD FOCUS I 3Д 1998-2004  СТ ВЕТР ЗЛ+VIN</t>
  </si>
  <si>
    <t>FORD FOCUS I ХБ+СЕД+УН 1998-2004 МОЛД  ДЛЯ СТ ВЕТР С АЛЮМ ВСТАВКОЙ</t>
  </si>
  <si>
    <t>FORD FOCUS I УН 1998-2004  СТ ЗАДН ДВ ЗЛ+СТОП</t>
  </si>
  <si>
    <t>FORD FOCUS I ХБ 1998-2004  СТ ЗАДН ЗЛ+ФИТ</t>
  </si>
  <si>
    <t>FORD FOCUS I СД 1998-2004  СТ ЗАДН ЭО ЗЛ+УО</t>
  </si>
  <si>
    <t>FORD FOCUS I УН 1998-2004  СТ ЗАДН ДВ ОП ЛВ ЗЛ ФИТ</t>
  </si>
  <si>
    <t>FORD FOCUS I УН 1998-2004  СТ БОК ЛВ ЗЛ</t>
  </si>
  <si>
    <t>FORD FOCUS I 3Д ХБ 1998-2004 СТ ПЕР ДВ ОП ЛВ ЗЛ</t>
  </si>
  <si>
    <t>FORD FOCUS I 3Д ХБ 1998-2004 СТ БОК ЛВ ЗЛ</t>
  </si>
  <si>
    <t>FORD FOCUS I ХБ+СД+УН 1998-2004 СТ ПЕР ДВ ОП ЛВ ЗЛ</t>
  </si>
  <si>
    <t>FORD FOCUS I ХБ+СД 1998-2004 СТ ЗАДН ДВ ОП ЛВ ЗЛ+ФИТ</t>
  </si>
  <si>
    <t>FORD FOCUS I ХБ 1998-2004 СТ БОК НЕП ЛВ ЗЛ</t>
  </si>
  <si>
    <t>FORD FOCUS I СД 1998-2004 СТ БОК ЛВ ЗЛ</t>
  </si>
  <si>
    <t>FORD FOCUS I УН 1998-2004 СТ ЗАДН ДВ ОП ПР ЗЛ ФИТ</t>
  </si>
  <si>
    <t>FORD FOCUS I УН 1998-2004 СТ БОК ПР ЗЛ</t>
  </si>
  <si>
    <t>FORD FOCUS I 3Д ХБ 1998-2004 СТ ПЕР ДВ ОП ПР ЗЛ</t>
  </si>
  <si>
    <t>FORD FOCUS I 3Д ХБ 1998-2004 СТ БОК ПР ЗЛ</t>
  </si>
  <si>
    <t>FORD FOCUS I ХБ+СД+УН 1998-2004 СТ ПЕР ДВ ОП ПР ЗЛ</t>
  </si>
  <si>
    <t>FORD FOCUS I ХБ+СД 1998-2004 СТ ЗАДН ДВ ОП ПР ЗЛ+ФИТ</t>
  </si>
  <si>
    <t>FORD FOCUS I ХБ 1998-2004  СТ БОК НЕП ПР ЗЛ</t>
  </si>
  <si>
    <t>FORD FOCUS I СД 1998-2004  СТ БОК ПР ЗЛ</t>
  </si>
  <si>
    <t>FOCUS II 2004-</t>
  </si>
  <si>
    <t>FORD FOCUS II / ХБ/УН + СЕД 2004- СТ ВЕТР ЗЛ ЭО+ДД+VIN+УО</t>
  </si>
  <si>
    <t>FORD FOCUS II ХБ/УН + СЕД 2004- + КБ 2007-  СТ ВЕТР ЗЛ ЭО+ДД+VIN+УО</t>
  </si>
  <si>
    <t>FORD FOCUS II / ХБ/УН + СЕД 2004-  СТ ВЕТР ЗЛ ЭО+VIN+УО</t>
  </si>
  <si>
    <t>FORD FOCUS II ХБ/УН + СЕД 2004- + КБ 2007-  СТ ВЕТР ЗЛ ЭО+VIN+УО</t>
  </si>
  <si>
    <t>FORD FOCUS II ХБК/УН+СД 2004- СТ ВЕТР ЗЛ+ДД+VIN+УО</t>
  </si>
  <si>
    <t>FORD FOCUS II ХБ/УН + СЕД 2004- + КБ 2007-  СТ ВЕТР ЗЛ+ДД+VIN+УО</t>
  </si>
  <si>
    <t>FORD FOCUS II / ХБ/УН + СЕД 2004- СТ ВЕТР ЗЛ+VIN+УО</t>
  </si>
  <si>
    <t>FORD FOCUS II 2004- СТ ВЕТР ЗЛ+VIN</t>
  </si>
  <si>
    <t>FORD FOCUS II 2004-  СТ ВЕТР ЗЛ+ФИТ+VIN</t>
  </si>
  <si>
    <t>FORD FOCUS 2004- МОЛД ДЛЯ СТ ВЕТР ВЕРХ</t>
  </si>
  <si>
    <t>FORD FOCUS 2004-МОЛД ДЛЯ СТ ВЕТР НИЗ</t>
  </si>
  <si>
    <t>FORD FOCUS II 5Д УН 2004-  СТ ЗАДН ДВ ЗЛ</t>
  </si>
  <si>
    <t>FORD FOCUS II / ХБ 2004-  СТ ЗАДН ДВ ЗЛ</t>
  </si>
  <si>
    <t>FORD FOCUS III ХБ 2004- СТ ЗАДН ЗЛ+ИЗМ РАЗМ</t>
  </si>
  <si>
    <t>FORD FOCUS II 4Д СД 2004-  СТ ЗАДН ЗЛ+СТОП</t>
  </si>
  <si>
    <t>FORD FOCUS II УН 2004-  СТ ЗАДН ДВ ОП ЛВ ЗЛ</t>
  </si>
  <si>
    <t>FORD FOCUS II ХБ + СЕД 2004-  СТ ЗАДН ДВ ОП ЛВ ЗЛ</t>
  </si>
  <si>
    <t>FORD FOCUS II УН 2004-  СТ БОК НЕП ЛВ ЗЛ+УО</t>
  </si>
  <si>
    <t>FORD FOCUS II ХБ 2004-  СТ ПЕР ДВ ОП ЛВ ЗЛ</t>
  </si>
  <si>
    <t>FORD FOCUS II ХБ + СЕД 2004-  СТ ПЕР ДВ ОП ЛВ ЗЛ</t>
  </si>
  <si>
    <t>FORD FOCUS II ХБ 2004-  СТ БОК НЕП ЛВ ЗЛ+УО</t>
  </si>
  <si>
    <t>FORD FOCUS II ХБ 2004-  СТ БОК НЕП ЛВ ЗЛ</t>
  </si>
  <si>
    <t>FORD FOCUS II СЕД 2004-  СТ БОК НЕП ЛВ ЗЛ</t>
  </si>
  <si>
    <t>FORD FOCUS II УН 2004-  СТ ЗАДН ДВ ОП ПР ЗЛ</t>
  </si>
  <si>
    <t>FORD FOCUS II УН 2004-  СТ БОК НЕП ПР ЗЛ+УО</t>
  </si>
  <si>
    <t>FORD FOCUS II ХБ 2004-  СТ ПЕР ДВ ОП ПР ЗЛ</t>
  </si>
  <si>
    <t>FORD FOCUS II ХБ 2004-  СТ БОК НЕП ПР ЗЛ+УО</t>
  </si>
  <si>
    <t>FORD FOCUS II ХБ 2004-  СТ БОК НЕП ПР ЗЛ</t>
  </si>
  <si>
    <t>FORD FOCUS II СЕД 2004-  СТ БОК НЕП ПР ЗЛ</t>
  </si>
  <si>
    <t>FORD FOCUS II ХБ + СЕД 2004-  СТ ПЕР ДВ ОП ПР ЗЛ</t>
  </si>
  <si>
    <t>FORD FOCUS II ХБ + СЕД 2004-  СТ ЗАДН ДВ ОП ПР ЗЛ</t>
  </si>
  <si>
    <t>FORD FOCUS 2010-</t>
  </si>
  <si>
    <t>FORD FOCUS 2010- СЕД+ХБ+УН СТ ВЕТР ЗЛ ДД ЭО+VIN+ДО</t>
  </si>
  <si>
    <t>FORD FOCUS 2010- СЕД+ХБ+УН СТ ВЕТР ЗЛ ЭО+VIN+ДО</t>
  </si>
  <si>
    <t>FORD FOCUS 2010- СЕД+ХБ+УН СТ ВЕРТ ЗЛ ДД+VIN+ДО</t>
  </si>
  <si>
    <t>FORD FOCUS 2010- СЕД+ХБ+УН СТ ВЕТР ЗЛ+VIN+ДО</t>
  </si>
  <si>
    <t>FORD FOCUS 2010-СТ ВЕТР ЗЛ+АКУСТ+ЭО+ДД+VIN+ДО</t>
  </si>
  <si>
    <t>FORD FOCUS 2010-СТ ВЕТР ЗЛ+АКУСТ+ЭО+VIN+ДО</t>
  </si>
  <si>
    <t>FORD FOCUS 2010-СТ ВЕТР ЗЛ+АКУСТ+ДД+VIN+ДО</t>
  </si>
  <si>
    <t>FORD FOCUS 2010-СТ ВЕТР ЗЛ+АКУСТ+VIN+ДО</t>
  </si>
  <si>
    <t>FORD FOCUS 2010- ХБ СТ ПЕР ДВ ОП ЛВ ЗЛ</t>
  </si>
  <si>
    <t>FORD FOCUS 2010- ХБ СТ ПЕР ДВ ОП ПР ЗЛ</t>
  </si>
  <si>
    <t>FOCUS C-MAX 2003-</t>
  </si>
  <si>
    <t>FORD FOCUS C MAX 2003-  СТ ВЕТР ЗЛСР+VIN+УО</t>
  </si>
  <si>
    <t>FORD FOCUS C MAX 2003-  СТ ВЕТР ЗЛ ЭО+VIN+ДД+УО</t>
  </si>
  <si>
    <t>FORD FOCUS C MAX 2005-  СТ ВЕТР ЗЛ ЭО+ДД+VIN+УО+ИЗМ КР</t>
  </si>
  <si>
    <t>FORD FOCUS C MAX 2003-  СТ ВЕТР ЗЛ ЭО+УО</t>
  </si>
  <si>
    <t>FORD FOCUS C MAX 2005-  СТ ВЕТР ЗЛ ЭО+VIN+УО</t>
  </si>
  <si>
    <t>FORD FOCUS C MAX 2003-  СТ ВЕТР ЗЛ ДД+VIN+УО</t>
  </si>
  <si>
    <t>FORD FOCUS C MAX 2005-  СТ ВЕТР ЗЛ+ДД+VIN+УО</t>
  </si>
  <si>
    <t>FORD FOCUS C MAX 2003-  СТ ВЕТР ЗЛ+VIN+УО</t>
  </si>
  <si>
    <t>FORD FOCUS C MAX 2005-  СТ ВЕТР ЗЛ+VIN+УО</t>
  </si>
  <si>
    <t>FORD FOCUS C-MAX 03 СТ ВЕТР ЗЛГЛ+VIN+УО</t>
  </si>
  <si>
    <t>FORD FOCUS C MAX 2003-  МОЛД  ДЛЯ СТ ВЕТР</t>
  </si>
  <si>
    <t>FORD FOCUS C MAX МИН 2003-  СТ ЗАДН ТЗЛ+3ОТВ</t>
  </si>
  <si>
    <t>FORD FOCUS C MAX МИН 2003-  СТ ЗАДН ЗЛ</t>
  </si>
  <si>
    <t>FORD FOCUS C MAX 2003-  СТ ПЕР ДВ ОП ЛВ ЗЛ</t>
  </si>
  <si>
    <t>FORD FOCUS C MAX 2003-  СТ БОК ПЕР НЕП ЛВ+ИНК</t>
  </si>
  <si>
    <t>FORD FOCUS C MAX 2003-  СТ ЗАДН ДВ ОП ЛВ ЗЛ</t>
  </si>
  <si>
    <t>FORD FOCUS C MAX 2003-  СТ БОК НЕП ЛВ ЗЛ</t>
  </si>
  <si>
    <t>FORD FOCUS C MAX 2003-  СТ ЗАДН ДВ ОП ПР ТЗЛ</t>
  </si>
  <si>
    <t>FORD FOCUS C MAX 2003-  СТ ПЕР ДВ ОП ПР ЗЛ</t>
  </si>
  <si>
    <t>FORD FOCUS C MAX 2003-  СТ БОК ПЕР НЕП ПР+ИНК</t>
  </si>
  <si>
    <t>FORD FOCUS C MAX 2003-  СТ ЗАДН ДВ ОП ПР ЗЛ</t>
  </si>
  <si>
    <t>FORD FOCUS C MAX 2003-  СТ БОК НЕП ПР ЗЛ</t>
  </si>
  <si>
    <t>FUSION 2002-</t>
  </si>
  <si>
    <t>2002-2012</t>
  </si>
  <si>
    <t>FORD FUSION 2002-  СТ ВЕТР ЗЛГЛ+VIN+УО</t>
  </si>
  <si>
    <t>FORD FUSION 11/2005-  СТ ВЕТР ЗЛ ЭО+ДД+VIN+УО</t>
  </si>
  <si>
    <t>FORD FUSION 2002-  СТ ВЕТР ЗЛ ЭО+VIN+УО</t>
  </si>
  <si>
    <t>FORD FUSION 11/2005-  СТ ВЕТР ЗЛ+ДД+VIN+УО</t>
  </si>
  <si>
    <t>FORD FUSION 2002-  СТ ВЕТР ЗЛ VIN+УО</t>
  </si>
  <si>
    <t>FORD FUSION 2002-  МОЛД  ДЛЯ СТ ВЕТР ВЕРХ</t>
  </si>
  <si>
    <t>FORD FUSION МИН 2002-  СТ ЗАДН ЗЛ+УО</t>
  </si>
  <si>
    <t>FORD FUSION 2002-  СТ ПЕР ДВ ОП ЛВ ЗЛ</t>
  </si>
  <si>
    <t>FORD FUSION 2002-  СТ ЗАДН ДВ ОП ЛВ ЗЛ</t>
  </si>
  <si>
    <t>FORD FUSION до 2008- ФОРТ ЗАДН НЕП ЛВ ЗЛ</t>
  </si>
  <si>
    <t>FORD FUSION 2002-  СТ ПЕР ДВ ОП ПР ЗЛ</t>
  </si>
  <si>
    <t>FORD FUSION 2002-  СТ ЗАДН ДВ ОП ПР ЗЛ</t>
  </si>
  <si>
    <t>FORD FUSION до 2008- ФОРТ ЗАДН НЕП ПР ЗЛ</t>
  </si>
  <si>
    <t>GALAXY I 1995-</t>
  </si>
  <si>
    <t>1995-2006</t>
  </si>
  <si>
    <t>FORD GALAXY I 1995-2006  СТ ВЕТР ЗЛ/SEAT ALHAMBRA 1995-  СТ ВЕТР ЗЛ</t>
  </si>
  <si>
    <t>FORD GALAXY I 1995-2006 05/1999 СТ ВЕТР ЗЛГЛ/SEAT ALHAMBRA 03/00 СТ ВЕТР ЗЛГЛ</t>
  </si>
  <si>
    <t>FORD GALAXY I 03/2000-2006  СТ ВЕТР ЗЛГЛ+ЭО+VIN/SEAT ALHAMBRA 03/00 СТ ВЕТР ЗЛГЛ+ЭО+VIN</t>
  </si>
  <si>
    <t>FORD GALAXY I 03/2000-2006 СТ ВЕТР ЗЛГЛ+VIN/SEAT ALHAMBRA 03/00  СТ ВЕТР ЗЛГЛ+VIN</t>
  </si>
  <si>
    <t>FORD GALAXY I 1995-2006  СТ ВЕТР ЗЛЗЛ/VOLKSWAGEN SHARAN 95 05/99 СТ ВЕТР ЗЛЗЛ</t>
  </si>
  <si>
    <t>FORD GALAXY I 03/2000-2006  СТ ВЕТР ЗЛЗЛ+VIN/SEAT ALHAMBRA 03/00  СТ ВЕТР ЗЛЗЛ+VIN</t>
  </si>
  <si>
    <t>FORD GALAXY I 1995-2006 /2000 СТ ВЕТР  ЗЛ ЭО +VIN ИЗМ ШЕЛК/SEAT ALHAMBRA 05/99 03/00 СТ ВЕТР ЗЛ+ЭО+VIN</t>
  </si>
  <si>
    <t>FORD GALAXY I 03/2000-2006  СТ ВЕТР ЗЛ ЭО+VIN/SEAT ALHAMBRA 03/00  СТ ВЕТР ЗЛ+ЭО+VIN</t>
  </si>
  <si>
    <t>FORD GALAXY I 03/2000-2006  СТ ВЕТР ЗЛ+VIN/SEAT ALHAMBRA 03/00  СТ ВЕТР ЗЛ+VIN</t>
  </si>
  <si>
    <t>FORD GALAXY I 11/2003-2006 СТ ВЕТР ЗЛ SOL+VIN+УО/SEAT ALHAMBRA 11/03 СТ ВЕТР ЗЛ+VIN+УО</t>
  </si>
  <si>
    <t>FORD GALAXY I 1995-2006  МОЛД  ДЛЯ СТ ВЕТР ВЕРХ</t>
  </si>
  <si>
    <t>FORD GALAXY I МИН 1995-2006  СТ ЗАДН ЭО ЗЛ/SEAT ALHAMBRA 95  СТ ЗАДН ЗЛ</t>
  </si>
  <si>
    <t>FORD GALAXY I МИН 1995-2006  СТ ЗАДН ЗЛ+СТОП/SEAT ALHAMBRA 95 СТ ЗАДН ЗЛ+СТОП</t>
  </si>
  <si>
    <t>FORD GALAXY I МИН 04/2000-2006  СТ ЗАДН ЗЛ+ИНК/VW SHARAN FROM CH 7M-2 011 001 04/2002-</t>
  </si>
  <si>
    <t>FORD GALAXY I 1995-2006  МОЛД ДЛЯ СТ ЗАДН</t>
  </si>
  <si>
    <t>FORD GALAXY I 1995-2006  СТ ПЕР ДВ ОП ЛВ ЗЛ/SEAT ALHAMBRA 95  СТ ПЕР ДВ ОП ЛВ ЗЛ</t>
  </si>
  <si>
    <t>FORD GALAXY I 1995-2006  СТ ЗАДН ДВ ОП ЛВ ЗЛ/SEAT ALHAMBRA 95  СТ ЗАДН ДВ ОП ЛВ ЗЛ</t>
  </si>
  <si>
    <t>FORD GALAXY I 1995-2006  СТ ПЕР ДВ ОП ПР ЗЛ/SEAT ALHAMBRA 95  СТ ПЕР ДВ ОП ПР ЗЛ</t>
  </si>
  <si>
    <t>FORD GALAXY I 1995-2006  СТ ЗАДН ДВ ОП ПР ЗЛ/SEAT ALHAMBRA 95  СТ ЗАДН ДВ ОП ПР ЗЛ</t>
  </si>
  <si>
    <t>GALAXY II 2006-</t>
  </si>
  <si>
    <t>FORD GALAXY II 2006- СТ ВЕТР ЗЛ ЭО+ДД+VIN+УО</t>
  </si>
  <si>
    <t>FORD GALAXY II 2006- СТ ВЕТР ЗЛ ЭО+VIN+УО</t>
  </si>
  <si>
    <t>FORD GALAXY II 2006- СТ ВЕТР ЗЛ+ДД+VIN+УО</t>
  </si>
  <si>
    <t>FORD GALAXY II 2006- СТ ВЕТР ЗЛ+VIN+УО</t>
  </si>
  <si>
    <t>FORD GALAXY II МИН 2006- СТ ЗАДН  ЗЛ+УО</t>
  </si>
  <si>
    <t>FORD GALAXY II 2006- СТ ПЕР ДВ ОП ЛВ ЗЛ</t>
  </si>
  <si>
    <t>FORD GALAXY II 2006- СТ ЗАДН ДВ ОП ЛВ ЗЛ</t>
  </si>
  <si>
    <t>FORD GALAXY II 2006- СТ ЗАДН ДВ ОП ПР ЗЛ</t>
  </si>
  <si>
    <t>KA 1996-</t>
  </si>
  <si>
    <t>FORD KA 10/1996-  СТ ВЕТР ЗЛ</t>
  </si>
  <si>
    <t>FORD KA 10/1996-  СТ ВЕТР ЗЛГЛ</t>
  </si>
  <si>
    <t>FORD KA 10/1996-  СТ ВЕТР ЗЛЗЛ</t>
  </si>
  <si>
    <t>FORD KA 10/1996-  МОЛД  ДЛЯ СТ ВЕТР</t>
  </si>
  <si>
    <t>FORD KA ХБ 1996-  СТ ЗАДН ЗЛ</t>
  </si>
  <si>
    <t>FORD KA ХБ 1996-  СТ ЗАДН ЗЛ СТОП</t>
  </si>
  <si>
    <t>FORD KA 1996-  СТ ПЕР ДВ ОП ЛВ ЗЛ ФИТ</t>
  </si>
  <si>
    <t>FORD KA 1996-  СТ БОК ПОД ЛВ ЗЛ ОТКР ФИТ</t>
  </si>
  <si>
    <t>FORD KA 1996-  СТ ПЕР ДВ ОП ПР ЗЛ ФИТ</t>
  </si>
  <si>
    <t>FORD KA 1996-  СТ БОК ПОД ПР ЗЛ ОТКР ФИТ</t>
  </si>
  <si>
    <t>KA STREET 2002-</t>
  </si>
  <si>
    <t>FORD STREET KA 2002- СТ ВЕТР ЭО ЗЛ+УО</t>
  </si>
  <si>
    <t>FORD STREET KA 2003- СТ ВЕТР ЗЛ+УО</t>
  </si>
  <si>
    <t>FORD STREET KA 2003- СТ ПЕР ДВ ОП ЛВ ЗЛ</t>
  </si>
  <si>
    <t>FORD STREET KA 2003- СТ ПЕР ДВ ОП ПР ЗЛ</t>
  </si>
  <si>
    <t>KA 2008-</t>
  </si>
  <si>
    <t>FORD KA 3Д ХБ 2008- СТ ВЕТР ЗЛ+ЭО+VIN+ИНК</t>
  </si>
  <si>
    <t>FORD KA 3Д ХБ 2008- СТ ВЕТР ЗЛ+VIN+ИНК</t>
  </si>
  <si>
    <t>KUGA 2008-</t>
  </si>
  <si>
    <t>FORD KUGA 2008- СТ ВЕТР ЗЛ+VIN+ДО</t>
  </si>
  <si>
    <t>FORD KUGA 2008- СТ ВЕТР ГЛ+ЭО+ДД+VIN+УО+ИЗМ ДЕР ЗЕРК</t>
  </si>
  <si>
    <t>FORD KUGA 2008- СТ ВЕТР ЗЛ+ЭО+VIN+УО</t>
  </si>
  <si>
    <t>FORD KUGA 2008- СТ ВЕТР ЗЛ+ЭО+ДД+VIN+УО+ИЗМ КР</t>
  </si>
  <si>
    <t>FORD KUGA 2008- СТ ЗАДН ЗЛ</t>
  </si>
  <si>
    <t>FORD KUGA 2008- СТ ПЕР ДВ ОП ЛВ ЗЛ</t>
  </si>
  <si>
    <t>FORD KUGA 2008- СТ ЗАДН ДВ ОП ЛВ  ЗЛ</t>
  </si>
  <si>
    <t>FORD KUGA 2008- СТ ЗАДН ДВ ОП ЛВ  СР</t>
  </si>
  <si>
    <t>FORD KUGA 2008- СТ ПЕР ДВ ОП ПР ЗЛ</t>
  </si>
  <si>
    <t>FORD KUGA 2008- СТ ЗАДН ДВ ОП ПР ЗЛ</t>
  </si>
  <si>
    <t>FORD KUGA 2008- СТ ЗАДН ДВ ОП ПР СР</t>
  </si>
  <si>
    <t>MAVERICK / TERRANO II 5T 1993-1999</t>
  </si>
  <si>
    <t>FORD MAVERICK 3Д+5Д 1993-1999  СТ ВЕТР ЗЛ/NISSAN TERRANO MK2 3Д+5Д 93  СТ ВЕТР ЗЛ</t>
  </si>
  <si>
    <t>FORD MAVERICK 3Д 1993-1999  СТ ВЕТР ЗЛ+ИЗМ Ш/NISSAN TERRANO MK2 3Д+5Д 93  СТ ВЕТР ЗЛ ШЕЛК ИЗМ</t>
  </si>
  <si>
    <t>FORD MAVERICK 3Д+5Д 1993-1999  СТ ВЕТР ЗЛГЛ/NISSAN TERRANO MK2 3Д+5Д 93  СТ ВЕТР ЗЛГЛ</t>
  </si>
  <si>
    <t>FORD MAVERICK 3Д 1993-1999  СТ ВЕТР ЗЛГЛ+ИЗМ Ш/NISSAN TERRANO MK2 3Д+5Д 93  СТ ВЕТР ЗЛГЛ  ШЕЛК ИЗМ</t>
  </si>
  <si>
    <t>FORD MAVERICK 1993-1999  СТ ПЕР ДВ ОП ЛВ ЗЛ+УО</t>
  </si>
  <si>
    <t>FORD MAVERICK 1993-1999  СТ ЗАДН ДВ ОП ЛВ ЗЛ+УО/NISSAN TERRANO MK2 5Д 93  СТ ЗАДН ДВ ОП ЛВ ЗЛ+УО</t>
  </si>
  <si>
    <t>FORD MAVERICK 1993-1999  СТ ПЕР ДВ ОП ПР ЗЛ+УО</t>
  </si>
  <si>
    <t>FORD MAVERICK 1993-1999  СТ ЗАДН ДВ ОП ПР ЗЛ+УО/NISSAN TERRANO MK2 93  СТ ЗАДН ДВ ОП ПР ЗЛ+УО</t>
  </si>
  <si>
    <t>MAVERICK RANGER 3Д/5Д (C212) 2000-</t>
  </si>
  <si>
    <t>FORD MAVERICK 2000- СТ ВЕТР ЗЛГЛ+VIN+УО/MAZDA TRIBUTE 01  СТ ВЕТР ЗЛГЛ+VIN+УО</t>
  </si>
  <si>
    <t>FORD MAVERICK 2000- СТ ВЕТР ЗЛ+VIN+УО/MAZDA TRIBUTE 01  СТ ВЕТР ЗЛ+VIN+УО</t>
  </si>
  <si>
    <t>FORD MAVERICK 2000-  МОЛД  ДЛЯ СТ ВЕТР</t>
  </si>
  <si>
    <t>FORD MAVERICK ВН 2000- СТ ЗАДН ЗЛ</t>
  </si>
  <si>
    <t>FORD MAVERICK 2000- СТ ЗАДН ДВ ОП ПР ЗЛ/MAZDA TRIBUTE 01  СТ ЗАДН ДВ ОП ПР ЗЛ</t>
  </si>
  <si>
    <t>MONDEO II 1993-2001</t>
  </si>
  <si>
    <t>FORD MONDEO II СД+ХБ+УН 1993-2001  СТ ВЕТР ЗЛГЛ +ЭО+VIN</t>
  </si>
  <si>
    <t>FORD MONDEO II СД+ХБ+УН 1993-2001  СТ ВЕТР ЗЛГЛ+VIN</t>
  </si>
  <si>
    <t>FORD MONDEO II СД+ХБ+УН 1993-2001 СТ ВЕТР ЗЛ+ЭО+VIN</t>
  </si>
  <si>
    <t>FORD MONDEO II СД+ХБ+УН 1993-2001  СТ ВЕТР ЗЛ+VIN</t>
  </si>
  <si>
    <t>FORD MONDEO II СД+ХБ+УН 1993-2001  МОЛД  ДЛЯ СТ ВЕТР ВЕРХ</t>
  </si>
  <si>
    <t>FORD MONDEO II УН 1993-2001  СТ ЗАДН ЭО ЗЛ+ 1 ОТВ</t>
  </si>
  <si>
    <t>FORD MONDEO II УН 1996-2001 СТ ЗАДН ЭО ЗЛ+СТОП+1ОТВ</t>
  </si>
  <si>
    <t>FORD MONDEO II УН 1996-2001  СТ ЗАДН ЗЛ+СТОП+КЛЕММЫ</t>
  </si>
  <si>
    <t>FORD MONDEO I УН 1993-1996 СТ ЗАДН ЗЛ+КЛЕММЫ</t>
  </si>
  <si>
    <t>FORD MONDEO II СД 1993-2001  СТ ЗАДН ЗЛ</t>
  </si>
  <si>
    <t>FORD MONDEO II СД 1993-2001  СТ ЗАДН ЗЛ ОТВ</t>
  </si>
  <si>
    <t>FORD MONDEO II СД 1996-2001  СТ ЗАДН ЭО ЗЛ+СТОП</t>
  </si>
  <si>
    <t>1994-1996</t>
  </si>
  <si>
    <t>FORD MONDEO I СД 1994-1996 СТ ЗАДН ЗЛ+СТОП ОТВ</t>
  </si>
  <si>
    <t>FORD MONDEO II СД 1996-2001  СТ ЗАДН ЗЛ+СТОП ОТВ</t>
  </si>
  <si>
    <t>FORD MONDEO II УН 08/1995-2001  СТ ЗАДН ДВ ОП ЛВ ЗЛ+УО</t>
  </si>
  <si>
    <t>FORD MONDEO II УН 08/1994-2001  СТ БОК ЛВ ЗЛ</t>
  </si>
  <si>
    <t>FORD MONDEO I СД+ХБ+УН 1993-08/1995 СТ ПЕР ДВ ОП ЛВ ЗЛ+ФИТ</t>
  </si>
  <si>
    <t>FORD MONDEO II СД+ХБ+УН 08/1995-2001  СТ ПЕР ДВ ОП ЛВ ЗЛ+УО</t>
  </si>
  <si>
    <t>FORD MONDEO I СД+ХБ 1993-08/1995 СТ ЗАДН ДВ ОП ЗЛ+ФИТ</t>
  </si>
  <si>
    <t>FORD MONDEO II СД+ХБ 1995-2001 СТ ЗАДН ДВ ОП ЛВ ЗЛ+ФИТ</t>
  </si>
  <si>
    <t>FORD MONDEO II УН 93 08/1995-2001 СТ ЗАДН ДВ ОП ПР ЗЛ ФИТ</t>
  </si>
  <si>
    <t>FORD MONDEO II УН 08/1994-2001  СТ БОК ПР ЗЛ</t>
  </si>
  <si>
    <t>FORD MONDEO I СД+ХБ+УН 1993-08/1995 СТ ПЕР ДВ ОП ПР+ФИТ</t>
  </si>
  <si>
    <t>FORD MONDEO II СД+ХБ+УН0 8/1995-2001 СТ ПЕР ДВ ОП ПР+УО</t>
  </si>
  <si>
    <t>FORD MONDEO I СД+ХБ 1993-08/1995 СТ ЗАДН ДВ ОП ПР ЗЛ+ФИТ</t>
  </si>
  <si>
    <t>FORD MONDEO II СД+ХБ 1995-2001  СТ ЗАДН ДВ ОП ПР ЗЛ+ФИТ</t>
  </si>
  <si>
    <t>MONDEO III 2000-2007</t>
  </si>
  <si>
    <t>FORD MONDEO III 2003-2007 СТ ВЕТР ЗЛ ЭО+ДД+VIN+УО</t>
  </si>
  <si>
    <t>FORD MONDEO III СЕД +ХБ +УН 2006-2007  СТ ВЕТР ЗЛ ЭО+ДД+VIN+УО+ИЗМ ШЕЛК</t>
  </si>
  <si>
    <t>FORD MONDEO III 2003-2007  СТ ВЕТР ЗЛ ЭО+VIN+УО</t>
  </si>
  <si>
    <t>FORD MONDEO III СЕД +ХБ +УН 2006-2007  СТ ВЕТР ЗЛ ЭО+VIN+УО+ИЗМ КР</t>
  </si>
  <si>
    <t>FORD MONDEO III СЕД +ХБ +УН 2000-2007 СТ ВЕТР ЗЛ ЭО+VIN+ИНК</t>
  </si>
  <si>
    <t>FORD MONDEO III СЕД +ХБ +УН 2003-2007  СТ ВЕТР ЗЛ+VIN+УО</t>
  </si>
  <si>
    <t>FORD MONDEO III 08/2004-2007  СТ ВЕТР ЗЛ+УО+VIN</t>
  </si>
  <si>
    <t>FORD MONDEO III СЕД +ХБ +УН 2000-2007 СТ ВЕТР ЗЛ+VIN+ИНК</t>
  </si>
  <si>
    <t>FORD MONDEO III СЕД +ХБ +УН 2000-2007  МОЛД  ДЛЯ СТ ВЕТР ЛВ</t>
  </si>
  <si>
    <t>FORD MONDEO III СЕД +ХБ +УН 2000-2007  МОЛД  ДЛЯ СТ ВЕТР ПР</t>
  </si>
  <si>
    <t>FORD MONDEO III ХБ 09/2003-2007  СТ ЗАДН ДВ ТЗЛ+АНТ+СТОП+ИЗМ РАЗМ</t>
  </si>
  <si>
    <t>FORD MONDEO III СД 09/2003-2007  СТ ЗАДН ТЗЛ+АНТ+СТОП+ИЗМ РАЗМ</t>
  </si>
  <si>
    <t>FORD MONDEO III УН 2000-2007  СТ ЗАДН ЗЛ+СТОП+УО</t>
  </si>
  <si>
    <t>FORD MONDEO III ХБ 09/2003-2007  СТ ЗАДН ЗЕЛХАМ+АНТ+СТОП+ИЗМ РАЗМ</t>
  </si>
  <si>
    <t>FORD MONDEO III ХБ 2000-2007  СТ ЗАДН ДВ ЗЛ+ИНК</t>
  </si>
  <si>
    <t>FORD MONDEO III СД 09/2003-2007  СТ ЗАДН ЗЛ+АНТ+СТОП+ИЗМ РАЗМ</t>
  </si>
  <si>
    <t>FORD MONDEO III УН 2000-2007  СТ ЗАДН ДВ ОП ЛВ ЗЛ</t>
  </si>
  <si>
    <t>FORD MONDEO III УН 2000-2007  СТ БОК НЕП ЛВ ЗЛ</t>
  </si>
  <si>
    <t>FORD MONDEO III УН 2000-2007  ФОРТ ЗАДН НЕП ЛВ ЗЛ+ИНК</t>
  </si>
  <si>
    <t>FORD MONDEO III 2000-2007  СТ ПЕР ДВ ОП ЛВ ЗЛ</t>
  </si>
  <si>
    <t>FORD MONDEO III 2000-2007  СТ ЗАДН ДВ ОП ЛВ ЗЛ</t>
  </si>
  <si>
    <t>FORD MONDEO III СЕД +ХБ 2000-2007  СТ ФОРТ ЗАДН НЕП ЗЛ ЛВ+ИНК</t>
  </si>
  <si>
    <t>FORD MONDEO III УН 2000-2007  СТ ЗАДН ДВ ОП ПР ЗЛ</t>
  </si>
  <si>
    <t>FORD MONDEO III УН 2000-2007  СТ БОК НЕП ПР ЗЛ</t>
  </si>
  <si>
    <t>FORD MONDEO III УН 2000-2007  СТ БОК НЕП ПР ЗЛ+АНТ</t>
  </si>
  <si>
    <t>FORD MONDEO III УН 2000-2007  СТ ФОРТ ЗАДН НЕП ПР ЗЛ+ИНК</t>
  </si>
  <si>
    <t>FORD MONDEO III ХБ 5Д 2000-2007  СТ ПЕР ДВ ОП ПР ЗЛ</t>
  </si>
  <si>
    <t>FORD MONDEO III ХБ 5Д 2000-2007  СТ ЗАДН ДВ ОП ПР ЗЛ</t>
  </si>
  <si>
    <t>FORD MONDEO III СЕД +ХБ 2000-2007  СТ ФОРТ ЗАДН НЕП ЗЛ ПР+ИНК</t>
  </si>
  <si>
    <t>MONDEO IV СЕД+ХБ+УН 2007-</t>
  </si>
  <si>
    <t>FORD MONDEO IV СЕД+ХБ+УН 2007- СТ ВЕТР ЗЛ ЭО+ДД+VIN+УО</t>
  </si>
  <si>
    <t>FORD MONDEO IV СЕД+ХБ+УН 2007- СТ ВЕТР ЗЛ ЭО+VIN+УО</t>
  </si>
  <si>
    <t>FORD MONDEO IV СЕД+ХБ+УН 2007- СТ ВЕТР ЗЛ+ДД+VIN+УО</t>
  </si>
  <si>
    <t>FORD MONDEO IV СЕД+ХБ+УН 2007- СТ ВЕТР ЗЛ+VIN+УО</t>
  </si>
  <si>
    <t>FORD MONDEO 07 СТ ВЕТР ГЛ+ЭО+VIN+УО+ИЗМ</t>
  </si>
  <si>
    <t>FORD MONDEO 07-СТ ВЕТР ГЛ АКУСТИК+ЭО+ДД</t>
  </si>
  <si>
    <t>FORD MONDEO 07-СТ ВЕТР ПР ТЕПЛООТР АКУСТИК+ЭО+ДД+VIN+УО+ИЗМ КР</t>
  </si>
  <si>
    <t>FORD MONDEO 09-СТ ВЕТР ЗЛ АКУСТИК+ЭО+ДД+VIN+УО+ИЗМ КР</t>
  </si>
  <si>
    <t>FORD MONDEO IV СД 2007- СТ ЗАДН ЗЛ</t>
  </si>
  <si>
    <t>FORD MONDEO IV ХБ 2007- СТ ПЕР ДВ ОП ПР ГЛ</t>
  </si>
  <si>
    <t>FORD MONDEO IV СЕД 2007- СТ ПЕР ДВ ОП ЛВ ЗЛ</t>
  </si>
  <si>
    <t>FORD MONDEO IV ХБ 4Д/5Д 2007- СТ ЗАДН ДВ ОП ЛВ ЗЛ</t>
  </si>
  <si>
    <t>FORD MONDEO IV СЕД 2007- СТ ПЕР ДВ ОП ПР ЗЛ</t>
  </si>
  <si>
    <t>FORD MONDEO IV ХБ 2007- СТ ЗАДН ДВ ОП ПР ЗЛ</t>
  </si>
  <si>
    <t>MUSTANG 1979-1993</t>
  </si>
  <si>
    <t>1979-1993</t>
  </si>
  <si>
    <t>FORD MUSTANG 1979-1993 СТ ВЕТР ЗЛГЛ+VIN</t>
  </si>
  <si>
    <t>MUSTANG 1994-</t>
  </si>
  <si>
    <t>1994-2004</t>
  </si>
  <si>
    <t>FORD MUSTANG 1994- СТ ВЕТР ЗЛГЛ+VIN+УО</t>
  </si>
  <si>
    <t>PROBE 1988-06/1991</t>
  </si>
  <si>
    <t>1988-1991</t>
  </si>
  <si>
    <t>FORD PROBE 1988-06/1991 СТ ВЕТР ЗЛГЛ/FORD PROBE 1988-06/1991 СТ ВЕТР ЗЛГЛ</t>
  </si>
  <si>
    <t>PROBE (W1145) 1993-1997</t>
  </si>
  <si>
    <t>FORD PROBE (W1145) 1993-1997  СТ ВЕТР ЗЛГЛ/FORD PROBE (W1145) 1993-1997  СТ ВЕТР ЗЛГЛ</t>
  </si>
  <si>
    <t>FORD PROBE (W1145) 1993-1997  МОЛД ДЛЯ СТ ВЕТР</t>
  </si>
  <si>
    <t>PUMA COUPE 1997-2001</t>
  </si>
  <si>
    <t>FORD PUMA КУП 1997-2001  СТ ВЕТР ЗЛ ЭО+ИНК</t>
  </si>
  <si>
    <t>FORD PUMA КУП 1997-2001  СТ ВЕТР ЗЛ+ИНК</t>
  </si>
  <si>
    <t>FORD PUMA КП 1997-2001  СТ ЗАДН ЗЛ+ИНК</t>
  </si>
  <si>
    <t>FORD PUMA КУП 1997-2001  СТ ПЕР ДВ ОП ЛВ ЗЛ</t>
  </si>
  <si>
    <t>FORD PUMA КУП 1997-2001  СТ ПЕР ДВ ОП ПР ЗЛ</t>
  </si>
  <si>
    <t>RANGER PU 1999-</t>
  </si>
  <si>
    <t>1999-2007</t>
  </si>
  <si>
    <t>FORD RANGER PU 1999-  СТ ВЕТР ЗЛ/MAZDA B SER 2Д+4Д 1998-2006  СТ ВЕТР ЗЛ</t>
  </si>
  <si>
    <t>FORD RANGER PU 1999-  СТ ПЕР ДВ ОП ЛВ ЗЛ/MAZDA B SER 2Д+4Д 1998-2006  СТ ПЕР ДВ ОП ЛВ ЗЛ</t>
  </si>
  <si>
    <t>FORD RANGER PU 1999-  СТ ПЕР ДВ ОП ПР ЗЛ/MAZDA B SER 1998-2006  СТ ПЕР ДВ ОП ПР ЗЛ</t>
  </si>
  <si>
    <t>RANGER 2007-</t>
  </si>
  <si>
    <t>FORD RANGER 2007- СТ ВЕТР ЗЛ/MAZDA BT50 PICK UP 2007-  СТ ВЕТР ЗЛ</t>
  </si>
  <si>
    <t>FORD RANGER 2007- СТ ПЕР ДВ ОП ЛВ ЗЛ/MAZDA BT50 PICK-UP 2007-</t>
  </si>
  <si>
    <t>FORD RANGER 2007- СТ ПЕР ДВ ОП ПР ЗЛ/MAZDA BT50 PICK-UP 2007-</t>
  </si>
  <si>
    <t>S MAX 2006-</t>
  </si>
  <si>
    <t>FORD S MAX 2006-  СТ ВЕТР ЗЛ+ЭО+ДД+VIN+УО+ИЗМ КР</t>
  </si>
  <si>
    <t>FORD S MAX 2006-  СТ ВЕТР ЗЛ ЭО+VIN+УО</t>
  </si>
  <si>
    <t>FORD S MAX 2006-  СТ ВЕТР ЗЛ+ДД+VIN+УО</t>
  </si>
  <si>
    <t>FORD S MAX 2006-  СТ ВЕТР ЗЛ+VIN+УО</t>
  </si>
  <si>
    <t>FORD S MAX МИН 2006-  СТ ЗАДН ТЗЛ+УО</t>
  </si>
  <si>
    <t>FORD S MAX МИН 2006-  СТ ЗАДН ЗЛ+УО</t>
  </si>
  <si>
    <t>FORD S MAX 2006-  СТ ЗАДН ДВ ОП ЛВ ТЗЛ</t>
  </si>
  <si>
    <t>FORD S MAX 2006-  СТ ПЕР ДВ ОП ЛВ ЗЛ</t>
  </si>
  <si>
    <t>FORD S MAX 2006-  СТ ЗАДН ДВ ОП ЛВ ЗЛ</t>
  </si>
  <si>
    <t>FORD S MAX 2006-  СТ ЗАДН ДВ ОП ПР ТЗЛ</t>
  </si>
  <si>
    <t>FORD S MAX 2006-  СТ ПЕР ДВ ОП ПР ЗЛ</t>
  </si>
  <si>
    <t>FORD S MAX 2006-  СТ ЗАДН ДВ ОП ПР ЗЛ</t>
  </si>
  <si>
    <t>SCORPIO 1985-1996</t>
  </si>
  <si>
    <t>FORD SCORPIO 1985-1992 СТ ВЕТР</t>
  </si>
  <si>
    <t>FORD SCORPIO 1985-1992 СТ ВЕТР ЗЛ</t>
  </si>
  <si>
    <t>FORD SCORPIO 1985-1992 СТ ВЕТР ЗЛ КР ИЗМ 92</t>
  </si>
  <si>
    <t>FORD SCORPIO 1985-1992 СТ ВЕТР ЗЛГЛ</t>
  </si>
  <si>
    <t>FORD SCORPIO 1994-1996 СТ ВЕТР ЗЛГЛ+VIN</t>
  </si>
  <si>
    <t>FORD SCORPIO 1985-1992 СТ ВЕТР ЗЛЗЛ</t>
  </si>
  <si>
    <t>FORD SCORPIO 1985-1992 СТ ВЕТР ЗЛЗЛ ЭО</t>
  </si>
  <si>
    <t>FORD SCORPIO 1985-1992 СТ ВЕТР ЗЛ ЭО</t>
  </si>
  <si>
    <t>FORD SCORPIO 1994-1996 СТ ВЕТР  ЗЛ ЭО+VIN</t>
  </si>
  <si>
    <t>FORD SCORPIO 1994-1996 СТ ВЕТР ЗЛ КР+VIN</t>
  </si>
  <si>
    <t>FORD SCORPIO 1994-1996 МОЛД  ДЛЯ СТ ВЕТР ВЕРХ</t>
  </si>
  <si>
    <t>FORD SCORPIO УН 1985-1992 СТ ЗАДН ЗЛ+АНТ+ИНК+КЛЕММЫ</t>
  </si>
  <si>
    <t>FORD SCORPIO ХБ 1985-1992 СТ ЗАДН ЗЛ ЭО+АНТ</t>
  </si>
  <si>
    <t>FORD SCORPIO СД 1985-1992 СТ ЗАДН ЗЛ+АНТ+ИНК</t>
  </si>
  <si>
    <t>FORD SCORPIO ХБ+СЕД+УН 1985-1992 СТ ПЕР ДВ ОП ЛВ</t>
  </si>
  <si>
    <t>FORD SCORPIO ХБ+СЕД+УН 1985-1992 СТ ПЕР ДВ ОП ЛВ ЗЛ</t>
  </si>
  <si>
    <t>FORD SCORPIO ХБ+СЕД 1985-1992 СТ ЗАДН ДВ ОП ЛВ ЗЛ+УО</t>
  </si>
  <si>
    <t>FORD SCORPIO ХБ+СЕД+УН 1985-1992 СТ ПЕР ДВ ОП ПР</t>
  </si>
  <si>
    <t>FORD SCORPIO ХБ+СЕД+УН 1985-1992 СТ ПЕР ДВ ОП ПР ЗЛ</t>
  </si>
  <si>
    <t>FORD SCORPIO ХБ+СЕД 1985-1992 СТ ЗАДН ДВ ОП ПР ЗЛ+УО</t>
  </si>
  <si>
    <t>SIERRA I 1982-1986</t>
  </si>
  <si>
    <t>1982-1986</t>
  </si>
  <si>
    <t>FORD SIERRA I 1982-1986 СТ ВЕТР БРГЛ</t>
  </si>
  <si>
    <t>FORD SIERRA I 1982-1986 СТ ВЕТР</t>
  </si>
  <si>
    <t>FORD SIERRA I 1982-1986  УСТ КОМПЛ ДЛЯ СТ ВЕТР</t>
  </si>
  <si>
    <t>FORD SIERRA I 1982-1986  МОЛД  ДЛЯ СТ ВЕТР</t>
  </si>
  <si>
    <t>FORD SIERRA I ХБ 3Д+5Д 1982-1986 СТ ЗАДН</t>
  </si>
  <si>
    <t>FORD SIERRA I ХБ +УН 1982-1986 СТ ПЕР ДВ ОП ЛВ БР</t>
  </si>
  <si>
    <t>FORD SIERRA I ХБ +УН 1982-1986 СТ ПЕР ДВ ОП ЛВ</t>
  </si>
  <si>
    <t>FORD SIERRA I ХБ 1982-1986 СТ ЗАДН ДВ ОП ЛВ</t>
  </si>
  <si>
    <t>FORD SIERRA I ХБ +УН 1982-1986 СТ ПЕР ДВ ОП ПР</t>
  </si>
  <si>
    <t>SIERRA II 1986-1993</t>
  </si>
  <si>
    <t>1986-1993</t>
  </si>
  <si>
    <t>FORD SIERRA II 1986-1993 СТ ВЕТР</t>
  </si>
  <si>
    <t>FORD SIERRA II 1986-1993 СТ ВЕТР ЗЛ</t>
  </si>
  <si>
    <t>FORD SIERRA II 1986-1993 СТ ВЕТР ЗЛГЛ</t>
  </si>
  <si>
    <t>FORD SIERRA II 1986-1993 СТ ВЕТР ЗЛЗЛ</t>
  </si>
  <si>
    <t>FORD SIERRA II 1986-1993 МОЛД  ДЛЯ СТ ВЕТР</t>
  </si>
  <si>
    <t>FORD SIERRA II УН 1986-1993 СТ ЗАДН ЭО</t>
  </si>
  <si>
    <t>FORD SIERRA II ХБ 1986-1993 СТ ЗАДН</t>
  </si>
  <si>
    <t>FORD SIERRA II СД 1986-1993 СТ ЗАДН</t>
  </si>
  <si>
    <t>FORD SIERRA II УН 1986-1993 СТ ЗАДН ЭО ЗЛ+АНТ</t>
  </si>
  <si>
    <t>1986-1991</t>
  </si>
  <si>
    <t>FORD SIERRA II ХБ 1986-1991 СТ ЗАДН ЭО ЗЛ+АНТ</t>
  </si>
  <si>
    <t>FORD SIERRA II СД 1986-1991 СТ ЗАДН ЭО ЗЛ+АНТ</t>
  </si>
  <si>
    <t>FORD SIERRA II УН 1986-1993 СТ ФОРТ ЗАДН НЕП ЛВ</t>
  </si>
  <si>
    <t>FORD SIERRA II ХБ+СЕД+УН 1986-1993 СТ ПЕР ДВ ОП ЛВ</t>
  </si>
  <si>
    <t>FORD SIERRA II ХБ+СЕД 1986-1993 СТ ЗАДН ДВ ОП ЛВ</t>
  </si>
  <si>
    <t>FORD SIERRA II УН 1986-1993 СТ ЗАДН ДВ ОП ЛВ ЗЛ</t>
  </si>
  <si>
    <t>FORD SIERRA II УН 1986-1993 СТ ФОРТ ЗАДН НЕП ЛВ ЗЛ</t>
  </si>
  <si>
    <t>FORD SIERRA II ХБ+СД+УН 1986-1993 СТ ПЕР ДВ ОП ЛВ ЗЛ</t>
  </si>
  <si>
    <t>FORD SIERRA II ХБ 5Д 1986-1993 СТ ЗАДН ДВ ОП ЛВ ЗЛ</t>
  </si>
  <si>
    <t>FORD SIERRA II УН 1986-1993 СТ ФОРТ ЗАДН НЕП ПР</t>
  </si>
  <si>
    <t>FORD SIERRA II ХБ+СЕД+УН 1986-1993 СТ ПЕР ДВ ОП ПР</t>
  </si>
  <si>
    <t>FORD SIERRA II ХБ+СЕД 1986-1993 СТ ЗАДН ДВ ОП ПР</t>
  </si>
  <si>
    <t>FORD SIERRA II УН 1986-1993 СТ ЗАДН ДВ ОП ПР ЗЛ</t>
  </si>
  <si>
    <t>FORD SIERRA II УН 1986-1993 СТ ФОРТ ЗАДН ПР ЗЛ</t>
  </si>
  <si>
    <t>FORD SIERRA II ХБ+СЕД+УН 1986-1993 СТ ПЕР ДВ ОП ПР ЗЛ</t>
  </si>
  <si>
    <t>FORD SIERRA II ХБ+СЕД 1986-1993 СТ ЗАДН ДВ ОП ПР ЗЛ</t>
  </si>
  <si>
    <t>TRANSIT 1965-1986</t>
  </si>
  <si>
    <t>1965-1986</t>
  </si>
  <si>
    <t>FORD TRANSIT 60 190+A SER VAN 1965-1986 СТ ВЕТР</t>
  </si>
  <si>
    <t>TRANSIT 1986-2000</t>
  </si>
  <si>
    <t>1986-2000</t>
  </si>
  <si>
    <t>FORD TRANSIT 1986-2000 СТ ВЕТР</t>
  </si>
  <si>
    <t>FORD TRANSIT  1986-2000 СТ ВЕТР ЭО</t>
  </si>
  <si>
    <t>FORD TRANSIT 1986-2000 СТ ВЕТР ЗЛ</t>
  </si>
  <si>
    <t>FORD TRANSIT 1986-2000 СТ ВЕТР ЗЛГЛ</t>
  </si>
  <si>
    <t>FORD TRANSIT 1986-2000 СТ ВЕТР ЗЛЗЛ</t>
  </si>
  <si>
    <t>FORD TRANSIT 1986-2000  УСТ КОМПЛ ДЛЯ СТ ВЕТР</t>
  </si>
  <si>
    <t>FORD TRANSIT 1986-2000  ЛВ/ПР НАБ СОЕД</t>
  </si>
  <si>
    <t>FORD TRANSIT 1986-2000 МОЛД  ДЛЯ СТ ВЕТР</t>
  </si>
  <si>
    <t>FORD TRANSIT МИН 1986-2000 СТ ЗАДН</t>
  </si>
  <si>
    <t>FORD TRANSIT МИН 1986-2000 СТ ЗАДН ЛВ</t>
  </si>
  <si>
    <t>FORD TRANSIT МИН 1994-2000 СТ ЗАДН ЛВ+ИЗМ РАЗМ</t>
  </si>
  <si>
    <t>FORD TRANSIT МИН 1986-2000 СТ ЗАДН ПР</t>
  </si>
  <si>
    <t>FORD TRANSIT МИН 1994-2000 СТ ЗАДН ПР+ИЗМ РАЗМ</t>
  </si>
  <si>
    <t>FORD TRANSIT МИН 1986-2000 СТ ЗАДН ЭО</t>
  </si>
  <si>
    <t>FORD TRANSIT 1986-2000 СТ ПЕР ДВ ОП ЛВ</t>
  </si>
  <si>
    <t>FORD TRANSIT 1986-2000 СТ ФОРТ ПЕР ДВ ЛВ</t>
  </si>
  <si>
    <t>FORD TRANSIT 1986-2000 СТ СР ЛВ</t>
  </si>
  <si>
    <t>FORD TRANSIT 1986-2000  МОЛД СР БОК ЛВ</t>
  </si>
  <si>
    <t>FORD TRANSIT 1986-2000  ЗАДН НЕП ЛВ МОЛД</t>
  </si>
  <si>
    <t>FORD TRANSIT 1986-2000 СТ БОК ЛВ</t>
  </si>
  <si>
    <t>FORD TRANSIT 1986-2000 СТ ПЕР ДВ ОП ЛВ ЗЛ</t>
  </si>
  <si>
    <t>FORD TRANSIT 1986-2000 СТ ФОРТ ПЕР ДВ ЛВ ЗЛ</t>
  </si>
  <si>
    <t>FORD TRANSIT 1986-2000 СТ ПЕР ДВ ОП ПР</t>
  </si>
  <si>
    <t>FORD TRANSIT 1986-2000 СТ СР ПР</t>
  </si>
  <si>
    <t>FORD TRANSIT 1986-2000 СТ СР ПР+РАМКА</t>
  </si>
  <si>
    <t>FORD TRANSIT 1986-2000 СТ БОК ПР</t>
  </si>
  <si>
    <t>FORD TRANSIT 1986-2000 СТ ПЕР ДВ ОП ПР ЗЛ</t>
  </si>
  <si>
    <t>FORD TRANSIT 1986-2000 СТ ФОРТ ПЕР ДВ НЕП ПР ЗЛ</t>
  </si>
  <si>
    <t>TRANSIT 2000-</t>
  </si>
  <si>
    <t>FORD TRANSIT 2000-  СТ ВЕТР</t>
  </si>
  <si>
    <t>FORD TRANSIT 2006-  СТ ВЕТР+VIN+ИЗМ ШЕЛК</t>
  </si>
  <si>
    <t>FORD TRANSIT 2006-  СТ ВЕТР+VIN+ИЗМ КР+ИЗМ ШЕЛК</t>
  </si>
  <si>
    <t>FORD TRANSIT 2000-  СТ ВЕТР ЗЛ</t>
  </si>
  <si>
    <t>FORD TRANSIT 2000- СТ ВЕТР ЗЛГЛ</t>
  </si>
  <si>
    <t>FORD TRANSIT 2000- СТ ВЕТР ЗЛ+ЭО</t>
  </si>
  <si>
    <t>FORD TRANSIT 2006-  СТ ВЕТР ЗЛ ЭО+КР+ДД+VIN</t>
  </si>
  <si>
    <t>FORD TRANSIT 2006-  СТ ВЕТР ЗЛ+VIN+ИЗМ ШЕЛК</t>
  </si>
  <si>
    <t>FORD TRANSIT 2006-  СТ ВЕТР ЗЛ+VIN+ИЗМ КР</t>
  </si>
  <si>
    <t>FORD TRANSIT 2000-  НАБ КЛИПС ДЛЯ СТ ВЕТР</t>
  </si>
  <si>
    <t>FORD TRANSIT 2000-  УСТ КОМПЛ ДЛЯ СТ ВЕТР</t>
  </si>
  <si>
    <t>FORD TRANSIT 2000-  МОЛД  ДЛЯ СТ ВЕТР ВЕРХ</t>
  </si>
  <si>
    <t>FORD TRANSIT МИН V184 2000-  СТ ЗАДН ЗЛ ЛВ ЗЛ+1ОТВ</t>
  </si>
  <si>
    <t>FORD TRANSIT МИН V184 2000-  СТ ЗАДН ЛВ ЗЛ Б/ЭО</t>
  </si>
  <si>
    <t>FORD TRANSIT МИН V184 2000-  СТ ЗАДН ПР ЗЛ+VIN</t>
  </si>
  <si>
    <t>FORD TRANSIT МИН V184 2000-  СТ ЗАДН ЗЛ ПР ЗЛ+1ОТВ</t>
  </si>
  <si>
    <t>FORD TRANSIT МИН V184 2000-  СТ ЗАДН ЗЛ ПР Б/ЭО</t>
  </si>
  <si>
    <t>FORD TRANSIT МИН V184 2000-  СТ ЗАДН ЗЛ ЛВ</t>
  </si>
  <si>
    <t>FORD TRANSIT V184 2000- СТ ПЕР ДВ ОП ЛВ</t>
  </si>
  <si>
    <t>FORD TRANSIT V184 2000- СТ ПЕР ДВ ОП ЛВ ЗЛ</t>
  </si>
  <si>
    <t>FORD TRANSIT V184 2000-  СТ ФОРТ ПЕР НЕП ЛВ ЗЛ+ИНК</t>
  </si>
  <si>
    <t>FORD TRANSIT V184 2000-  СТ СР ЛВ ЗЛ</t>
  </si>
  <si>
    <t>FORD TRANSIT V184 2000-  СТ ЗАДН НЕП ЛВ ЗЛ</t>
  </si>
  <si>
    <t>FORD TRANSIT V184 2000- СТ ПЕР ДВ ОП ПР</t>
  </si>
  <si>
    <t>FORD TRANSIT V184 2000- СТ ПЕР ДВ ОП ПР ЗЛ</t>
  </si>
  <si>
    <t>FORD TRANSIT V184 2000-  СТ ФОРТ ПЕР НЕП ПР ЗЛ+ИНК</t>
  </si>
  <si>
    <t>FORD TRANSIT LWB /MWB V184 2000-  VAN 3Д СТ СР ПР ЗЛ</t>
  </si>
  <si>
    <t>FORD TRANSIT LWB /MWB V184 2000-  VAN 3Д СТ ЗАДН ДВ НЕП ПР ЗЛ</t>
  </si>
  <si>
    <t>TRANSIT CONNECT 2002-</t>
  </si>
  <si>
    <t>FORD TOURNEO CONNECT 2002- СТ ВЕТР ЗЛ ЭО+VIN</t>
  </si>
  <si>
    <t>FORD TOURNEO CONNECT 2002- СТ ВЕТР ЗЛ ЭО+КР+VIN</t>
  </si>
  <si>
    <t>FORD TOURNEO CONNECT 2002- СТ ВЕТР ЗЛ+VIN</t>
  </si>
  <si>
    <t>FORD TOURNEO CONNECT 2002- СТ ВЕТР ЗЛ+VIN+ИЗМ КР</t>
  </si>
  <si>
    <t>FORD TOURNEO CONNECT 2002- СТ ВЕТР ЗЛГЛ+VIN</t>
  </si>
  <si>
    <t>FORD TOURNEO CONNECT 2002- МОЛД  ДЛЯ СТ ВЕТР ВЕРХ</t>
  </si>
  <si>
    <t>FORD TOURNEO CONNECT МИН 2002- СТ ЗАДН ЗЛ ЛВ+1 ОТВ</t>
  </si>
  <si>
    <t>FORD TOURNEO CONNECT МИН 2002- СТ ЗАДН ЗЛ ПР+1 ОТВ</t>
  </si>
  <si>
    <t>FORD TOURNEO CONNECT МИН 2002- СТ ЗАДН ЗЛ</t>
  </si>
  <si>
    <t>FORD TOURNEO CONNECT 2002- СТ ПЕР ДВ ОП ЛВ ЗЛ</t>
  </si>
  <si>
    <t>FORD TOURNEO CONNECT 2002- СТ ФОРТ ПЕР НЕП ЛВ ЗЛ</t>
  </si>
  <si>
    <t>FORD TOURNEO CONNECT 2002- СТ ПЕР ДВ ОП ПР ЗЛ</t>
  </si>
  <si>
    <t>FORD TOURNEO CONNECT 2002- СТ ФОРТ ПЕР НЕП ПР ЗЛ</t>
  </si>
  <si>
    <t>WINDSTAR 1995-1998</t>
  </si>
  <si>
    <t>1995-1998</t>
  </si>
  <si>
    <t>FORD WINDSTAR 1995-1998 СТ ВЕТР ЗЛГЛ+VIN+УО</t>
  </si>
  <si>
    <t>FREIGHTLINER</t>
  </si>
  <si>
    <t>CENTURY CLASS C112/120 1996-2005</t>
  </si>
  <si>
    <t>1996-2005</t>
  </si>
  <si>
    <t>FREIGHTLINER CENTURY CLASS C112/120 1996-2005 05 СТ ВЕТР ЗЛ</t>
  </si>
  <si>
    <t>HONDA</t>
  </si>
  <si>
    <t>ACCORD AERODECK 1986-1990</t>
  </si>
  <si>
    <t>1986-1990</t>
  </si>
  <si>
    <t>HONDA ACCORD AERODECK 1986-1990 СТ ВЕТР ГЛГЛ</t>
  </si>
  <si>
    <t>1987-1990</t>
  </si>
  <si>
    <t>HONDA ACCORD AERODECK 1987-1990 СТ ПЕР ДВ ОП ЛВ ГЛ+УО</t>
  </si>
  <si>
    <t>ACCORD AERODECK 1993-1998</t>
  </si>
  <si>
    <t>HONDA ACCORD AERODECK 1993-1998 СТ ВЕТР ЗЛГЛ</t>
  </si>
  <si>
    <t>HONDA ACCORD AERODECK 1993-1998  УН ЛВ/ПР НАБ КЛИПС ДЛЯ СТ ВЕТР</t>
  </si>
  <si>
    <t>ACCORD СЕД 1982-1984</t>
  </si>
  <si>
    <t>1982-1984</t>
  </si>
  <si>
    <t>HONDA ACCORD СЕД 1982-1984 СТ ВЕТР ГЛ</t>
  </si>
  <si>
    <t>ACCORD СЕД 1984-1990</t>
  </si>
  <si>
    <t>1984-1990</t>
  </si>
  <si>
    <t>HONDA ACCORD СЕД 1984-1990 СТ ВЕТР ГЛ</t>
  </si>
  <si>
    <t>HONDA ACCORD СЕД 1984-1990 СТ ПЕР ДВ ОП ЛВ ГЛ</t>
  </si>
  <si>
    <t>HONDA ACCORD СЕД 1984-1990 СТ ЗАДН ДВ ОП ЛВ ГЛ/HONDA ACCORD SAL 82-84</t>
  </si>
  <si>
    <t>HONDA ACCORD СЕД 1984-1990 СТ ПЕР ДВ ОП ПР ГЛ/HONDA ACCORD SAL 82-84</t>
  </si>
  <si>
    <t>HONDA ACCORD СЕД 1984-1990 СТ ЗАДН ДВ ОП ПР ГЛ/HONDA ACCORD SAL 82-84</t>
  </si>
  <si>
    <t>ACCORD СЕД 1986-1989</t>
  </si>
  <si>
    <t>HONDA ACCORD СЕД 1986-1989 СТ ВЕТР ГЛ</t>
  </si>
  <si>
    <t>HONDA ACCORD СЕД 1986-1989 СТ ВЕТР ГЛГЛ</t>
  </si>
  <si>
    <t>HONDA ACCORD СЕД 1986-1989 НАБ СОЕД ДЛЯ СТ ВЕТР</t>
  </si>
  <si>
    <t>HONDA ACCORD СЕД 1986-1989 СТ ПЕР ДВ ОП ЛВ ГЛ+УО</t>
  </si>
  <si>
    <t>HONDA ACCORD СЕД 1986-1989 СТ ЗАДН ДВ ОП ЛВ ГЛ+УО</t>
  </si>
  <si>
    <t>HONDA ACCORD СЕД 1986-1989 СТ ФОРТ ЗАДН НЕП ЛВ ГЛ+УО</t>
  </si>
  <si>
    <t>HONDA ACCORD СЕД 1986-1989 СТ ПЕР ДВ ОП ПР ГЛ+УО</t>
  </si>
  <si>
    <t>HONDA ACCORD СЕД 1986-1989 СТ ЗАДН ДВ ОП ПР ГЛ+УО</t>
  </si>
  <si>
    <t>HONDA ACCORD СЕД 1986-1989 СТ ФОРТ ЗАДН НЕП ПР ГЛ</t>
  </si>
  <si>
    <t>ACCORD ХБ AC SA5 1984-1992</t>
  </si>
  <si>
    <t>1984-1992</t>
  </si>
  <si>
    <t>HONDA ACCORD 3Д 1984-1992 СТ ВЕТР ГЛ</t>
  </si>
  <si>
    <t>HONDA ACCORD 3Д ХБ 1984-1992 СТ ЗАДН ДВ ГЛ</t>
  </si>
  <si>
    <t>ACCORD СЕД/УН 1989-1993</t>
  </si>
  <si>
    <t>1989-1993</t>
  </si>
  <si>
    <t>HONDA ACCORD СЕД+УН 1989-1993 СТ ВЕТР ГЛ</t>
  </si>
  <si>
    <t>HONDA ACCORD СЕД+УН 1989-1993 СТ ВЕТР ГЛГЛ</t>
  </si>
  <si>
    <t>HONDA ACCORD СЕД+УН 1989-1993 СТ ВЕТР ЗЛГЛ</t>
  </si>
  <si>
    <t>HONDA ACCORD СЕД+УН 1989-1993  НАБ КЛИПС ДЛЯ СТ ВЕТР</t>
  </si>
  <si>
    <t>HONDA ACCORD СЕД+УН 1989-1993 НАБ СОЕД</t>
  </si>
  <si>
    <t>HONDA ACCORD СД 1989-1993 СТ ЗАДН ГЛ</t>
  </si>
  <si>
    <t>HONDA ACCORD СЕД+УН 1989-1993 СТ ПЕР ДВ ОП ЛВ ГЛ+ФИТ</t>
  </si>
  <si>
    <t>HONDA ACCORD СЕД 1989-1993 СТ ЗАДН ДВ ОП ЛВ ГЛ+УО</t>
  </si>
  <si>
    <t>HONDA ACCORD СЕД+УН 1989-1993  СТ ПЕР ДВ ОП ЛВ ЗЛ+УО</t>
  </si>
  <si>
    <t>HONDA ACCORD СЕД+УН 1989-1993 СТ ПЕР ДВ ОП ПР ГЛ+ФИТ</t>
  </si>
  <si>
    <t>HONDA ACCORD СЕД 1989-1993 СТ ЗАДН ДВ ОП ПР ГЛ+УО</t>
  </si>
  <si>
    <t>ACCORD СЕД 1993-09.1998</t>
  </si>
  <si>
    <t>HONDA ACCORD СЕД 1993-1998  СТ ВЕТР ЗЛ/ROVER 600 1993-1993  СТ ВЕТР ЗЛ</t>
  </si>
  <si>
    <t>HONDA ACCORD СЕД 1993-1998  СТ ВЕТР ЗЛГЛ/ROVER 600 1993-1998  СТ ВЕТР ЗЛГЛ</t>
  </si>
  <si>
    <t>HONDA ACCORD СЕД 1993-1998  СТ ВЕТР ЗЛЗЛ/ROVER 600 1993-1993  СТ ВЕТР ЗЛЗЛ</t>
  </si>
  <si>
    <t>HONDA ACCORD СД 1993-1998 СТ ЗАДН ЗЛ</t>
  </si>
  <si>
    <t>HONDA ACCORD СЕД 1993-1998  СТ ПЕР ДВ ОП ЛВ ЗЛ+УО/ROVER 600 93  СТ ПЕР ДВ ОП ЛВ ЗЛ+ФИТ</t>
  </si>
  <si>
    <t>HONDA ACCORD СЕД 1993-1998  СТ ЗАДН ДВ ОП ЛВ ЗЛ+УО</t>
  </si>
  <si>
    <t>HONDA ACCORD СЕД 1993-1998  СТ БОК НЕП ЛВ ЗЛ+ИНК</t>
  </si>
  <si>
    <t>HONDA ACCORD СЕД 1993-1998  СТ ПЕР ДВ ОП ПР ЗЛ+УО/ROVER 600 93  СТ ПЕР ДВ ОП ПР ЗЛ+ФИТ</t>
  </si>
  <si>
    <t>HONDA ACCORD СЕД 1993-1998  СТ ЗАДН ДВ ОП ПР ЗЛ+УО</t>
  </si>
  <si>
    <t>HONDA ACCORD СЕД 1993-1998  СТ БОК НЕП ПР ЗЛ+ИНК</t>
  </si>
  <si>
    <t>ACCORD СЕД 1998-2002</t>
  </si>
  <si>
    <t>HONDA ACCORD СЕД 1998-2002  СТ ВЕТР ЗЛЗЛ+VIN</t>
  </si>
  <si>
    <t>HONDA ACCORD СЕД 1998-2002  СТ ВЕТР ЗЛ+VIN</t>
  </si>
  <si>
    <t>HONDA ACCORD СЕД 1998-2002  МОЛД  ДЛЯ СТ ВЕТР</t>
  </si>
  <si>
    <t>HONDA ACCORD СД 1998-2002  СТ ЗАДН ЗЛ</t>
  </si>
  <si>
    <t>HONDA ACCORD СЕД 1998-2002 +5Д 1999-2002  СТ ПЕР ДВ ОП ЛВ ЗЛ+УО</t>
  </si>
  <si>
    <t>HONDA ACCORD 5Д 1999-2002 СЕД 4Д СТ ЗАДН ОП ЛВ ЗЛ+УО</t>
  </si>
  <si>
    <t>HONDA ACCORD СЕД 1998-2002 +5Д 1999-2002  СТ ПЕР ДВ ОП ПР ЗЛ+УО</t>
  </si>
  <si>
    <t>HONDA ACCORD 5Д 1999-2002 СЕД 4Д СТ ЗАДН ОП ПР ЗЛ+УО</t>
  </si>
  <si>
    <t>ACCORD СЕД/УН 2002-2008</t>
  </si>
  <si>
    <t>HONDA ACCORD ПРРУЛЬ 2002-2008 СТ ВЕТР ЗЛГЛ+ДД+VIN</t>
  </si>
  <si>
    <t>HONDA ACCORD ЛВРУЛЬ 2002-2008  СТ ВЕТР ЗЛГЛ+ДД+VIN</t>
  </si>
  <si>
    <t>HONDA ACCORD 4Д СЕД 2006-2008 СТ ВЕТР ЗЛГЛ+ДД+VIN+ИЗМ ШЕЛК</t>
  </si>
  <si>
    <t>HONDA ACCORD СЕД/УН 2002-2008 СТ ВЕТР ЗЛГЛ+VIN</t>
  </si>
  <si>
    <t>HONDA ACCORD СЕД/УН 2002-2008 МОЛД  ДЛЯ СТ ВЕТР ВЕРХ</t>
  </si>
  <si>
    <t>HONDA ACCORD 4Д СД 2002-2008  СТ ЗАДН ЗЛ+АНТ</t>
  </si>
  <si>
    <t>HONDA ACCORD УН 2002-2008  СТ ЗАДН ДВ ОП ЛВ ЗЛ+УО</t>
  </si>
  <si>
    <t>HONDA ACCORD СЕД/УН 2002-2008  СТ ПЕР ДВ ОП ЛВ ЗЛ+УО</t>
  </si>
  <si>
    <t>HONDA ACCORD СЕД 2002-2008  СТ ЗАДН ДВ ОП ЛВ ЗЛ+УО</t>
  </si>
  <si>
    <t>HONDA ACCORD СЕД 2002-2008  СТ ФОРТ ЗАДН НЕП ЛВ ЗЛ</t>
  </si>
  <si>
    <t>HONDA ACCORD УН 2002-2008  СТ ЗАДН ДВ ОП ПР ЗЛ+УО</t>
  </si>
  <si>
    <t>HONDA ACCORD СЕД/УН 2002-2008  СТ ПЕР ДВ ОП ПР ЗЛ+УО</t>
  </si>
  <si>
    <t>HONDA ACCORD СЕД 2002-2008  СТ ЗАДН ДВ ОП ПР ЗЛ+УО</t>
  </si>
  <si>
    <t>HONDA ACCORD СЕД 2002-2008  СТ ФОРТ ЗАДН НЕП ПР ЗЛ</t>
  </si>
  <si>
    <t>ACCORD 2008-</t>
  </si>
  <si>
    <t>HONDA ACCORD 2008- СТ ВЕТР ЗЛГЛ+VIN</t>
  </si>
  <si>
    <t>HONDA ACCORD 2008- СТ ВЕТР ЗЛГЛ+VIN+ДД+ИЗМ ДЕР ЗЕРК</t>
  </si>
  <si>
    <t>ACURA MDX 2000-2006</t>
  </si>
  <si>
    <t>HONDA ACURA MDX 2000-2006  СТ ВЕТР ЗЛГЛ+УО</t>
  </si>
  <si>
    <t>CIVIC CRX COUPE 1984-1988</t>
  </si>
  <si>
    <t>1984-1988</t>
  </si>
  <si>
    <t>HONDA CIVIC CRX 1984-1988 СТ ВЕТР ГЛ</t>
  </si>
  <si>
    <t>HONDA CIVIC CRX 1984-1988 СТ ВЕТР ГЛГЛ</t>
  </si>
  <si>
    <t>HONDA CIVIC CRX 10/83-08/87 Клипса</t>
  </si>
  <si>
    <t>HONDA CIVIC CRX 1984-1988 СТ ПЕР ДВ ОП ПР ГЛ</t>
  </si>
  <si>
    <t>CIVIC SHUTTLE I 1984-1988</t>
  </si>
  <si>
    <t>HONDA CIVIC /SHUTTLE I 1984-1988 СТ ВЕТР ГЛ</t>
  </si>
  <si>
    <t>CIVIC 3Д 1984-1987</t>
  </si>
  <si>
    <t>1984-1987</t>
  </si>
  <si>
    <t>HONDA CIVIC 1984-1987 СТ ВЕТР ГЛ</t>
  </si>
  <si>
    <t>HONDA CIVIC 1984-1987 НАБ КЛИПС ДЛЯ СТ ВЕТР</t>
  </si>
  <si>
    <t>HONDA CIVIC 1984-1987 СТ ПЕР ДВ ОП ЛВ ГЛ+ФИТ</t>
  </si>
  <si>
    <t>CIVIC 4D SAL 1984-1989</t>
  </si>
  <si>
    <t>1984-1989</t>
  </si>
  <si>
    <t>HONDA CIVIC 4Д СЕД 1984-1989 СТ ВЕТР ГЛ</t>
  </si>
  <si>
    <t>CIVIC SHUTTLE II 1988-1990</t>
  </si>
  <si>
    <t>1988-1990</t>
  </si>
  <si>
    <t>HONDA CIVIC SHUTTLE II 1988-1990 СТ ВЕТР ГЛ</t>
  </si>
  <si>
    <t>HONDA CIVIC SHUTTLE II 1988-1990 СТ ПЕР ДВ ОП ПР ГЛ+УО</t>
  </si>
  <si>
    <t>CIVIC 3Д 1987-1991</t>
  </si>
  <si>
    <t>1987-1991</t>
  </si>
  <si>
    <t>HONDA CIVIC 3Д 1987-1991 СТ ВЕТР ГЛ</t>
  </si>
  <si>
    <t>HONDA CIVIC 3Д 1987-1991 СТ ВЕТР ГЛГЛ</t>
  </si>
  <si>
    <t>HONDA CIVIC 3Д 1987-1991 МОЛД  ДЛЯ СТ ЗАДН</t>
  </si>
  <si>
    <t>HONDA CIVIC 3Д ХБ 1987-1991 СТ ЗАДН ГЛ</t>
  </si>
  <si>
    <t>HONDA CIVIC 3Д 1987-1991 СТ ПЕР ДВ ОП ЛВ ГЛ+ФИТ</t>
  </si>
  <si>
    <t>HONDA CIVIC 3Д 1987-1991 СТ ПЕР ДВ ОП ПР ГЛ+ФИТ</t>
  </si>
  <si>
    <t>HONDA CIVIC 3Д 1987-1991 СТ БОК НЕП ПР ГЛ ОТКР</t>
  </si>
  <si>
    <t>CIVIC CRX COUPE 1988-1992</t>
  </si>
  <si>
    <t>1988-1992</t>
  </si>
  <si>
    <t>HONDA CIVIC CRX КП 1988-1992 СТ ВЕТР ГЛ</t>
  </si>
  <si>
    <t>HONDA CIVIC CRX КП 1988-1992 СТ ВЕТР ГЛГЛ</t>
  </si>
  <si>
    <t>HONDA CIVIC CRX КП 1988-1992 СТ ПЕР ДВ ОП ЛВ ГЛ+УО</t>
  </si>
  <si>
    <t>CIVIC 4D СЕД 1990-09.1991</t>
  </si>
  <si>
    <t>HONDA CIVIC СЕД 1990-1992 СТ ВЕТР ГЛ</t>
  </si>
  <si>
    <t>HONDA CIVIC СЕД 1990-1992 СТ ВЕТР ГЛГЛ</t>
  </si>
  <si>
    <t>HONDA CIVIC СД 1990-1992 СТ ЗАДН ГЛ</t>
  </si>
  <si>
    <t>HONDA CIVIC СЕД 1990-1992 СТ ПЕР ДВ ОП ЛВ ГЛ</t>
  </si>
  <si>
    <t>HONDA CIVIC СЕД 1990-1992 СТ ЗАДН ДВ ОП ЛВ ГЛ</t>
  </si>
  <si>
    <t>HONDA CIVIC СЕД 1990-1992 СТ ПЕР ДВ ОП ПР ГЛ</t>
  </si>
  <si>
    <t>HONDA CIVIC СЕД 1990-1992 СТ ЗАДН ДВ ОП ПР ГЛ</t>
  </si>
  <si>
    <t>CIVIC 4D СЕД 1991-10.1995</t>
  </si>
  <si>
    <t>HONDA CIVIC СЕД 1991-1995 СТ ВЕТР ГЛ</t>
  </si>
  <si>
    <t>HONDA CIVIC СЕД 1991-1995 СТ ВЕТР ГЛГЛ</t>
  </si>
  <si>
    <t>HONDA CIVIC СЕД 1991-1995 СТ ВЕТР ЗЛ</t>
  </si>
  <si>
    <t>HONDA CIVIC СЕД 1991-1995 СТ ВЕТР ЗЛГЛ</t>
  </si>
  <si>
    <t>HONDA CIVIC СЕД 1991-1995 НАБ КЛИПС ДЛЯ СТ ВЕТР</t>
  </si>
  <si>
    <t>HONDA CIVIC СД 1991-1995 СТ ЗАДН ЗЛ</t>
  </si>
  <si>
    <t>HONDA CIVIC СЕД 1991-1995 СТ ПЕР ДВ ОП ЛВ ГЛ+УО</t>
  </si>
  <si>
    <t>HONDA CIVIC СЕД 1991-1995 СТ ПЕР ДВ ОП ПР ГЛ+УО</t>
  </si>
  <si>
    <t>CIVIC 3Д 1991-10.1995</t>
  </si>
  <si>
    <t>1991-1996</t>
  </si>
  <si>
    <t>HONDA CIVIC 3Д ХБ 1991-1996 СТ ВЕТР ГЛ</t>
  </si>
  <si>
    <t>HONDA CIVIC 3Д ХБ 1991-1996 СТ ВЕТР ГЛГЛ</t>
  </si>
  <si>
    <t>HONDA CIVIC 3Д ХБ 1991-1996 СТ ВЕТР ЗЛ</t>
  </si>
  <si>
    <t>HONDA CIVIC 3Д ХБ 1991-1996  НАБ КЛИПС ДЛЯ СТ ВЕТР</t>
  </si>
  <si>
    <t>HONDA CIVIC 3Д ХБ 1991-1996  НАБ СОЕД ДЛЯ СТ ВЕТР</t>
  </si>
  <si>
    <t>HONDA CIVIC 3Д ХБ 1991-1996  МОЛД  ДЛЯ СТ ВЕТР ВЕРХ</t>
  </si>
  <si>
    <t>HONDA CIVIC 3Д ХБ 1991-1996 СТ ЗАДН ГЛ</t>
  </si>
  <si>
    <t>HONDA CIVIC 3Д ХБ 1991-1996 СТ ПЕР ДВ ОП ЛВ ГЛ+ФИТ</t>
  </si>
  <si>
    <t>HONDA CIVIC 3Д ХБ 1991-1996 СТ ПЕР ДВ ОП ПР ГЛ+ФИТ</t>
  </si>
  <si>
    <t>HONDA CIVIC 3Д ХБ 1991-1996 СТ БОК ПР ГЛ</t>
  </si>
  <si>
    <t>CIVIC COUPE SR8 1994-10.1995</t>
  </si>
  <si>
    <t>HONDA CIVIC КУП SR8 1994-1996  СТ ВЕТР ЗЛ</t>
  </si>
  <si>
    <t>HONDA CIVIC КУП SR8 1994-1996  СТ ВЕТР ЗЛГЛ</t>
  </si>
  <si>
    <t>HONDA CIVIC КУП SR8 1994-1996  СТ ПЕР ДВ ОП ЛВ ЗЛ+УО</t>
  </si>
  <si>
    <t>HONDA CIVIC КУП SR8 1994-1996  СТ ПЕР ДВ ОП ПР ЗЛ+УО</t>
  </si>
  <si>
    <t>CIVIC SHUTTLE III 1995-</t>
  </si>
  <si>
    <t>HONDA CIVIC SHUTTLE III 1995-2002 СТ ВЕТР ЗЛ</t>
  </si>
  <si>
    <t>HONDA CIVIC SHUTTLE III 01/1998-2002 МОЛД  ДЛЯ СТ ВЕТР</t>
  </si>
  <si>
    <t>HONDA CIVIC SHUTTLE III 1995-1997 МОЛД ДЛЯ СТ ВЕТР ВЕРХ</t>
  </si>
  <si>
    <t>HONDA CIVIC SHUTTLE III 1995-2002  СТ ПЕР ДВ ОП ЛВ ЗЛ+ФИТ</t>
  </si>
  <si>
    <t>HONDA CIVIC SHUTTLE III 1995-2002  СТ ПЕР ДВ ОП ПР ЗЛ+ФИТ</t>
  </si>
  <si>
    <t>CIVIC 3Д 10.1995-2001</t>
  </si>
  <si>
    <t>HONDA CIVIC 3Д ХБ 1996-2001 СТ ВЕТР ЗЛ</t>
  </si>
  <si>
    <t>HONDA CIVIC 3Д ХБ 1996-2001 СТ ВЕТР ЗЛГЛ</t>
  </si>
  <si>
    <t>HONDA CIVIC 3Д ХБ 1996-2001 СТ ВЕТР ЗЛЗЛ</t>
  </si>
  <si>
    <t>HONDA CIVIC 3Д ХБ 1996-2001 МОЛД  ДЛЯ СТ ВЕТР</t>
  </si>
  <si>
    <t>HONDA CIVIC 3Д ХБ+КП 1996-2001 СТ ПЕР ДВ ОП ЛВ ЗЛ+ФИТ</t>
  </si>
  <si>
    <t>HONDA CIVIC 3Д ХБ 1996-2001  СТ БОК ЛВ ЗЛ</t>
  </si>
  <si>
    <t>HONDA CIVIC 3Д ХБ+КП 1996-2001  СТ ПЕР ДВ ОП ПР ЗЛ+ФИТ</t>
  </si>
  <si>
    <t>HONDA CIVIC 3Д ХБ 1996-2001  СТ БОК ПР ЗЛ</t>
  </si>
  <si>
    <t>CIVIC 4D СЕД 1996-2001</t>
  </si>
  <si>
    <t>HONDA CIVIC 4D СЕД 1996-2001  СТ ВЕТР ЗЛ</t>
  </si>
  <si>
    <t>HONDA CIVIC 4D СЕД 1996-2001  СТ ВЕТР ЗЛЗЛ</t>
  </si>
  <si>
    <t>HONDA CIVIC 4Д СЕД 1996-2001  МОЛД  ДЛЯ СТ ВЕТР</t>
  </si>
  <si>
    <t>HONDA CIVIC 4Д СД 1996-2001  СТ ЗАДН ЗЛ</t>
  </si>
  <si>
    <t>HONDA CIVIC СЕД 1996-2001  СТ ПЕР ДВ ОП ЛВ ЗЛ+УО</t>
  </si>
  <si>
    <t>HONDA CIVIC 4D СЕД 1996-2001  СТ ЗАДН ДВ ОП ЛВ ЗЛ+ФИТ</t>
  </si>
  <si>
    <t>HONDA CIVIC СЕД 1996-2001  СТ ПЕР ДВ ОП ПР ЗЛ+УО</t>
  </si>
  <si>
    <t>HONDA CIVIC 4D СЕД 1996-2001  СТ ЗАДН ДВ ОП ПР ЗЛ+ФИТ</t>
  </si>
  <si>
    <t>CIVIC 5Д HBK 1995-/EST 1998- 02.2001</t>
  </si>
  <si>
    <t>HONDA CIVIC 5Д ХБ 1995-2001 СТ ВЕТР ЗЛЗЛ+VIN+ФИТ/ROVER 400 ХБ 1995 / СЕД 1996  СТ ВЕТР ЗЛЗЛ+VIN+УО</t>
  </si>
  <si>
    <t>HONDA CIVIC 5Д ХБ 1995-2001 СТ ВЕТР ЗЛ+VIN+ФИТ/ROVER 400 ХБ 1995 / СЕД 1996  СТ ВЕТР ЗЛ+VIN+УО</t>
  </si>
  <si>
    <t>HONDA CIVIC 5Д ХБ 1995-2001  НАБ КЛИПС ДЛЯ СТ ВЕТР</t>
  </si>
  <si>
    <t>HONDA CIVIC 5Д ХБ 1995-2001  МОЛД  ДЛЯ СТ ВЕТР ВЕРХ</t>
  </si>
  <si>
    <t>HONDA CIVIC УН 1998-2001  СТ ЗАДН ДВ ЗЛ</t>
  </si>
  <si>
    <t>HONDA CIVIC 5Д ХБ 1995-2001  СТ ЗАДН ЗЛ</t>
  </si>
  <si>
    <t>HONDA CIVIC 5Д ХБ 1995-2001  СТ ЗАДН ДВ ЗЛ+СТОП</t>
  </si>
  <si>
    <t>HONDA CIVIC ХБ 1995-2001 /УН 1998-2001  СТ ПЕР ДВ ОП ЛВ ЗЛ+УО</t>
  </si>
  <si>
    <t>HONDA CIVIC ХБ 1995-2001 /УН 1998-2001  СТ ЗАДН ДВ ОП ЛВ ЗЛ+УО</t>
  </si>
  <si>
    <t>HONDA CIVIC 5Д ХБ 1995-2001 СТ ЗАДН ДВ НЕП ЛВ ЗЛ+ИНК/ROVER 400 95 СТ ФОРТ ЗАДН ЛВ ЗЛ+ИНК</t>
  </si>
  <si>
    <t>HONDA CIVIC ХБ 1995-2001 /УН 1998-2001  СТ ПЕР ДВ ОП ПР ЗЛ+УО</t>
  </si>
  <si>
    <t>HONDA CIVIC ХБ 1995-2001 /УН 1998-2001  СТ ЗАДН ДВ ОП ПР ЗЛ+УО</t>
  </si>
  <si>
    <t>HONDA CIVIC 5Д ХБ 1995-2001 СТ ЗАДН ДВ НЕП ПР ЗЛ+ИНК/ROVER 400 95 СТ ФОРТ ЗАДН ПР ЗЛ+ИНК</t>
  </si>
  <si>
    <t>CIVIC 3Д 2001-2005</t>
  </si>
  <si>
    <t>HONDA CIVIC 3Д 2001-2005  СТ ВЕТР ЗЛ</t>
  </si>
  <si>
    <t>HONDA CIVIC 3Д 2001-2005  СТ ВЕТР ЗЛ+VIN</t>
  </si>
  <si>
    <t>HONDA CIVIC ХБ 2001-2005  СТ ВЕТР ЗЛ+VIN</t>
  </si>
  <si>
    <t>HONDA CIVIC ХБ 2001-2005  МОЛД  ДЛЯ СТ ВЕТР ВЕРХ</t>
  </si>
  <si>
    <t>HONDA CIVIC ХБ 2001-2005  СТ ПЕР ДВ ОП ЛВ ЗЛ+УО</t>
  </si>
  <si>
    <t>HONDA CIVIC ХБ 2001-2005  СТ ПЕР ДВ ОП ПР ЗЛ+УО</t>
  </si>
  <si>
    <t>CIVIC КУП 2001-2005</t>
  </si>
  <si>
    <t>HONDA CIVIC КУП 2001-2005 СТ ВЕТР ЗЛ+VIN</t>
  </si>
  <si>
    <t>HONDA CIVIC КУП 2001-2005 МОЛД  ДЛЯ СТ ВЕТР ВЕРХ</t>
  </si>
  <si>
    <t>HONDA CIVIC КУП 2001-2005 СТ ПЕР ДВ ОП ЛВ ЗЛ+УО</t>
  </si>
  <si>
    <t>HONDA CIVIC КУП 2001-2005 СТ ПЕР ДВ ОП ПР ЗЛ+УО</t>
  </si>
  <si>
    <t>CIVIC 4Д СЕД 2001-2005</t>
  </si>
  <si>
    <t>HONDA CIVIC СЕД 2001-2005  СТ ВЕТР ЗЛГЛ+VIN</t>
  </si>
  <si>
    <t>HONDA CIVIC СЕД 2001-2005  СТ ВЕТР ЗЛ+VIN</t>
  </si>
  <si>
    <t>HONDA CIVIC СЕД 2001-2005  МОЛД  ДЛЯ СТ ВЕТР ВЕРХ</t>
  </si>
  <si>
    <t>HONDA CIVIC СЕД 2001-2005 СТ ПЕР ДВ ОП ЛВ ЗЛ+УО</t>
  </si>
  <si>
    <t>HONDA CIVIC СЕД 2001-2005 СТ ЗАДН ДВ ОП ЛВ ЗЛ+УО</t>
  </si>
  <si>
    <t>HONDA CIVIC СЕД 2001-2005 СТ ФОРТ ЗАДН ЛВ ЗЛ</t>
  </si>
  <si>
    <t>HONDA CIVIC СЕД 2001-2005 СТ ПЕР ДВ ОП ПР ЗЛ+УО</t>
  </si>
  <si>
    <t>HONDA CIVIC СЕД 2001-2005 СТ ЗАДН ОП ПР ЗЛ+УО</t>
  </si>
  <si>
    <t>HONDA CIVIC СЕД 2001-2005 СТ ФОРТ ЗАДН ПР ЗЛ</t>
  </si>
  <si>
    <t>CIVIC 5Д 2001-2005</t>
  </si>
  <si>
    <t>HONDA CIVIC 5Д 2001-2005  СТ ВЕТР ЗЛЗЛ+VIN</t>
  </si>
  <si>
    <t>HONDA CIVIC 5Д 2001-2005  СТ ВЕТР ЗЛ+VIN</t>
  </si>
  <si>
    <t>2004-2005</t>
  </si>
  <si>
    <t>HONDA CIVIC 5Д 2004-2005  СТ ВЕТР ЗЛ+VIN+ИЗМ КР</t>
  </si>
  <si>
    <t>HONDA CIVIC 5Д 2001-2005  МОЛД  ДЛЯ СТ ВЕТР ВЕРХ</t>
  </si>
  <si>
    <t>HONDA CIVIC 2001-2005  СТ ПЕР ДВ ОП ЛВ ЗЛ+УО</t>
  </si>
  <si>
    <t>HONDA CIVIC 2001-2005  СТ ЗАДН ДВ ОП ЛВ ЗЛ+УО</t>
  </si>
  <si>
    <t>HONDA CIVIC 5Д 2001-2005  СТ БОК НЕП ЛВ ЗЛ</t>
  </si>
  <si>
    <t>HONDA CIVIC 2001-2005  СТ ПЕР ДВ ОП ПР ЗЛ+УО</t>
  </si>
  <si>
    <t>HONDA CIVIC 2001-2005  СТ ЗАДН ДВ ОП ПР ЗЛ+УО</t>
  </si>
  <si>
    <t>HONDA CIVIC 5Д 2001-2005  СТ БОК НЕП ПР ЗЛ</t>
  </si>
  <si>
    <t>CIVIC VIII 5Д 2005-</t>
  </si>
  <si>
    <t>2005-2009</t>
  </si>
  <si>
    <t>HONDA CIVIC VIII ХБ 2005-  СТ ВЕТР ЗЛ+ДД+VIN+ИЗМ ШЕЛК</t>
  </si>
  <si>
    <t>HONDA CIVIC VIII ХБ 2005-  СТ ВЕТР ЗЛ+VIN</t>
  </si>
  <si>
    <t>HONDA CIVIC VIII 3Д+5Д 2005- СТ ВЕТР ЗЛГЛ+VIN</t>
  </si>
  <si>
    <t>HONDA CIVIC  VIII ХБ 2005-  СТ ВЕТР ЗЛ+ДД+VIN+УО</t>
  </si>
  <si>
    <t>HONDA CIVIC VIII 5Д 2005- ХБ МОЛД  ДЛЯ СТ ВЕТР ВЕРХ</t>
  </si>
  <si>
    <t>HONDA CIVIC ХБ 05-СТ ЗАДН ЗЛ ВЕРХ+АНТ+ИЗМ ШЕЛК+GPS</t>
  </si>
  <si>
    <t>HONDA CIVIC VIII ХБ 2005-  СТ ЗАДН ДВ ЗЛ+GPS+УО+АНТ+УО+ВЕРХ</t>
  </si>
  <si>
    <t>HONDA CIVIC VIII 5Д ХБ 2005- СТ ЗАДН ЗЛ+АНТ+УО+ВЕРХ</t>
  </si>
  <si>
    <t>HONDA CIVIC VIII ХБ 2005-  СТ ЗАДН ДВ ЗЛ+АНТ+УО+ВЕРХ</t>
  </si>
  <si>
    <t>HONDA CIVIC VIII 5Д ХБ 2005- СТ ПЕР ДВ ОП ЛВ ЗЛ+УО+ИЗМ</t>
  </si>
  <si>
    <t>HONDA CIVIC VIII 5Д ХБ 2005- СТ ЗАДН ДВ ОП ЛВ ЗЛ+УО</t>
  </si>
  <si>
    <t>HONDA CIVIC VIII 5Д ХБ 2005- СТ ПЕР ДВ ОП ПР ЗЛ+УО+ИЗМ</t>
  </si>
  <si>
    <t>HONDA CIVIC VIII 5Д ХБ 2005- СТ ЗАДН ДВ ОП ПР ЗЛ+УО+ИЗМ</t>
  </si>
  <si>
    <t>CIVIC HYBRID 4Д СЕД 2006-</t>
  </si>
  <si>
    <t>2006-2009</t>
  </si>
  <si>
    <t>HONDA CIVIC HYBRID СЕД 2006-  СТ ВЕТР ЗЛ+VIN</t>
  </si>
  <si>
    <t>CONCERTO SJ14+SJ15 1990-1995</t>
  </si>
  <si>
    <t>1990-1995</t>
  </si>
  <si>
    <t>HONDA CONCERTO SJ14+SJ15 1990-1995  СТ ВЕТР ГЛГЛ/ROVER 200/400 СД+ХБ+КБ 89  СТ ВЕТР ГЛГЛ</t>
  </si>
  <si>
    <t>HONDA CONCERTO SJ14+SJ15 1990-1995  СТ ВЕТР ЗЛГЛ/ROVER 200/400 СД+ХБ+КБ 89  СТ ВЕТР ЗЛГЛ</t>
  </si>
  <si>
    <t>HONDA CONCERTO SJ14+SJ15 1990-1995  НАБ СОЕД</t>
  </si>
  <si>
    <t>HONDA CONCERTO SJ14+SJ15 1990-1995  МОЛД  ДЛЯ СТ ВЕТР ВЕРХ</t>
  </si>
  <si>
    <t>CR-V 1997-2002</t>
  </si>
  <si>
    <t>HONDA CR-V 4X4 1997-2002  СТ ВЕТР ЗЛ</t>
  </si>
  <si>
    <t>HONDA CR-V 4X4 1997-2002  СТ ВЕТР ЗЛГЛ</t>
  </si>
  <si>
    <t>HONDA CR-V 4X4 1997-2002  СТ ВЕТР ЗЛЗЛ</t>
  </si>
  <si>
    <t>HONDA CR-V 4X4 1997-2002  СТ ВЕТР ЗЛСР</t>
  </si>
  <si>
    <t>HONDA CR-V 4X4 1997-2002  НАБ СОЕД ДЛЯ СТ ВЕТР</t>
  </si>
  <si>
    <t>HONDA CR-V 4X4 1997-2002  МОЛД  ДЛЯ СТ ВЕТР</t>
  </si>
  <si>
    <t>HONDA CR-V 4X4 1997-2002  СТ ПЕР ДВ ОП ЛВ ЗЛ+ФИТ</t>
  </si>
  <si>
    <t>HONDA CR-V 4X4 1997-2002  СТ ЗАДН ДВ ОП ЛВ ЗЛ+ФИТ</t>
  </si>
  <si>
    <t>HONDA CR-V 4X4 1997-2002  СТ БОК НЕП ЛВ ЗЛ</t>
  </si>
  <si>
    <t>HONDA CR-V 4X4 1997-2002  СТ ПЕР ДВ ОП ПР ЗЛ+ФИТ</t>
  </si>
  <si>
    <t>HONDA CR-V 4X4 1997-2002  СТ ЗАДН ДВ ОП ПР ЗЛ+УО</t>
  </si>
  <si>
    <t>HONDA CR-V 4X4 1997-2002  СТ БОК НЕП ПР ЗЛ</t>
  </si>
  <si>
    <t>CR-V 2002-2006</t>
  </si>
  <si>
    <t>HONDA CR-V 2002-2006  СТ ВЕТР ЗЛГЛ+VIN</t>
  </si>
  <si>
    <t>HONDA CR-V 2002-2006  СТ ВЕТР ЗЛ+VIN</t>
  </si>
  <si>
    <t>HONDA CR-V 2002-2006  СТ ВЕТР ЗЛ+VIN+ИЗМ+КР</t>
  </si>
  <si>
    <t>HONDA CR-V 2002-2006  СТ ВЕТР ЗЛ+VIN+УО</t>
  </si>
  <si>
    <t>2005-2007</t>
  </si>
  <si>
    <t>HONDA CR-V 2005-2007  СТ ВЕТР ЗЛГЛ+VIN+ИЗМ КР</t>
  </si>
  <si>
    <t>HONDA CR V 2002-2006 МОЛД  ДЛЯ СТ ВЕТР ВЕРХ</t>
  </si>
  <si>
    <t>HONDA CR-V ВН 2002-2006  СТ ЗАДН ЗЛ+СТОП+ОТКР+УО</t>
  </si>
  <si>
    <t>HONDA CR V 2002-2006  СТ ПЕР ДВ ОП ЛВ ЗЛ+УО</t>
  </si>
  <si>
    <t>HONDA CR V 2002-2006  СТ ЗАДН ДВ ОП ЛВ ЗЛ+УО</t>
  </si>
  <si>
    <t>HONDA CR V 2002-2006  СТ ФОРТ ЗАДН НЕП ЛВ ЗЛ</t>
  </si>
  <si>
    <t>HONDA CR V 2002-2006  СТ ПЕР ДВ ОП ПР ЗЛ+УО</t>
  </si>
  <si>
    <t>HONDA CR V 2002-2006  СТ ЗАДН ДВ ОП ПР ЗЛ+УО</t>
  </si>
  <si>
    <t>HONDA CR V 2002-2006  СТ ФОРТ ЗАДН НЕП ПР ЗЛ</t>
  </si>
  <si>
    <t>CR-V 2007-</t>
  </si>
  <si>
    <t>2007-2012</t>
  </si>
  <si>
    <t>HONDA CR-V 2007-  СТ ВЕТР ЗЛ АКУСТИК+ДД+VIN</t>
  </si>
  <si>
    <t>HONDA CR-V 2007-  СТ ВЕТР ЗЛ+ДД+VIN</t>
  </si>
  <si>
    <t>HONDA CR-V 2007-  СТ ВЕТР ЗЛ+VIN</t>
  </si>
  <si>
    <t>HONDA CR-V 2007-  СТ ВЕТР ЗЛ+VIN+УО</t>
  </si>
  <si>
    <t>HONDA CR V 2007- МОЛД ДЛЯ СТ ВЕТР</t>
  </si>
  <si>
    <t>HONDA CR-V ВН 2007-  СТ ЗАДН ЗЛ+АНТ+СТОП</t>
  </si>
  <si>
    <t>HONDA CR-V ВН 2007-  СТ ЗАДН ЗЛ+АНТ+СТОП+ИЗМ АНТ</t>
  </si>
  <si>
    <t>HONDA CR-V ВН 2007-  СТ ЗАДН ЗЛ+СТОП</t>
  </si>
  <si>
    <t>HONDA CR-V ВН 2007-  СТ ЗАДН СР PR+СТОП+АНТ</t>
  </si>
  <si>
    <t>HONDA CR-V ВН 2007-  СТ ЗАДН СР PR+СТОП+АНТ+ИЗМ АНТ</t>
  </si>
  <si>
    <t>HONDA CR-V ВН 2007-  СТ ЗАДН СР PR+СТОП</t>
  </si>
  <si>
    <t>HONDA CR V 2007-  СТ ПЕР ДВ ОП ЛВ ЗЛ+УО+ИЗМ</t>
  </si>
  <si>
    <t>HONDA CR V 2007-  СТ ЗАДН ДВ ОП ЛВ ЗЛ+УО</t>
  </si>
  <si>
    <t>HONDA CR V 2007-  СТ БОК НЕП ЛВ ЗЛ</t>
  </si>
  <si>
    <t>HONDA CR V 2007-  СТ ЗАДН ДВ ОП ЛВ СР PR+УО</t>
  </si>
  <si>
    <t>HONDA CR V 2007-  СТ БОК НЕП ЛВ СР PR</t>
  </si>
  <si>
    <t>HONDA CR V 2007-  СТ ПЕР ДВ ОП ПР ЗЛ+УО+ИЗМ</t>
  </si>
  <si>
    <t>HONDA CR V 2007-  СТ ЗАДН ДВ ОП ПР ЗЛ+УО</t>
  </si>
  <si>
    <t>HONDA CR V 2007-  СТ БОК НЕП ПР ЗЛ</t>
  </si>
  <si>
    <t>HONDA CR V 2007-  СТ ЗАДН ДВ ОП ПР СР PR+УО</t>
  </si>
  <si>
    <t>HONDA CR V 2007-  СТ БОК НЕП ПР СР</t>
  </si>
  <si>
    <t>CRX TARGA 1992-1999</t>
  </si>
  <si>
    <t>HONDA CRX TARGA 1992-1999  СТ ВЕТР ГЛ</t>
  </si>
  <si>
    <t>HONDA CRX TARGA 1992-1999  СТ ВЕТР ЗЛ</t>
  </si>
  <si>
    <t>HONDA CRX TARGA 1992-1999  НАБ КЛИПС ДЛЯ СТ ВЕТР</t>
  </si>
  <si>
    <t>HONDA CRX TARGA 1992-1999  МОЛД  ДЛЯ СТ ВЕТР ВЕРХ</t>
  </si>
  <si>
    <t>ELEMENT 2003-</t>
  </si>
  <si>
    <t>2007-2011</t>
  </si>
  <si>
    <t>HONDA ELEMENT 2003- СТ ВЕТР ЗЛ / HONDA CITY 4D СЕД 2007-  СТ ВЕТР ЗЛ</t>
  </si>
  <si>
    <t>2003-2011</t>
  </si>
  <si>
    <t>HONDA ELEMENT 2003- СТ ВЕТР ЗЛ</t>
  </si>
  <si>
    <t>FR-V 5Д LHD 2004-</t>
  </si>
  <si>
    <t>2004-2009</t>
  </si>
  <si>
    <t>HONDA FR-V 5Д 2004-  СТ ВЕТР ЗЛ+ДД+VIN</t>
  </si>
  <si>
    <t>2007-2009</t>
  </si>
  <si>
    <t>HONDA FR-V 5Д 2007-  СТ ВЕТР ЗЛ+VIN</t>
  </si>
  <si>
    <t>HONDA FR-V 5Д 2004-  VAN МОЛД  ДЛЯ СТ ВЕТР ВЕРХ</t>
  </si>
  <si>
    <t>HONDA FR-V 5Д 2007-  СТ ПЕР ДВ ОП ПР ЗЛ+УО</t>
  </si>
  <si>
    <t>HR-V 1999-2005</t>
  </si>
  <si>
    <t>HONDA HR-V 5Д 1999-2005  СТ ВЕТР ЗЛГЛ+КР+VIN</t>
  </si>
  <si>
    <t>HONDA HR-V 5Д 1999-2005  СТ ВЕТР ЗЛ+VIN</t>
  </si>
  <si>
    <t>HONDA HR-V 5Д 1999-2005  СТ ВЕТР+VIN</t>
  </si>
  <si>
    <t>HONDA HR-V 1999-2005 МОЛД  ДЛЯ СТ ВЕТР</t>
  </si>
  <si>
    <t>HONDA HR-V 3Д 1999-2005  СТ ПЕР ДВ ОП ЛВ ЗЛ+УО</t>
  </si>
  <si>
    <t>HONDA HR-V 3Д 1999-2005  СТ БОК ЛВ ЗЛ</t>
  </si>
  <si>
    <t>HONDA HR-V 1999-2005  СТ ПЕР ДВ ОП ЛВ ЗЛ+ФИТ</t>
  </si>
  <si>
    <t>HONDA HR-V 1999-2005  СТ ЗАДН ДВ ОП ЛВ ЗЛ+ФИТ</t>
  </si>
  <si>
    <t>HONDA HR-V 3Д 1999-2005  СТ ПЕР ДВ ОП ПР ЗЛ+УО</t>
  </si>
  <si>
    <t>HONDA HR-V 3Д 1999-2005  СТ БОК ПР ЗЛ</t>
  </si>
  <si>
    <t>HONDA HR-V 1999-2005  СТ ПЕР ДВ ОП ПР ЗЛ+ФИТ</t>
  </si>
  <si>
    <t>HONDA HR-V 1999-2005  СТ ЗАДН ДВ ОП ПР ЗЛ+ФИТ</t>
  </si>
  <si>
    <t>INTEGRA 5Д ХБ+4Д СЕД 1985-1990</t>
  </si>
  <si>
    <t>1985-1990</t>
  </si>
  <si>
    <t>HONDA INTEGRA 5Д ХБK+4D СЕД 1985-1990 СТ ВЕТР ГЛ</t>
  </si>
  <si>
    <t>INTEGRA 1998-2002</t>
  </si>
  <si>
    <t>HONDA INTEGRA 1998-2002  СТ ВЕТР ЗЛ</t>
  </si>
  <si>
    <t>JAZZ/CITY 1984-1987</t>
  </si>
  <si>
    <t>HONDA JAZZ/CITY 1984-1987 СТ ВЕТР ГЛ</t>
  </si>
  <si>
    <t>JAZZ 2002-2008</t>
  </si>
  <si>
    <t>HONDA JAZZ 2002-2008  СТ ВЕТР ЗЛЗЛ+VIN</t>
  </si>
  <si>
    <t>HONDA JAZZ 2002-2008  СТ ВЕТР ЗЛ+VIN</t>
  </si>
  <si>
    <t>HONDA JAZZ 2002-2008  МОЛД  ДЛЯ СТ ВЕТР ВЕРХ</t>
  </si>
  <si>
    <t>HONDA JAZZ ХБ 2002-2008  СТ ЗАДН ДВ ЗЛ+СТОП</t>
  </si>
  <si>
    <t>HONDA JAZZ 2002-2008  СТ ПЕР ДВ ОП ЛВ ЗЛ+ФИТ</t>
  </si>
  <si>
    <t>HONDA JAZZ 2002-2008  СТ ЗАДН ДВ ОП ЛВ ЗЛ+ФИТ</t>
  </si>
  <si>
    <t>HONDA JAZZ 2002-2008  СТ БОК НЕП ЛВ ЗЛ</t>
  </si>
  <si>
    <t>HONDA JAZZ 2002-2008  СТ ПЕР ДВ ОП ПР ЗЛ+ФИТ</t>
  </si>
  <si>
    <t>HONDA JAZZ 2002-2008  СТ ЗАДН ДВ ОП ПР ЗЛ+ФИТ</t>
  </si>
  <si>
    <t>HONDA JAZZ 2002-2008  СТ БОК НЕП ПР ЗЛ</t>
  </si>
  <si>
    <t>JAZZ 2008-</t>
  </si>
  <si>
    <t>HONDA JAZZ 08-СТ ВЕТР ЗЛ+ДД+VIN</t>
  </si>
  <si>
    <t>HONDA JAZZ 08-СТ ВЕТР PK+VIN</t>
  </si>
  <si>
    <t>LEGEND СЕД 1996-2001</t>
  </si>
  <si>
    <t>HONDA LEGEND СЕД 1996-2001  СТ ВЕТР ЗЛГЛ</t>
  </si>
  <si>
    <t>HONDA LEGEND СЕД 1996-2001  СТ ПЕР ДВ ОП ЛВ ЗЛ+УО</t>
  </si>
  <si>
    <t>HONDA LEGEND СЕД 1996-2001  СТ ЗАДН ДВ ОП ЛВ ЗЛ+УО</t>
  </si>
  <si>
    <t>HONDA LEGEND СЕД 1996-2001  СТ ЗАДН ДВ ОП ПР ЗЛ+УО</t>
  </si>
  <si>
    <t>LEGEND LHD 2007-</t>
  </si>
  <si>
    <t>HONDA LEGEND LHD 2007-  СТ ВЕТР ЗЛГЛ+ДД+УО</t>
  </si>
  <si>
    <t>LOGO 1999-2001</t>
  </si>
  <si>
    <t>HONDA LOGO 1999-2001  СТ ВЕТР ЗЛ+VIN</t>
  </si>
  <si>
    <t>HONDA LOGO 1999-2001  МОЛД  ДЛЯ СТ ВЕТР</t>
  </si>
  <si>
    <t>HONDA LOGO ХБ 1999-2001  СТ ЗАДН ЗЛ+СТОП</t>
  </si>
  <si>
    <t>HONDA LOGO 1999-2001  СТ ПЕР ДВ ОП ЛВ ЗЛ+ФИТ</t>
  </si>
  <si>
    <t>HONDA LOGO 1999-2001  СТ ПЕР ДВ ОП ПР ЗЛ+ФИТ</t>
  </si>
  <si>
    <t>ODYSSEY 1999-2004</t>
  </si>
  <si>
    <t>HONDA ODYSSEY MINI VAN 1999-2004 СТ ВЕТР ЗЛГЛ</t>
  </si>
  <si>
    <t>PILOT 2008-</t>
  </si>
  <si>
    <t>HONDA PILOT 2008- СТ ВЕТР ЗЛ</t>
  </si>
  <si>
    <t>PRELUDE II 1983-1987</t>
  </si>
  <si>
    <t>HONDA PRELUDE II 1983-1987 СТ ВЕТР ГЛ</t>
  </si>
  <si>
    <t>HONDA PRELUDE II 1983-1987 СТ ПЕР ДВ ОП ЛВ ГЛ+УО</t>
  </si>
  <si>
    <t>HONDA PRELUDE II 1983-1987 СТ ПЕР ДВ ОП ПР ГЛ+УО</t>
  </si>
  <si>
    <t>PRELUDE III 1987-1992</t>
  </si>
  <si>
    <t>1987-1992</t>
  </si>
  <si>
    <t>HONDA PRELUDE III КУП 1987-1992 СТ ВЕТР ГЛ</t>
  </si>
  <si>
    <t>HONDA PRELUDE III КУП 1987-1992 СТ ВЕТР ГЛГЛ</t>
  </si>
  <si>
    <t>HONDA PRELUDE III КУП 1987-1992 НАБ СОЕД ДЛЯ СТ ВЕТР</t>
  </si>
  <si>
    <t>HONDA PRELUDE III КУП 1987-1992 СТ ПЕР ДВ ОП ЛВ ГЛ+УО</t>
  </si>
  <si>
    <t>HONDA PRELUDE III КУП 1987-1992 СТ ПЕР ДВ ОП ПР ГЛ+УО</t>
  </si>
  <si>
    <t>PRELUDE IV 02.1992-01.1997</t>
  </si>
  <si>
    <t>1992-1997</t>
  </si>
  <si>
    <t>HONDA PRELUDE IV КУП 1992-1997 СТ ВЕТР ГЛ</t>
  </si>
  <si>
    <t>HONDA PRELUDE IV КУП 1992-1997 СТ ВЕТР ГЛГЛ</t>
  </si>
  <si>
    <t>HONDA PRELUDE IV КУП 1992-1997 СТ ВЕТР ЗЛ</t>
  </si>
  <si>
    <t>HONDA PRELUDE IV КУП 1992-1997  НАБ КЛИПС ДЛЯ СТ ВЕТР ВЕРХ</t>
  </si>
  <si>
    <t>HONDA PRELUDE IV КУП 1992-1997  МОЛД  ДЛЯ СТ ВЕТР</t>
  </si>
  <si>
    <t>HONDA PRELUDE IV КУП 1992-1997 СТ ПЕР ДВ ОП ЛВ ГЛ+ФИТ</t>
  </si>
  <si>
    <t>HONDA PRELUDE IV КУП 1992-1997 СТ ПЕР ДВ ОП ПР ГЛ+ФИТ</t>
  </si>
  <si>
    <t>PRELUDE V 1997-2006</t>
  </si>
  <si>
    <t>HONDA PRELUDE V 1997-2006  СТ ВЕТР ЗЛ</t>
  </si>
  <si>
    <t>HONDA PRELUDE V 1997-2006  СТ ВЕТР ЗЛГЛ</t>
  </si>
  <si>
    <t>HONDA PRELUDE V 1997-2006  МОЛД  ДЛЯ СТ ВЕТР</t>
  </si>
  <si>
    <t>HONDA PRELUDE V 1997-2006  СТ ПЕР ДВ ОП ЛВ ЗЛ+ФИТ</t>
  </si>
  <si>
    <t>HONDA PRELUDE V 1997-2006  СТ ПЕР ДВ ОП ПР ЗЛ+ФИТ</t>
  </si>
  <si>
    <t>S2000 1999-</t>
  </si>
  <si>
    <t>1999-2009</t>
  </si>
  <si>
    <t>HONDA S2000 1999-  СТ ВЕТР ЗЛ+VIN</t>
  </si>
  <si>
    <t>STREAM 2001-2005</t>
  </si>
  <si>
    <t>HONDA STREAM ЛВРУЛЬ 2001-2005  СТ ВЕТР ЗЛ+VIN</t>
  </si>
  <si>
    <t>HONDA STREAM ЛВРУЛЬ 2001-2005  МОЛД  ДЛЯ СТ ВЕТР ВЕРХ</t>
  </si>
  <si>
    <t>HONDA STREAM ЛВРУЛЬ МИН 2001-2005  СТ ЗАДН ЗЛ+VIN/HONDA STREAM RHD 2001- СТ ЗАДН ЗЛ+VIN</t>
  </si>
  <si>
    <t>HONDA STREAM ЛВРУЛЬ 2001-2005  СТ ПЕР ДВ ОП ЛВ ЗЛ+УО/HONDA STREAM RHD 2001- СТ ПЕР ДВ ОП ЛВ ЗЛ+УО</t>
  </si>
  <si>
    <t>HONDA STREAM ЛВРУЛЬ 2001-2005  СТ ЗАДН ДВ ОП ЛВ ЗЛ+УО/HONDA STREAM RHD 2001- СТ ЗАДН ДВ ОП ЛВ ЗЛ+УО</t>
  </si>
  <si>
    <t>HONDA STREAM ЛВРУЛЬ 2001-2005  СТ БОК НЕП ЛВ ЗЛ/HONDA STREAM ПРРУЛЬ 2001-  СТ БОК НЕП ЛВ ЗЛ</t>
  </si>
  <si>
    <t>HONDA STREAM ЛВРУЛЬ 2001-2005  СТ ПЕР ДВ ОП ПР ЗЛ+УО/HONDA STREAM RHD 2001- СТ ПЕР ДВ ОП ПР ЗЛ+УО</t>
  </si>
  <si>
    <t>HONDA STREAM ЛВРУЛЬ 2001-2005  СТ ЗАДН ДВ ОП ПР ЗЛ+УО/HONDA STREAM RHD 2001- СТ ЗАДН ДВ ОП ПР ЗЛ+УО</t>
  </si>
  <si>
    <t>HONDA STREAM ЛВРУЛЬ 2001-2005  СТ БОК НЕП ПР ЗЛ/HONDA STREAM ПРРУЛЬ 2001-  СТ БОК НЕП ПР ЗЛ</t>
  </si>
  <si>
    <t>STREAM RHD 2001-</t>
  </si>
  <si>
    <t>HONDA STREAM ПРРУЛЬ 2001-  СТ ВЕТР ЗЛ+VIN</t>
  </si>
  <si>
    <t>HONDA STREAM ПРРУЛЬ 2001-  СТ БОК НЕП ЛВ ЗЛ/HONDA STREAM ЛВРУЛЬ 2001-2005  СТ БОК НЕП ЛВ ЗЛ</t>
  </si>
  <si>
    <t>HONDA STREAM ПРРУЛЬ 2001-  СТ БОК НЕП ПР ЗЛ/HONDA STREAM ЛВРУЛЬ 2001-2005  СТ БОК НЕП ПР ЗЛ</t>
  </si>
  <si>
    <t>HUMMER</t>
  </si>
  <si>
    <t>HUMMER H2 2004-</t>
  </si>
  <si>
    <t>HUMMER H2 2004-  СТ ВЕТР ЗЛ+VIN+УО</t>
  </si>
  <si>
    <t>HUMMER H2 2004-  СТ ВЕТР ЗЛ+УО</t>
  </si>
  <si>
    <t>HUMMER H2 ВН 2004-  СТ ЗАДН ЗЛ+УО</t>
  </si>
  <si>
    <t>HUMMER H2 2004-  СТ ПЕР ДВ ОП ЛВ ЗЛ</t>
  </si>
  <si>
    <t>HUMMER H2 2004-  СТ ЗАДН ДВ ОП ЛВ ЗЛ</t>
  </si>
  <si>
    <t>HUMMER H2 2004-  СТ ПЕР ДВ ОП ПР ЗЛ</t>
  </si>
  <si>
    <t>HUMMER H3 2005-</t>
  </si>
  <si>
    <t>HUMMER H3 2005-  СТ ВЕТР ЗЛГЛ+УО</t>
  </si>
  <si>
    <t>HUMMER H3 ВН 2005-  СТ ЗАДН ЗЛ PR+УО</t>
  </si>
  <si>
    <t>HUMMER H3 2005-  СТ ПЕР ДВ ОП ЛВ ЗЛ</t>
  </si>
  <si>
    <t>HUMMER H3 2005-  СТ ПЕР ДВ ОП ПР ЗЛ</t>
  </si>
  <si>
    <t>HUMMER H3 2005-  СТ ЗАДН ДВ ОП ПР ЗЛ</t>
  </si>
  <si>
    <t>HYUNDAI</t>
  </si>
  <si>
    <t>ACCENT I SAL 4D+HBK 5Д 1994-1999</t>
  </si>
  <si>
    <t>HYUNDAI ACCENT I СД+ХБ 1996-1999  СТ ВЕТР ЗЛГЛ</t>
  </si>
  <si>
    <t>HYUNDAI ACCENT I СД+ХБ 1994-1999  СТ ВЕТР ЗЛГЛ</t>
  </si>
  <si>
    <t>HYUNDAI ACCENT I СД+ХБ 1994-1999  МОЛД  ДЛЯ СТ ВЕТР ЧЕРН</t>
  </si>
  <si>
    <t>HYUNDAI ACCENT I 3Д+5Д ХБ 1994-1999  СТ ЗАДН ОТВ</t>
  </si>
  <si>
    <t>HYUNDAI ACCENT I 3Д+5Д ХБ 1994-1999  СТ ЗАДН ЗЛ ОТВ</t>
  </si>
  <si>
    <t>HYUNDAI ACCENT I 3Д+5Д СД 1994-1999  СТ ЗАДН ЗЛ</t>
  </si>
  <si>
    <t>HYUNDAI ACCENT I 5Д 1994-1999  СТ ЗАДН ОП ЛВ ЗЛ+УО</t>
  </si>
  <si>
    <t>HYUNDAI ACCENT I 5Д 1994-1999 СТ БОК НЕП ЛВ ЗЛ</t>
  </si>
  <si>
    <t>HYUNDAI ACCENT I 5Д 1994-1999 СТ ПЕР ДВ ОП ПР+УО</t>
  </si>
  <si>
    <t>HYUNDAI ACCENT I 3Д 1994-1999  СТ ПЕР ДВ ОП ПР ЗЛ+ФИТ</t>
  </si>
  <si>
    <t>HYUNDAI ACCENT I 5Д 1994-1999  СТ ПЕР ДВ ОП ПР ЗЛ+УО</t>
  </si>
  <si>
    <t>HYUNDAI ACCENT I 5Д 1994-1999  СТ ЗАДН ДВ ОП ПР ЗЛ+УО</t>
  </si>
  <si>
    <t>HYUNDAI ACCENT I 5Д 1994-1999 СТ БОК НЕП ПР ЗЛ</t>
  </si>
  <si>
    <t>ACCENT II LC 2000-2006</t>
  </si>
  <si>
    <t>HYUNDAI ACCENT II 3Д+4Д+5Д 2000-2006  СТ ВЕТР+КР</t>
  </si>
  <si>
    <t>HYUNDAI ACCENT II 3Д+4Д+5Д 2000-2006 СТ ВЕТР ЗЛГЛ</t>
  </si>
  <si>
    <t>HYUNDAI ACCENT II 3Д+4Д+5Д 2000-2006 МОЛД  ДЛЯ СТ ВЕТР</t>
  </si>
  <si>
    <t>HYUNDAI ACCENT II 3Д+5Д ХБ 2000-2006  СТ ЗАДН ЗЛ+УО</t>
  </si>
  <si>
    <t>HYUNDAI ACCENT II ХБ 2000-2006  СТ ЗАДН ЗЛ ОТВ+УО</t>
  </si>
  <si>
    <t>HYUNDAI ACCENT II 4Д СД 2000-2006  СТ ЗАДН ЗЛ</t>
  </si>
  <si>
    <t>HYUNDAI ACCENT II + 2000-2006  СТ ЗАДН ДВ ОП ЛВ</t>
  </si>
  <si>
    <t>HYUNDAI ACCENT II + 2000-2006  СТ ФОРТ ЗАДН НЕП ЛВ</t>
  </si>
  <si>
    <t>HYUNDAI ACCENT II 3Д 2000-2006  СТ ПЕР ДВ ОП ЛВ ЗЛ</t>
  </si>
  <si>
    <t>HYUNDAI ACCENT II 4D+5Д 2000-2006  СТ ПЕР ДВ ОП ЛВ ЗЛ</t>
  </si>
  <si>
    <t>HYUNDAI ACCENT II + 2000-2006  СТ ЗАДН ДВ ОП ЛВ ЗЛ</t>
  </si>
  <si>
    <t>HYUNDAI ACCENT II + 2000-2006  СТ ФОРТ ЗАДН НЕП ЛВ ЗЛ</t>
  </si>
  <si>
    <t>HYUNDAI ACCENT II + 2000-2006  СТ ПЕР ДВ ОП ПР</t>
  </si>
  <si>
    <t>HYUNDAI ACCENT II + 2000-2006  СТ ЗАДН ДВ ОП ПР</t>
  </si>
  <si>
    <t>HYUNDAI ACCENT II 3Д 2000-2006  СТ ПЕР ДВ ОП ПР ЗЛ</t>
  </si>
  <si>
    <t>HYUNDAI ACCENT II 4D+5Д 2000-2006  ПЕР ДВ ОП ПР ЗЛ</t>
  </si>
  <si>
    <t>HYUNDAI ACCENT II + 2000-2006  СТ ЗАДН ДВ ОП ПР ЗЛ</t>
  </si>
  <si>
    <t>HYUNDAI ACCENT II + 2000-2006  СТ ФОРТ ЗАДН НЕП ПР ЗЛ</t>
  </si>
  <si>
    <t>ATOS 1998-2002</t>
  </si>
  <si>
    <t>HYUNDAI ATOS 1998-2002 СТ ВЕТР</t>
  </si>
  <si>
    <t>HYUNDAI ATOS 1998-2002 СТ ВЕТР СЗЛ</t>
  </si>
  <si>
    <t>HYUNDAI ATOS 1998-2002 МОЛД  ДЛЯ СТ ВЕТР</t>
  </si>
  <si>
    <t>ATOS PRIME 2000-2002</t>
  </si>
  <si>
    <t>HYUNDAI ATOS PRIME 2000-2002 СТ ВЕТР СЗЛГЛ</t>
  </si>
  <si>
    <t>HYUNDAI ATOS 2000-2002  СТ ПЕР ДВ ОП ЛВ СЗЛ</t>
  </si>
  <si>
    <t>HYUNDAI ATOS PRIME/AMICA 2000-2002 СТ ЗАДН ДВ НЕП ЛВ СЗЛ</t>
  </si>
  <si>
    <t>HYUNDAI ATOS 2000-2002  СТ ПЕР ДВ ОП ПР СЗЛ</t>
  </si>
  <si>
    <t>HYUNDAI ATOS PRIME/AMICA 2000-2002 СТ ЗАДН ДВ НЕП ПР СЗЛ</t>
  </si>
  <si>
    <t>ELANTRA 2000-2006</t>
  </si>
  <si>
    <t>HYUNDAI ELANTRA СЕД+ ХБ 2000-2006  СТ ВЕТР ЗЛ</t>
  </si>
  <si>
    <t>HYUNDAI ELANTRA СЕД+ ХБ 2000-2006  СТ ВЕТР ЗЛГЛ</t>
  </si>
  <si>
    <t>HYUNDAI ELANTRA СЕД+ ХБ 2000-2006 МОЛД  ДЛЯ СТ ВЕТР ВЕРХ</t>
  </si>
  <si>
    <t>HYUNDAI ELANTRA ХБ 2000-2006  СТ ЗАДН ЗЛ+СТОП+УО</t>
  </si>
  <si>
    <t>HYUNDAI ELANTRA СД 2000-2006 СТ ЗАДН ЗЛ+УО</t>
  </si>
  <si>
    <t>HYUNDAI ELANTRA СЕД+ ХБ 2000-2006 СТ ПЕР ДВ ОП ЛВ ЗЛ+УО</t>
  </si>
  <si>
    <t>HYUNDAI ELANTRA ХБ 2000-2006 СТ ЗАДН ДВ ОП ЛВ ЗЛ+УО</t>
  </si>
  <si>
    <t>HYUNDAI ELANTRA СЕД 2000-2006  СТ ЗАДН ДВ ОП ЛВ ЗЛ+УО</t>
  </si>
  <si>
    <t>HYUNDAI ELANTRA СЕД 2000-2006 СТ ЗАДН ДВ НЕП ЛВ ЗЛ</t>
  </si>
  <si>
    <t>HYUNDAI ELANTRA ХБ 2000-2006 СТ ПЕР ДВ ОП ПР ЗЛ+УО</t>
  </si>
  <si>
    <t>HYUNDAI ELANTRA ХБ 2000-2006 СТ ЗАДН ДВ ОП ПР ЗЛ+УО</t>
  </si>
  <si>
    <t>HYUNDAI ELANTRA СЕД 2000-2006 СТ ЗАДН ДВ ОП ПР ЗЛ+УО</t>
  </si>
  <si>
    <t>HYUNDAI ELANTRA СЕД 2000-2006 СТ ФОРТ ЗАДН НЕП ПР ЗЛ</t>
  </si>
  <si>
    <t>ELANTRA 2007-</t>
  </si>
  <si>
    <t>Q063102</t>
  </si>
  <si>
    <t>HYUNDAI ELANTRA 2007-  СТ ВЕТР ЗЛГЛ</t>
  </si>
  <si>
    <t>GALLOPER 1999-</t>
  </si>
  <si>
    <t>HYUNDAI GALLOPER 3Д 1999-  СТ ВЕТР ГЛ/MITSUBISHI SHOGUN 1983-1991 СТ ВЕТР ГЛ</t>
  </si>
  <si>
    <t>HYUNDAI GALLOPER 3Д 1999-  СТ ВЕТР ГЛГЛ/MITSUBISHI SHOGUN 1983-1991 СТ ВЕТР ГЛГЛ</t>
  </si>
  <si>
    <t>HYUNDAI GALLOPER 3Д 1999-  СТ ВЕТР ЗЛГЛ</t>
  </si>
  <si>
    <t>HYUNDAI GALLOPER 3Д ВН 1999-  СТ ЗАДН ЗЛ</t>
  </si>
  <si>
    <t>GETZ 3Д/5Д 2002-</t>
  </si>
  <si>
    <t>2002-2011</t>
  </si>
  <si>
    <t>HYUNDAI GETZ 3Д/5Д 2002- СТ ВЕТР ЗЛГЛ</t>
  </si>
  <si>
    <t>HYUNDAI GETZ 3Д/5Д 2002-  МОЛД  ДЛЯ СТ ВЕТР</t>
  </si>
  <si>
    <t>HYUNDAI GETZ ХБ 2002-  СТ ЗАДН ЗЛ+УО</t>
  </si>
  <si>
    <t>HYUNDAI GETZ ХБ 2002-  СТ ЗАДН ЗЛ+УО+ИЗМ ОТВ</t>
  </si>
  <si>
    <t>HYUNDAI GETZ 3Д 2002-  СТ ПЕР ДВ ОП ЛВ ЗЛ+УО</t>
  </si>
  <si>
    <t>HYUNDAI GETZ 3Д 2002-  СТ БОК НЕП ЛВ ЗЛ+ИНК</t>
  </si>
  <si>
    <t>HYUNDAI GETZ 5Д 2002-  СТ ПЕР ДВ ОП ЛВ ЗЛ+УО</t>
  </si>
  <si>
    <t>HYUNDAI GETZ 5Д 2002-  СТ ЗАДН ДВ ОП ЛВ ЗЛ+УО</t>
  </si>
  <si>
    <t>HYUNDAI GETZ 5Д 2002-  СТ ЗАДН ДВ НЕП ЛВ ЗЛ</t>
  </si>
  <si>
    <t>HYUNDAI GETZ 3Д 2002-  СТ ПЕР ДВ ОП ПР ЗЛ+УО</t>
  </si>
  <si>
    <t>HYUNDAI GETZ 3Д 2002-  СТ БОК НЕП ПР ЗЛ+ИНК</t>
  </si>
  <si>
    <t>HYUNDAI GETZ 5Д 2002-  СТ ПЕР ДВ ОП ПР ЗЛ+УО</t>
  </si>
  <si>
    <t>HYUNDAI GETZ 5Д 2002-  СТ ЗАДН ДВ ОП ПР ЗЛ+УО</t>
  </si>
  <si>
    <t>HYUNDAI GETZ 5Д 2002-  СТ ЗАДН ДВ НЕП ПР ЗЛ</t>
  </si>
  <si>
    <t>GRACE H100 1994-2000 / PORTER 05</t>
  </si>
  <si>
    <t>HYUNDAI GRACE H100 1994-2000  СТ ВЕТР/MITSUBISHI  L300 VAN, PZ SER 87 СТ ВЕТР</t>
  </si>
  <si>
    <t>HYUNDAI GRACE H100 1994-2000  СТ ВЕТР ЗЛГЛ/MITSUBISHI L300 VAN, PZ SERIES 87- СТ ВЕТР ЗЛГЛ</t>
  </si>
  <si>
    <t>HYUNDAI GRACE H100 1994-2000  РЕЗ ПРОФ ДЛЯ СТ ВЕТР</t>
  </si>
  <si>
    <t>HYUNDAI GRACE H100 МИН 1994-1996 СТ ЗАДН</t>
  </si>
  <si>
    <t>1997-2000</t>
  </si>
  <si>
    <t>HYUNDAI GRACE H100 МИН 1997-2000  СТ ЗАДН+ИЗМ РАЗМ</t>
  </si>
  <si>
    <t>HYUNDAI GRACE H100 МИН 1997-2000  СТ ЗАДН ЗЛ+ИЗМ РАЗМ</t>
  </si>
  <si>
    <t>GRANDEUR 2005</t>
  </si>
  <si>
    <t>HYUNDAI GRAND LHD СЕД 2005-  СТ ВЕТР ЗЛГЛ ЭО+ДД+VIN</t>
  </si>
  <si>
    <t>HYUNDAI GRAND LHD СЕД 2005-  СТ ВЕТР ЗЛГЛ ЭО+VIN</t>
  </si>
  <si>
    <t>HYUNDAI GRAND LHD СЕД 2005-  СТ ВЕТР ЗЛГЛ ДД+VIN</t>
  </si>
  <si>
    <t>HYUNDAI GRAND LHD СЕД 2005-  СТ ВЕТР ЗЛГЛ+VIN</t>
  </si>
  <si>
    <t>H1 2007-</t>
  </si>
  <si>
    <t>HYUNDAI H1 2007- СТ ПЕР ДВ ОП ЛВ ЗЛ+УО</t>
  </si>
  <si>
    <t>HYUNDAI H1 2007- СТ ПЕР ДВ ОП ПР ЗЛ+УО</t>
  </si>
  <si>
    <t>H200/SATELLITE (STAREX) 1997-</t>
  </si>
  <si>
    <t>HYUNDAI H200/SATELLITE (STAREX) 1997- СТ ВЕТР</t>
  </si>
  <si>
    <t>HYUNDAI H200/SATELLITE (STAREX) 1997- СТ ВЕТР ЗЛГЛ</t>
  </si>
  <si>
    <t>HYUNDAI H200/SATELLITE (STAREX) 1997- МОЛД  ДЛЯ СТ ВЕТР</t>
  </si>
  <si>
    <t>HYUNDAI H200/SATELLITE (STAREX) МИН 1997-  СТ ЗАДН ЗЛ</t>
  </si>
  <si>
    <t>i10 2008-</t>
  </si>
  <si>
    <t>HYUNDAI i10 2008- СТ ВЕТР ЗЛЗЛ+VIN</t>
  </si>
  <si>
    <t>HYUNDAI i10 2008- СТ ПЕР ДВ ОП ЛВ ЗЛ</t>
  </si>
  <si>
    <t>HYUNDAI i10 2008- СТ ПЕР ДВ ОП ПР ЗЛ</t>
  </si>
  <si>
    <t>I20 3Д/5Д ХБК 2009-</t>
  </si>
  <si>
    <t>HYUNDAI I20 3Д/5Д ХБК 2009- СТ ВЕТР ПР+VIN</t>
  </si>
  <si>
    <t>HYUNDAI I20 3Д/5Д ХБК 2009- СТ ЗЛ+VIN</t>
  </si>
  <si>
    <t>HYUNDAI I20 ХБК 5Д 2009- СТ ПЕР ДВ ОП ЛВ ЗЛ</t>
  </si>
  <si>
    <t>HYUNDAI I20 ХБК 5Д 2009- СТ ЗАДН ДВ ОП ЛВ ЗЛ</t>
  </si>
  <si>
    <t>HYUNDAI I20 ХБК 5Д 2009- ФОРТ ЗАДН НЕП ЛВ ЗЛ</t>
  </si>
  <si>
    <t>HYUNDAI I20 ХБК 5Д 2009- СТ ПЕР ДВ ОП ПР ЗЛ</t>
  </si>
  <si>
    <t>HYUNDAI I20 ХБК 5Д 2009- СТ ЗАДН ДВ ОП ПР ЗЛ</t>
  </si>
  <si>
    <t>HYUNDAI I20 ХБК 5Д 2009- ФОРТ ЗАДН НЕП ПР ЗЛ</t>
  </si>
  <si>
    <t>HYUNDAI I20 ХБК 5Д 2009- СТ ЗАДН ЗЛ</t>
  </si>
  <si>
    <t>I30 5Д ХБ 2007-</t>
  </si>
  <si>
    <t>HYUNDAI I30 5Д ХБ 2007-  СТ ВЕТР ЗЛ ЭО+ДД+VIN</t>
  </si>
  <si>
    <t>HYUNDAI I30 5Д ХБ 2007-  СТ ВЕТР ЗЛ+ДД+VIN</t>
  </si>
  <si>
    <t>HYUNDAI I30 5Д ХБ 2007-  СТ ВЕТР ЗЛ+VIN</t>
  </si>
  <si>
    <t>HYUNDAI I30 5Д ХБ 2007-  СТ ВЕТР ЗЛ+ЭО+VIN</t>
  </si>
  <si>
    <t>HYUNDAI I30 07-СТ ВЕТР ЗЛ + ОБОГРЕВ+VIN</t>
  </si>
  <si>
    <t>HYUNDAI I30 ХБ 07-СТ ВЕТР ЗЛ+VIN</t>
  </si>
  <si>
    <t>IX35 2009-</t>
  </si>
  <si>
    <t>HYUNDAI IX35 09 - СТ ВЕТР ЗЛ+ЭО+ДД+VIN</t>
  </si>
  <si>
    <t>HYUNDAI IX35 09-  СТ ВЕТР ЗЛ+ЭО+VIN</t>
  </si>
  <si>
    <t>HYUNDAI IX35 09-  СТ ВЕТР ЗЛ+VIN</t>
  </si>
  <si>
    <t>IX55 2009-</t>
  </si>
  <si>
    <t>HYUNDAI I55 09-СТ ВЕТР ЗЛГЛ+ЭО+ДД+VIN</t>
  </si>
  <si>
    <t>LANTRA СЕД 1991-1995</t>
  </si>
  <si>
    <t>HYUNDAI LANTRA СЕД 1991-1995 СТ ВЕТР ЗЛГЛ</t>
  </si>
  <si>
    <t>HYUNDAI LANTRA СЕД 1991-1995  МОЛД  ДЛЯ СТ ВЕТР</t>
  </si>
  <si>
    <t>HYUNDAI LANTRA СЕД 1991-1995  СТ ЗАДН ЗЛ</t>
  </si>
  <si>
    <t>HYUNDAI LANTRA СЕД 1991-1995  СТ ПЕР ДВ ОП ЛВ ЗЛ</t>
  </si>
  <si>
    <t>HYUNDAI LANTRA СЕД 1991-1995  СТ ЗАДН ДВ ОП ЛВ ЗЛ</t>
  </si>
  <si>
    <t>HYUNDAI LANTRA СЕД 1991-1995  СТ ПЕР ДВ ОП ПР ЗЛ</t>
  </si>
  <si>
    <t>HYUNDAI LANTRA СЕД 1991-1995  СТ ЗАДН ДВ ОП ПР ЗЛ</t>
  </si>
  <si>
    <t>LANTRA СЕД+УН 1996-2000</t>
  </si>
  <si>
    <t>HYUNDAI LANTRA СЕД+УН 1996-2000 СТ ВЕТР ЗЛГЛ</t>
  </si>
  <si>
    <t>HYUNDAI LANTRA СЕД+УН 1996-2000 СТ ВЕТР ЗЛЗЛ</t>
  </si>
  <si>
    <t>HYUNDAI LANTRA 1996-2000 УСТ КОМПЛ ДЛЯ СТ ВЕТР</t>
  </si>
  <si>
    <t>HYUNDAI LANTRA 1996-2000  МОЛД  ДЛЯ СТ ВЕТР</t>
  </si>
  <si>
    <t>HYUNDAI LANTRA СЕД+УН 1996-2000 СТ ПЕР ДВ ОП ЛВ ЗЛ+УО</t>
  </si>
  <si>
    <t>HYUNDAI LANTRA СЕД+УН 1996-2000 СТ ЗАДН ДВ ОП ЛВ ЗЛ+УО</t>
  </si>
  <si>
    <t>HYUNDAI LANTRA СЕД+УН 1996-2000 СТ ФОРТ НЕП ЗАДН ЛВ ЗЛ</t>
  </si>
  <si>
    <t>HYUNDAI LANTRA СЕД+УН 1996-2000 СТ ПЕР ДВ ОП ПР ЗЛ+УО</t>
  </si>
  <si>
    <t>HYUNDAI LANTRA СЕД+УН 1996-2000 СТ ЗАДН ДВ ОП ПР ЗЛ+УО</t>
  </si>
  <si>
    <t>HYUNDAI LANTRA СЕД+УН 1996-2000 СТ ФОРТ ЗАДН НЕП ПР ЗЛ</t>
  </si>
  <si>
    <t>MATRIX 2001-</t>
  </si>
  <si>
    <t>HYUNDAI MATRIX 2001- СТ ВЕТР ЗЛГЛ</t>
  </si>
  <si>
    <t>HYUNDAI MATRIX 2001- МОЛД  ДЛЯ СТ ВЕТР</t>
  </si>
  <si>
    <t>HYUNDAI MATRIX ХБ 2001- СТ ЗАДН ЗЛ</t>
  </si>
  <si>
    <t>HYUNDAI MATRIX 2001- СТ ПЕР ДВ ОП ЛВ ЗЛ</t>
  </si>
  <si>
    <t>HYUNDAI MATRIX 2001- СТ ЗАДН ДВ ОП ЛВ ЗЛ</t>
  </si>
  <si>
    <t>HYUNDAI MATRIX 2001- СТ ПЕР ДВ ОП ПР ЗЛ</t>
  </si>
  <si>
    <t>HYUNDAI MATRIX 2001- СТ ЗАДН ДВ ОП ПР ЗЛ</t>
  </si>
  <si>
    <t>NF 2005-</t>
  </si>
  <si>
    <t>HYUNDAI NF (SONATA VI) 4Д СЕД LHD 2005-  СТ ВЕТР ЗЛГЛ ЭО+VIN</t>
  </si>
  <si>
    <t>HYUNDAI NF (SONATA VI) 4Д СЕД LHD 2005-  СТ ВЕТР ЗЛГЛ+VIN</t>
  </si>
  <si>
    <t>HYUNDAI NF (SONATA VI) 4Д СЕД LHD 2005-  МОЛД  ДЛЯ СТ ВЕТР ВЕРХ</t>
  </si>
  <si>
    <t>HYUNDAI NF (SONATA VI) 4Д СЕД LHD 2005-  СТ ПЕР ДВ ОП ЛВ ЗЛ</t>
  </si>
  <si>
    <t>HYUNDAI NF (SONATA VI) 4Д СЕД LHD 2005-  СТ ПЕР ДВ ОП ПР ЗЛ</t>
  </si>
  <si>
    <t>PONY 1990-1995</t>
  </si>
  <si>
    <t>HYUNDAI PONY 1990-1995 СТ ВЕТР ГЛ</t>
  </si>
  <si>
    <t>HYUNDAI PONY 1990-1995 СТ ВЕТР ГЛГЛ</t>
  </si>
  <si>
    <t>HYUNDAI PONY 1990-1995 СТ ВЕТР</t>
  </si>
  <si>
    <t>HYUNDAI PONY 1990-1995 СТ ВЕТР ЗЛГЛ</t>
  </si>
  <si>
    <t>HYUNDAI PONY 1990-1995 УСТ КОМПЛ ДЛЯ СТ ВЕТР</t>
  </si>
  <si>
    <t>HYUNDAI PONY 1990-1995 МОЛД  ДЛЯ СТ ВЕТР ВЕРХ</t>
  </si>
  <si>
    <t>HYUNDAI PONY СД 1990-1995 СТ ЗАДН ЗЛ</t>
  </si>
  <si>
    <t>HYUNDAI PONY ХБ 1990-1995 СТ ПЕР ДВ ОП ЛВ ГЛ</t>
  </si>
  <si>
    <t>HYUNDAI PONY ХБ 1990-1995 СТ ЗАДН ДВ ОП ЛВ ЗЛ</t>
  </si>
  <si>
    <t>HYUNDAI PONY ХБ 1990-1995 СТ ПЕР ДВ ОП ЛВ ЗЛ</t>
  </si>
  <si>
    <t>HYUNDAI PONY ХБ 1990-1995 СТ ПЕР ДВ ОП ПР ЗЛ</t>
  </si>
  <si>
    <t>HYUNDAI PONY ХБ 1990-1995 СТ ЗАДН ДВ ОП ПР ГЛ</t>
  </si>
  <si>
    <t>HYUNDAI PONY ХБ 1990-1995 СТ ПЕР ДВ ОП ПР</t>
  </si>
  <si>
    <t>PONY EXEL СЕД+ХБ 1985-1990</t>
  </si>
  <si>
    <t>HYUNDAI PONY EXEL СД+ХБ 1985-1990 СТ ВЕТР</t>
  </si>
  <si>
    <t>SANTA FE 2001-2006</t>
  </si>
  <si>
    <t>HYUNDAI SANTA FE 2001-2006  СТ ВЕТР ЗЛГЛ</t>
  </si>
  <si>
    <t>HYUNDAI SANTA FE 2001-2006 МОЛД  ДЛЯ СТ ВЕТР</t>
  </si>
  <si>
    <t>HYUNDAI SANTA FE ВН 2001-2006  СТ ЗАДН ЗЛ</t>
  </si>
  <si>
    <t>HYUNDAI SANTA FE 2001-2006  СТ ПЕР ДВ ОП ЛВ ЗЛ</t>
  </si>
  <si>
    <t>HYUNDAI SANTA FE 2001-2006  СТ ЗАДН ДВ ОП ЛВ ЗЛ</t>
  </si>
  <si>
    <t>HYUNDAI SANTA FE 2001-2006  СТ ПЕР ДВ ОП ПР ЗЛ</t>
  </si>
  <si>
    <t>HYUNDAI SANTA FE 2001-2006  СТ ЗАДН ДВ ОП ПР ЗЛ</t>
  </si>
  <si>
    <t>SANTA FE 2006-</t>
  </si>
  <si>
    <t>HYUNDAI SANTA FE 2006-  СТ ВЕТР ЗЛГЛ ЭО+ДД+VIN</t>
  </si>
  <si>
    <t>HYUNDAI SANTA FE 2006-  СТ ВЕТР ЗЛГЛ ЭО+VIN</t>
  </si>
  <si>
    <t>HYUNDAI SANTA FE 08/10- СТ ВЕТР ЗЛГЛ+ЭО</t>
  </si>
  <si>
    <t>HYUNDAI SANTA FE 2006-  СТ ВЕТР ЗЛГЛ+ДД+VIN</t>
  </si>
  <si>
    <t>HYUNDAI SANTA FE 2006-  СТ ВЕТР ЗЛГЛ+VIN</t>
  </si>
  <si>
    <t>HYUNDAI SANTA FE ВН 2006-  СТ ЗАДН  ЗЛ</t>
  </si>
  <si>
    <t>HYUNDAI SANTA FE 2006-  СТ ПЕР ДВ ОП ЛВ ЗЛ</t>
  </si>
  <si>
    <t>HYUNDAI SANTA FE 2006-  СТ ЗАДН ДВ ОП ЛВ ЗЛ+УО</t>
  </si>
  <si>
    <t>HYUNDAI SANTA FE 2006-  СТ ЗАДН ДВ НЕП ЛВ ЗЛ</t>
  </si>
  <si>
    <t>HYUNDAI SANTA FE 2006-  СТ ПЕР ДВ ОП ПР ЗЛ</t>
  </si>
  <si>
    <t>HYUNDAI SANTA FE 2006-  СТ ЗАДН ДВ ОП ПР ЗЛ+УО</t>
  </si>
  <si>
    <t>HYUNDAI SANTA FE 2006-  СТ ЗАДН ДВ НЕП ПР ЗЛ</t>
  </si>
  <si>
    <t>SANTAMO MPV-</t>
  </si>
  <si>
    <t>HYUNDAI SANTAMO МИН- СТ ВЕТР ЗЛГЛ/MITSUBISHI SPACE WAGON 99 СТ ВЕТР ЗЛГЛ</t>
  </si>
  <si>
    <t>SOLARIS 2010-</t>
  </si>
  <si>
    <t>HYUNDAI SOLARIS 2010/KIA RIO ХБ+ СЕД 2011- СТ ВЕТР ЗЛГЛ+ЭО+VIN</t>
  </si>
  <si>
    <t>SONATA 1988-1993</t>
  </si>
  <si>
    <t>HYUNDAI SONATA СЕД 1988-1993 СТ ВЕТР ЗЛГЛ</t>
  </si>
  <si>
    <t>HYUNDAI SONATA СД 1988-1993 СТ ЗАДН ЗЛ</t>
  </si>
  <si>
    <t>HYUNDAI SONATA СЕД 1988-1993 СТ ПЕР ДВ ОП ЛВ ЗЛ</t>
  </si>
  <si>
    <t>HYUNDAI SONATA СЕД 1988-1993 СТ ЗАДН ДВ ОП ЛВ ЗЛ</t>
  </si>
  <si>
    <t>HYUNDAI SONATA СЕД 1988-1993 СТ ПЕР ДВ ОП ПР ЗЛ</t>
  </si>
  <si>
    <t>SONATA 1994-1998</t>
  </si>
  <si>
    <t>HYUNDAI SONATA 1994-1998  СТ ВЕТР ЗЛ</t>
  </si>
  <si>
    <t>HYUNDAI SONATA 1994-1998  СТ ВЕТР ЗЛГЛ</t>
  </si>
  <si>
    <t>HYUNDAI SONATA 1994-1998  СТ ВЕТР ЗЛГЛ ИЗМ КР</t>
  </si>
  <si>
    <t>HYUNDAI SONATA 1994-1998 УСТ КОМПЛ ДЛЯ СТ ВЕТР</t>
  </si>
  <si>
    <t>HYUNDAI SONATA 1994-1998  В/С НАБ МОЛД ХР</t>
  </si>
  <si>
    <t>HYUNDAI SONATA 1994-1998  СТ ПЕР ДВ ОП ЛВ ЗЛ/KIA MAGENTIS СЕД 2001-2006  СТ ПЕР ДВ ОП ЛВ ЗЛ</t>
  </si>
  <si>
    <t>HYUNDAI SONATA 1994-1998  СТ ЗАДН ДВ ОП ЛВ ЗЛ</t>
  </si>
  <si>
    <t>HYUNDAI SONATA 1994-1998  СЕД 4Д СТ ФОРТ НЕП ПР ГЛ</t>
  </si>
  <si>
    <t>HYUNDAI SONATA 1994-1998  СТ ПЕР ДВ ОП ПР ЗЛ/KIA MAGENTIS СЕД 2001-2006  СТ ПЕР ДВ ОП ПР ЗЛ</t>
  </si>
  <si>
    <t>SONATA 1999-2005</t>
  </si>
  <si>
    <t>HYUNDAI SONATA 1999-2005  СТ ВЕТР ЗЛГЛ/KIA MAGENTIS СЕД 2001-2006  СТ ВЕТР ЗЛГЛ</t>
  </si>
  <si>
    <t>HYUNDAI SONATA 1999-2005  МОЛД ДЛЯ СТ ВЕТР ЧЕРН</t>
  </si>
  <si>
    <t>HYUNDAI SONATA СД 1999-2005  СТ ЗАДН ЗЛ</t>
  </si>
  <si>
    <t>HYUNDAI SONATA 1999-2005  СТ ПЕР ДВ ОП ЛВ ЗЛ+ФИТ</t>
  </si>
  <si>
    <t>HYUNDAI SONATA 1999-2005  СТ ЗАДН ДВ ОП ЛВ ЗЛ+ФИТ</t>
  </si>
  <si>
    <t>HYUNDAI SONATA 1999-2005  СТ ПЕР ДВ ОП ПР ЗЛ+ФИТ</t>
  </si>
  <si>
    <t>HYUNDAI SONATA 1999-2005  СТ ЗАДН ДВ ОП ПР ЗЛ+ФИТ</t>
  </si>
  <si>
    <t>TERRACAN 2001-</t>
  </si>
  <si>
    <t>HYUNDAI TERRACAN JEEP 2001- СТ ВЕТР</t>
  </si>
  <si>
    <t>HYUNDAI TERRACAN JEEP 2001-  МОЛД  ДЛЯ СТ ВЕТР</t>
  </si>
  <si>
    <t>HYUNDAI TERRACAN JEEP 2001- СТ ПЕР ДВ ОП ЛВ ЗЛ</t>
  </si>
  <si>
    <t>HYUNDAI TERRACAN JEEP 2001- СТ ЗАДН ДВ ОП ЛВ ЗЛ</t>
  </si>
  <si>
    <t>HYUNDAI TERRACAN JEEP 2001- СТ ФОРТ ЗАДН НЕП ЛВ ЗЛ</t>
  </si>
  <si>
    <t>HYUNDAI TERRACAN JEEP 2001- СТ ПЕР ДВ ОП ПР ЗЛ</t>
  </si>
  <si>
    <t>HYUNDAI TERRACAN JEEP 2001- СТ ЗАДН ДВ ОП ПР ЗЛ</t>
  </si>
  <si>
    <t>HYUNDAI TERRACAN JEEP 2001- СТ ФОРТ ЗАДН НЕП ПР ЗЛ</t>
  </si>
  <si>
    <t>TRAJET/HIGHWAY УН 2000-</t>
  </si>
  <si>
    <t>HYUNDAI TRAJET/HIGHWAY УН 2000- СТ ВЕТР</t>
  </si>
  <si>
    <t>HYUNDAI TRAJET/HIGHWAY VAN 2000 МОЛД  ДЛЯ СТ ВЕТР</t>
  </si>
  <si>
    <t>HYUNDAI TRAJET/HIGHWAY УН 2000-  СТ ПЕР ДВ ОП ЛВ ЗЛ+УО</t>
  </si>
  <si>
    <t>HYUNDAI TRAJET/HIGHWAY УН 2000-  СТ ЗАДН ДВ ОП ЛВ ЗЛ+УО</t>
  </si>
  <si>
    <t>HYUNDAI TRAJET/HIGHWAY УН 2000-  СТ ПЕР ДВ ОП ПР ЗЛ+УО</t>
  </si>
  <si>
    <t>TUCSON 2004-</t>
  </si>
  <si>
    <t>HYUNDAI TUCSON 2004-  СТ ВЕТР ЗЛГЛ ЭО+VIN</t>
  </si>
  <si>
    <t>HYUNDAI TUCSON 2004-  СТ ВЕТР ЗЛГЛ+VIN+установ. сист.</t>
  </si>
  <si>
    <t>HYUNDAI TUCSON 2004-  МОЛД  ДЛЯ СТ ВЕТР</t>
  </si>
  <si>
    <t>HYUNDAI TUCSON 2004-  СТ ПЕР ДВ ОП ЛВ ЗЛ+УО</t>
  </si>
  <si>
    <t>HYUNDAI TUCSON 2004-  СТ ЗАДН ДВ ОП ЛВ ЗЛ+УО</t>
  </si>
  <si>
    <t>HYUNDAI TUCSON 2004-  СТ ЗАДН ДВ ОП ЛВ СР+УО</t>
  </si>
  <si>
    <t>HYUNDAI TUCSON 2004-  СТ ПЕР ДВ ОП ПР ЗЛ+УО</t>
  </si>
  <si>
    <t>HYUNDAI TUCSON 2004-  СТ ЗАДН ДВ ОП ПР ЗЛ+ФИТ</t>
  </si>
  <si>
    <t>HYUNDAI TUCSON 2004-  СТ ЗАДН ДВ ОП ПР СР+УО</t>
  </si>
  <si>
    <t>VERNA (ACCENT III) 2006-</t>
  </si>
  <si>
    <t>HYUNDAI VERNA (ACCENT III) 2006- СТ ВЕТР ЗЛГЛ+VIN</t>
  </si>
  <si>
    <t>HYUNDAI VERNA (ACCENT III) 2006- СТ ПЕР ДВ ОП ЛВ</t>
  </si>
  <si>
    <t>HYUNDAI VERNA (ACCENT III) 2006- СТ ПЕР ДВ ОП ПР</t>
  </si>
  <si>
    <t>HYUNDAI VERNA (ACCENT III) 2006- СТ ЗАДН ДВ ОП ЛВ</t>
  </si>
  <si>
    <t>HYUNDAI VERNA (ACCENT III) 2006- СТ ЗАДН ДВ ОП ПР</t>
  </si>
  <si>
    <t>HYUNDAI VERNA (ACCENT III) 2006- ФОРТ ЗАДН НЕП ЛВ ЗЛ</t>
  </si>
  <si>
    <t>HYUNDAI VERNA (ACCENT III) 2006- ФОРТ ЗАДНЕПОД ПРЗЛ</t>
  </si>
  <si>
    <t>XG СД 2000-2007</t>
  </si>
  <si>
    <t>HYUNDAI XG СД 2000-2007  СТ ВЕТР ЗЛГЛ+КР</t>
  </si>
  <si>
    <t>HYUNDAI XG СД 2000-2007  СТ ПЕР ДВ ОП ЛВ ЗЛ 6ОТВ</t>
  </si>
  <si>
    <t>HYUNDAI XG СД 2000-2007  СТ ЗАДН ДВ ОП ЛВ ЗЛ 6ОТВ</t>
  </si>
  <si>
    <t>HYUNDAI XG СД 2000-2007  СТ ПЕР ДВ ОП ПР ЗЛ 6ОТВ</t>
  </si>
  <si>
    <t>HYUNDAI XG СД 2000-2007  СТ ЗАДН ДВ ОП ПР ЗЛ 6ОТВ</t>
  </si>
  <si>
    <t>COUPE 2002-2006</t>
  </si>
  <si>
    <t>HYUNDAI COUPE 2002-2006  СТ ВЕТР ЗЛ</t>
  </si>
  <si>
    <t>HYUNDAI COUPE 2002-2006  СТ ВЕТР ЗЛГЛ</t>
  </si>
  <si>
    <t>HYUNDAI COUPE 2002-2006  МОЛД  ДЛЯ СТ ВЕТР ВЕРХ</t>
  </si>
  <si>
    <t>HYUNDAI COUPE КП 2002-2006  СТ ЗАДН ЗЛ+СТОП</t>
  </si>
  <si>
    <t>HYUNDAI COUPE 2002-2006  СТ ПЕР ДВ ОП ЛВ ЗЛ</t>
  </si>
  <si>
    <t>HYUNDAI COUPE 2002-2006  СТ ПЕР ДВ ОП ПР ЗЛ</t>
  </si>
  <si>
    <t>COUPE 1996-2002</t>
  </si>
  <si>
    <t>1996-2002</t>
  </si>
  <si>
    <t>HYUNDAI COUPE 1996-2002 СТ ВЕТР ЗЛГЛ</t>
  </si>
  <si>
    <t>HYUNDAI COUPE 1996-2002 МОЛД  ДЛЯ СТ ВЕТР</t>
  </si>
  <si>
    <t>HYUNDAI COUPE 1996-2002 СТ ПЕР ДВ ОП ЛВ ЗЛ+5ОТВ</t>
  </si>
  <si>
    <t>INFINITI</t>
  </si>
  <si>
    <t>FX35/45 2003-2008</t>
  </si>
  <si>
    <t>INFINITI FX35/45 2003-2008  СТ ВЕТР ЗЛГЛ</t>
  </si>
  <si>
    <t>QX56 2004-</t>
  </si>
  <si>
    <t>INFINITI QX56 2004- СТ ВЕТР ЗЛ</t>
  </si>
  <si>
    <t>ISUZU</t>
  </si>
  <si>
    <t>ISUZU AMIGO/RODEO/CAMPO 1988-09/1993</t>
  </si>
  <si>
    <t>ISUZU AMIGO/RODEO/CAMPO 1988-09/1993 СТ ВЕТР/BEDFORD BRAVA 1988-  СТ ВЕТР</t>
  </si>
  <si>
    <t>ISUZU RODEO / D-MAX 2003-</t>
  </si>
  <si>
    <t>ISUZU RODEO / D-MAX 2003- СТ ВЕТР ЗЛ</t>
  </si>
  <si>
    <t>ISUZU GEMINI 1985-1989</t>
  </si>
  <si>
    <t>1985-1989</t>
  </si>
  <si>
    <t>ISUZU GEMINI 1985-1989 СТ ВЕТР ГЛ</t>
  </si>
  <si>
    <t>ISUZU TROOPER 1983-1989</t>
  </si>
  <si>
    <t>ISUZU TROOPER 1983-1989 СТ ВЕТР ГЛ</t>
  </si>
  <si>
    <t>ISUZU TROOPER 1983-1989 СТ ВЕТР БР</t>
  </si>
  <si>
    <t>ISUZU TROOPER 1983-1989 СТ ВЕТР</t>
  </si>
  <si>
    <t>ISUZU TROOPER 1983-1989 РЕЗ ПРОФ ДЛЯ СТ ВЕТР</t>
  </si>
  <si>
    <t>ISUZU TROOPER ВН 1983-1989 СТ ЗАДН ГЛ</t>
  </si>
  <si>
    <t>ISUZU TROOPER 1983-1989 СТ ПЕР ДВ ОП ЛВ ГЛ+УО</t>
  </si>
  <si>
    <t>ISUZU TROOPER 1983-1989 СТ ФОРТ ПЕР НЕП ЛВ ГЛ</t>
  </si>
  <si>
    <t>ISUZU TROOPER 1983-1989 СТ ФОРТ ЗАДН НЕП ЛВ ГЛ</t>
  </si>
  <si>
    <t>ISUZU TROOPER 1983-1989 СТ ПЕР ДВ ОП ПР ГЛ+УО</t>
  </si>
  <si>
    <t>ISUZU TROOPER 1983-1989 СТ ФОРТ ЗАДН НЕП ПР ГЛ</t>
  </si>
  <si>
    <t>ISUZU TROOPER 1992-</t>
  </si>
  <si>
    <t>1992-2002</t>
  </si>
  <si>
    <t>ISUZU TROOPER 1992- СТ ВЕТР ГЛ</t>
  </si>
  <si>
    <t>ISUZU TROOPER 1992- СТ ВЕТР БР MONTEREY 3Д+5Д 94 04/95 СТ ВЕТР БР</t>
  </si>
  <si>
    <t>ISUZU TROOPER 1992- СТ ВЕТР</t>
  </si>
  <si>
    <t>ISUZU TROOPER 1992- СТ ВЕТР ЗЛ MONTEREY 3Д+5Д 94 04/95 СТ ВЕТР ЗЛ</t>
  </si>
  <si>
    <t>ISUZU TROOPER 1992- МОЛД  ДЛЯ СТ ВЕТР ВЕРХ</t>
  </si>
  <si>
    <t>ISUZU TROOPER 3Д 1992- СТ ПЕР ДВ ОП ЛВ БР MONTEREY + 94  СТ ПЕР ДВ ОП ЛВ БР</t>
  </si>
  <si>
    <t>ISUZU TROOPER 5Д 1992- СТ ФОРТ ЗАДН НЕП ЛВ БР MONTEREY 5Д 94  СТ ФОРТ ЗАДН НЕП ЛВ БР</t>
  </si>
  <si>
    <t>ISUZU TROOPER 3Д 1992- СТ ПЕР ДВ ОП ПР БР MONTEREY + 94  СТ ПЕР ДВ ОП ПР БР</t>
  </si>
  <si>
    <t>ISUZU TROOPER 5Д 1992- СТ ПЕР ДВ ОП ПР БР+УО</t>
  </si>
  <si>
    <t>JAGUAR</t>
  </si>
  <si>
    <t>S TYPE 1999-2002</t>
  </si>
  <si>
    <t>1999-2002</t>
  </si>
  <si>
    <t>JAGUAR S СЕД 1999-2002  СТ ВЕТР ЗЛ ЭО+ДД+VIN+УО</t>
  </si>
  <si>
    <t>JAGUAR S СЕД 2002-  СТ ВЕТР ЗЛ ЭО+ДД+VIN+УО+ИЗМ ЭО</t>
  </si>
  <si>
    <t>JAGUAR S СЕД 2001-  МОЛД  ДЛЯ СТ ВЕТР ВЕРХ</t>
  </si>
  <si>
    <t>JAGUAR S СЕД 1998-2002  СТ ПЕР ДВ ОП ЛВ ЗЛ</t>
  </si>
  <si>
    <t>JAGUAR S СЕД 1999-2002  СТ ЗАДН ДВ ОП ЛВ ЗЛ+ФИТ+УО</t>
  </si>
  <si>
    <t>JAGUAR S СЕД 1998-2002  СТ ПЕР ДВ ОП ПР ЗЛ</t>
  </si>
  <si>
    <t>JAGUAR S СЕД 1999-2002  СТ ЗАДН ДВ ОП ПР ЗЛ+УО</t>
  </si>
  <si>
    <t>X TYPE СД 2001-</t>
  </si>
  <si>
    <t>2001-2009</t>
  </si>
  <si>
    <t>JAGUAR X TYPE 2001-  СТ ВЕТР ЗЛ ЭО+VIN+УО</t>
  </si>
  <si>
    <t>JAGUAR X TYPE 2001-  СТ ВЕТР ЗЛ+ДД+VIN+УО+ИЗМ ДЕРЖ ЗЕРК</t>
  </si>
  <si>
    <t>JAGUAR X TYPE 2001-  СТ ВЕТР ЗЛ+VIN+УО</t>
  </si>
  <si>
    <t>JAGUAR X TYPE 2001-  СТ ПЕР ДВ ОП ЛВ</t>
  </si>
  <si>
    <t>JAGUAR X TYPE 2001-  СТ ЗАДН ДВ ОП ЛВ ЗЛ</t>
  </si>
  <si>
    <t>JAGUAR X TYPE 2001-  СТ ПЕР ДВ ОП ПР</t>
  </si>
  <si>
    <t>JAGUAR X TYPE 2001-  СТ ЗАДН ДВ ОП ПР ЗЛ</t>
  </si>
  <si>
    <t>XF 4Д СД 2008-</t>
  </si>
  <si>
    <t>JAGUAR XF 4Д СД 2008- СТ ПЕР ДВ ОП ЛВ ЗЛ</t>
  </si>
  <si>
    <t>JAGUAR XF 4Д СД 2008- СТ ПЕР ДВ ОП ПР ЗЛ</t>
  </si>
  <si>
    <t>XJ40 1987-1990</t>
  </si>
  <si>
    <t>JAGUAR XJ40 1987-1990  СТ ВЕТР ЗЛ+VIN</t>
  </si>
  <si>
    <t>XJ6 XJ12 SERIES 3 1979-1993</t>
  </si>
  <si>
    <t>JAGUAR XJ6 1979-1993 СТ ВЕТР ЗЛ</t>
  </si>
  <si>
    <t>XJ8/X300/X330 1995-2000</t>
  </si>
  <si>
    <t>1995-2000</t>
  </si>
  <si>
    <t>JAGUAR XJ8 1997-2000  СТ ВЕТР ЗЛ ЭО+ИЗМ+КР+VIN</t>
  </si>
  <si>
    <t>JAGUAR X300/X330 1995-2000  СТ ВЕТР ЗЛ +VIN</t>
  </si>
  <si>
    <t>XJ SER 4S 2003-2009</t>
  </si>
  <si>
    <t>JAGUAR XJ SER 4S 2003-2009 СТ ВЕТР АКУСТИК+ЭО+ДД+VIN+ИНК</t>
  </si>
  <si>
    <t>LIBERTY 4Д UTILITY 2002-</t>
  </si>
  <si>
    <t>JEEP LIBERTY 4D UTILITY 2002- СТ ВЕТР ЗЛ</t>
  </si>
  <si>
    <t>CHEROKEE 2001-</t>
  </si>
  <si>
    <t>JEEP CHEROKEE 2001-  СТ ВЕТР ЗЛГЛ+VIN</t>
  </si>
  <si>
    <t>JEEP CHEROKEE 2001-  СТ ВЕТР ЗЛГЛ+VIN+ИЗМ ШЕЛК</t>
  </si>
  <si>
    <t>JEEP CHEROKEE 2001-  СТ ВЕТР ЗЛ+VIN</t>
  </si>
  <si>
    <t>JEEP CHEROKEE ВН 2001-  СТ ЗАДН ЗЛ ОТКР+УО</t>
  </si>
  <si>
    <t>JEEP CHEROKEE 2001-  СТ ПЕР ДВ ОП ЛВ ЗЛ+УО</t>
  </si>
  <si>
    <t>JEEP CHEROKEE 2001-  СТ ПЕР ДВ ОП ПР ЗЛ+УО</t>
  </si>
  <si>
    <t>CHEROKEE 2008-</t>
  </si>
  <si>
    <t>JEEP CHEROKEE 2008-  СТ ВЕТР ЗЛ+VIN</t>
  </si>
  <si>
    <t>JEEP CHEROKEE 2008-  СТ ВЕТР ЗЛ ГЛ+ДД+VIN</t>
  </si>
  <si>
    <t>GRAND CHEROKEE II 2005-</t>
  </si>
  <si>
    <t>JEEP GRAND CHEROKEE II 2005-  СТ ВЕТР ЗЛ+ДД+VIN+ИЗМ КР</t>
  </si>
  <si>
    <t>JEEP GRAND CHEROKEE II 2005-  СТ ВЕТР ЗЛ+VIN</t>
  </si>
  <si>
    <t>JEEP GRAND CHEROKEE II ВН 2005- СТ ПОД ЗАДН ЗЛ+УО</t>
  </si>
  <si>
    <t>JEEP GRAND CHEROKEE II ВН 2005- СТ ПОД ЗАДН СР+УО</t>
  </si>
  <si>
    <t>JEEP GRAND CHEROKEE II 2005- СТ ПЕР ДВ ОП ТРИПЛ ЛВ ЗЛ+УО</t>
  </si>
  <si>
    <t>JEEP GRAND CHEROKEE II 2005- СТ ЗАДН ДВ ОП ЛВ ЗЛ</t>
  </si>
  <si>
    <t>JEEP GRAND CHEROKEE II 2005- СТ ЗАДН ДВ ОП ЛВ СР</t>
  </si>
  <si>
    <t>JEEP GRAND CHEROKEE II 2005- СТ ПЕР ДВ ОП ТРИПЛ ЗЛ+УО</t>
  </si>
  <si>
    <t>JEEP GRAND CHEROKEE II 2005- СТ ЗАДН ДВ ОП ПР ЗЛ</t>
  </si>
  <si>
    <t>JEEP GRAND CHEROKEE II 2005- СТ ЗАДН ДВ ОП ПР СР</t>
  </si>
  <si>
    <t>WRANGLER II TJ 3Д 1997-2007</t>
  </si>
  <si>
    <t>1997-2007</t>
  </si>
  <si>
    <t>JEEP WRANGLER II TJ 1997-2007  СТ ВЕТР ЗЛ</t>
  </si>
  <si>
    <t>JEEP WRANGLER II TJ 1997-2007 МОЛД  ДЛЯ СТ ВЕТР</t>
  </si>
  <si>
    <t>KIA</t>
  </si>
  <si>
    <t>CARENS 04/2002-2006</t>
  </si>
  <si>
    <t>KIA CARENS 04/2002-2006  СТ ВЕТР ЗЛГЛ</t>
  </si>
  <si>
    <t>CARENS 2000-2004</t>
  </si>
  <si>
    <t>2000-2004</t>
  </si>
  <si>
    <t>KIA CARENS 2000-2004 СТ ВЕТР ЗЛГЛ КР</t>
  </si>
  <si>
    <t>KIA CARENS 2000-2004 МОЛД  ДЛЯ СТ ВЕТР</t>
  </si>
  <si>
    <t>KIA CARENS 2000-2004 СТ ЗАДН ДВ ОП ЛВ ЗЛ</t>
  </si>
  <si>
    <t>KIA CARENS 2000-2004 СТ ПЕР ДВ ОП ПР ЗЛ</t>
  </si>
  <si>
    <t>CARENS MPV 2006-</t>
  </si>
  <si>
    <t>KIA CARENS МИН 2006-  СТ ВЕТР ЗЛГЛ ЭО+VIN</t>
  </si>
  <si>
    <t>KIA CARENS MPV 2006-  СТ ПЕР ДВ ОП ЛВ ЗЛ</t>
  </si>
  <si>
    <t>KIA CARENS MPV 2006-  СТ ЗАДН ДВ ОП ЛВ ЗЛ</t>
  </si>
  <si>
    <t>KIA CARENS MPV 2006-  СТ ПЕР ДВ ОП ПР ЗЛ</t>
  </si>
  <si>
    <t>KIA CARENS MPV 2006-  СТ ЗАДН ДВ ОП ПР ЗЛ</t>
  </si>
  <si>
    <t>CARNIVAL 1999-2006</t>
  </si>
  <si>
    <t>KIA CARNIVAL/SEDONA 1999-2006  СТ ВЕТР ЗЛГЛ</t>
  </si>
  <si>
    <t>KIA CARNIVAL/SEDONA 2002-2006  СТ ВЕТР ЗЛГЛ ЭО+ДД</t>
  </si>
  <si>
    <t>KIA CARNIVAL/SEDONA 1999-2006  МОЛД  ДЛЯ СТ ВЕТР</t>
  </si>
  <si>
    <t>KIA CARNIVAL/SEDONA МИН 1999-2006  СТ ЗАДН ЭО ЗЛ</t>
  </si>
  <si>
    <t>KIA CARNIVAL/SEDONA МИН 2002-2006  СТ ЗАДН ЗЛ+СТОП+УО+ИЗМ РАЗМ</t>
  </si>
  <si>
    <t>KIA CARNIVAL/SEDONA 1999-2006  СТ ПЕР ДВ ОП ЛВ ЗЛ</t>
  </si>
  <si>
    <t>KIA CARNIVAL/SEDONA 1999-2006  СТ ЗАДН ДВ ОП ЛВ ЗЛ+УО</t>
  </si>
  <si>
    <t>KIA CARNIVAL/SEDONA 1999-2006  СТ ЗАДН ДВ НЕП ЛВ ЗЛ+ОТКР</t>
  </si>
  <si>
    <t>KIA CARNIVAL/SEDONA 1999-2006  СТ ПЕР ДВ ОП ПР ЗЛ</t>
  </si>
  <si>
    <t>KIA CARNIVAL/SEDONA 1999-2006  СТ ЗАДН ДВ ОП ПР ЗЛ</t>
  </si>
  <si>
    <t>KIA CARNIVAL/SEDONA 1999-2006  СТ ЗАДН ДВ НЕП ПР ЗЛ+ОТКР</t>
  </si>
  <si>
    <t>CARNIVAL 2006-</t>
  </si>
  <si>
    <t>KIA CARNIVAL 2006-  СТ ВЕТР ЗЛГЛ ЭО+ДД+VIN</t>
  </si>
  <si>
    <t>KIA CARNIVAL 2006-  СТ ВЕТР ЗЛГЛ ЭО+VIN</t>
  </si>
  <si>
    <t>KIA CARNIVAL 2006-  СТ ПЕР ДВ ОП ЛВ ЗЛ</t>
  </si>
  <si>
    <t>KIA CARNIVAL 2006-  СТ ПЕР ДВ ОП ПР ЗЛ</t>
  </si>
  <si>
    <t>KIA CARNIVAL 2006-  СТ ЗАДН ДВ ОП ПР ЗЛ+ФИТ</t>
  </si>
  <si>
    <t>KIA CARNIVAL 2006-  СТ ЗАДН ДВ ОП ЛВ ЗЛ+УО</t>
  </si>
  <si>
    <t>CEED 5Д ХБ LHD 2006-</t>
  </si>
  <si>
    <t>KIA CEE'D ХБ 2006-  СТ ВЕТР ЗЛ+ЭО+ДД+VIN+ИЗМ КР</t>
  </si>
  <si>
    <t>KIA CEE'D ХБ 2006-  СТ ВЕТР ЗЛ ЭО+VIN</t>
  </si>
  <si>
    <t>KIA CEE'D ХБ 2006-  СТ ВЕТР ЗЛ ДД+VIN</t>
  </si>
  <si>
    <t>KIA CEE'D ХБ 2006-  СТ ВЕТР ЗЛ+VIN</t>
  </si>
  <si>
    <t>KIA CEE'D 2010 СТ ВЕТР ЗЛ+ЭО+VIN+ИЗМ КР</t>
  </si>
  <si>
    <t>KIA CEE'D 2006- СТ ВЕТР ЗЛ+ДД+VIN</t>
  </si>
  <si>
    <t>KIA CEE'D 5D HBK RHD 2006- МОЛД СТ ВЕТР</t>
  </si>
  <si>
    <t>KIA CEE'D ХБ 2006-  СТ ЗАДН ДВ ЗЛ+УО+ОТВ</t>
  </si>
  <si>
    <t>KIA CEE'D 5Д ХБ 2006-  СТ ЗАДН ДВ СР PR+УО</t>
  </si>
  <si>
    <t>KIA CEE'D 5Д СЕД 2007- СТ ЗАДН ДВ ОП ЛВ ЗЛ</t>
  </si>
  <si>
    <t>KIA CEE'D 5Д HBK 2006- СТ ПЕР ДВ ОП ПР ЗЛ</t>
  </si>
  <si>
    <t>KIA CEE'D 5Д 2006-  СТ ПЕР ДВ ОП ПР ЗЛ</t>
  </si>
  <si>
    <t>KIA CEE'D 5Д HBK 2006- СТ ПЕР ДВ ОП ЛВ ЗЛ</t>
  </si>
  <si>
    <t>KIA CEE'D 5Д HBK 2006-  СТ ПЕР ДВ ОП ЛВ ЗЛ</t>
  </si>
  <si>
    <t>PRO-CEE'D 3Д ХБ 2007-</t>
  </si>
  <si>
    <t>KIA PRO CEE'D ХБ 2007-  СТ ВЕТР ЗЛ ЭО+ДД+VIN</t>
  </si>
  <si>
    <t>KIA PRO CEE'D ХБ 2007-  СТ ВЕТР ЗЛ ЭО+VIN</t>
  </si>
  <si>
    <t>KIA PRO CEE'D ХБ 2007-  СТ ВЕТР ЗЛ+ДД+VIN</t>
  </si>
  <si>
    <t>KIA PRO CEE'D ХБ 2007-  СТ ВЕТР ЗЛ+VIN</t>
  </si>
  <si>
    <t>KIA PRO-CEE'D ХБ 2007-  СТ ВЕТР ЗЛ+VIN</t>
  </si>
  <si>
    <t>KIA PRO-CEE'D ХБ 2010 СТ ВЕТР ЗЛ+ЭО+VIN+ИЗМ КР</t>
  </si>
  <si>
    <t>KIA PRO CEE'D 3Д ХБ 2007- СТ ЗАДН ЗЛ</t>
  </si>
  <si>
    <t>KIA PRO CEE'D 3Д ХБ 2007- СТ ПЕР ДВ ОП ЛВ ЗЛ</t>
  </si>
  <si>
    <t>KIA PRO CEE'D 3Д ХБ 2007- СТ ПЕР ДВ ОП ПР ЗЛ</t>
  </si>
  <si>
    <t>CERATO 5Д ХБ/4Д СД 2004-</t>
  </si>
  <si>
    <t>2004-2008</t>
  </si>
  <si>
    <t>KIA CERATO ХБК/ СЕД 2004-2008 СТ ВЕТР ЗЛ/ГЛ</t>
  </si>
  <si>
    <t>KIA CERATO ХБ/ СЕД 2004-  СТ ВЕТР ЗЛГЛ ЭО+VIN</t>
  </si>
  <si>
    <t>KIA CERATO 5Д ХБ/4Д СЕД 2004-  МОЛД  ДЛЯ СТ ВЕТР</t>
  </si>
  <si>
    <t>KIA CERATO СД 2004-  СТ ЗАДН ЗЛ+АНТ+СТОП</t>
  </si>
  <si>
    <t>KIA CERATO ХБ/ СЕД 2004-  СТ ПЕР ДВ ОП ЛВ ЗЛ+УО</t>
  </si>
  <si>
    <t>KIA CERATO СЕД 2004-  СТ ЗАДН ДВ ОП ЛВ ЗЛ+УО</t>
  </si>
  <si>
    <t>KIA CERATO ХБ/ СЕД 2004-  СТ ПЕР ДВ ОП ПР ЗЛ+УО</t>
  </si>
  <si>
    <t>KIA CERATO СЕД 2004-  СТ ЗАДН ДВ ОП ПР ЗЛ+УО</t>
  </si>
  <si>
    <t>CERATO 4D SAL 09-</t>
  </si>
  <si>
    <t>KIA CERATO 4D SAL 09- СТ ВЕТР ЗЛГЛ+VIN</t>
  </si>
  <si>
    <t>CLARUS/CREDOS 4D СД/5Д BRK 1996-2002</t>
  </si>
  <si>
    <t>KIA CLARUS/CREDOS 4Д СД 1996-2002  СТ ВЕТР ЗЛГЛ</t>
  </si>
  <si>
    <t>KIA CLARUS/CREDOS 4Д СД 1996-2002 МОЛД  ДЛЯ СТ ВЕТР ВЕРХ</t>
  </si>
  <si>
    <t>KIA CLARUS/CREDOS 4Д СД 1996-2002  СТ ЗАДН ЗЛ</t>
  </si>
  <si>
    <t>KIA CLARUS/CREDOS 4Д СД+5Д ХБ 1997-2002  СТ ПЕР ДВ ОП ЗЛ</t>
  </si>
  <si>
    <t>KIA CLARUS/CREDOS СЕД 1996-2002  СТ ЗАДН ДВ ОП ЛВ ЗЛ</t>
  </si>
  <si>
    <t>KIA CLARUS/CREDOS СЕД 1996-2002  /УН 98  СТ ПЕР ДВ ОП ПР ЗЛ</t>
  </si>
  <si>
    <t>KIA CLARUS/CREDOS СЕД 1996-2002  СТ ЗАДН ДВ ОП ПР ЗЛ</t>
  </si>
  <si>
    <t>JOYCE MPV 2001-2003</t>
  </si>
  <si>
    <t>KIA JOYCE МИН 2001-2003  СТ ВЕТР ЗЛГЛ</t>
  </si>
  <si>
    <t>KIA JOYCE MPV 2001-2003 МОЛД  ДЛЯ СТ ВЕТР</t>
  </si>
  <si>
    <t>KIA JOYCE МИН 2001-2003  СТ ЗАДН ЗЛ</t>
  </si>
  <si>
    <t>KIA JOYCE MPV 2001-2003  СТ ПЕР ДВ ОП ЛВ ЗЛ</t>
  </si>
  <si>
    <t>KIA JOYCE MPV 2001-2003  СТ ПЕР ДВ ОП ПР ЗЛ</t>
  </si>
  <si>
    <t>K2700 PU 2000-2005</t>
  </si>
  <si>
    <t>2000-2005</t>
  </si>
  <si>
    <t>KIA K2700 PU 2000-2005  СТ ВЕТР</t>
  </si>
  <si>
    <t>MAGENTIS СЕД 2001-2006</t>
  </si>
  <si>
    <t>KIA MAGENTIS СЕД 2001-2006  СТ ВЕТР ЗЛГЛ/HYUNDAI SONATA 1999-2005  СТ ВЕТР ЗЛГЛ</t>
  </si>
  <si>
    <t>KIA MAGENTIS СЕД 2001-2006  СТ ПЕР ДВ ОП ЛВ ЗЛ/HYUNDAI SONATA 1994-1998  СТ ПЕР ДВ ОП ЛВ ЗЛ</t>
  </si>
  <si>
    <t>KIA MAGENTIS СЕД 2001-2006  СТ ЗАДН ДВ ОП ЛВ ЗЛ/HYUNDAI SONATA 1994-1998  СТ ЗАДН ДВ ОП ЛВ ЗЛ</t>
  </si>
  <si>
    <t>KIA MAGENTIS СЕД 2001-2006  СТ ПЕР ДВ ОП ПР ЗЛ/HYUNDAI SONATA 1994-1998  СТ ПЕР ДВ ОП ПР ЗЛ</t>
  </si>
  <si>
    <t>KIA MAGENTIS СЕД 2001-2006  СТ ЗАДН ДВ ОП ПР ЗЛ/HYUNDAI SONATA 1994-1998  СТ ЗАДН ДВ ОП ПР ЗЛ</t>
  </si>
  <si>
    <t>MAGENTIS 2005-2009</t>
  </si>
  <si>
    <t>KIA MAGENTIS СЕД 2005-2009  СТ ВЕТР ЗЛГЛ</t>
  </si>
  <si>
    <t>KIA MAGENTIS СЕД 2005-2009  СТ ВЕТР ЗЛГЛ ЭО</t>
  </si>
  <si>
    <t>KIA MAGENTIS СЕД 2005-2009  СТ ВЕТР ЗЛГЛ ЭО+ДД</t>
  </si>
  <si>
    <t>KIA MAGENTIS СЕД 2005-2009 СТ ПЕР ДВ ОП ЛВ ЗЛ+УО</t>
  </si>
  <si>
    <t>KIA MAGENTIS СЕД 2005-2009  СТ ЗАДН ДВ ОП ЛВ ЗЛ</t>
  </si>
  <si>
    <t>KIA MAGENTIS СЕД 2005-2009  СТ ПЕР ДВ ОП ПР ЗЛ+УО</t>
  </si>
  <si>
    <t>KIA MAGENTIS СЕД 2005-2009  СТ ЗАДН ДВ ОП ПР ЗЛ</t>
  </si>
  <si>
    <t>OPIRUS СД 2003-</t>
  </si>
  <si>
    <t>KIA OPIRUS 2003- СТ ВЕТР ЗЛГЛ+ЭО+ДД</t>
  </si>
  <si>
    <t>KIA OPIRUS 2003- СТ ВЕТР ЗЛГЛ+ЭО</t>
  </si>
  <si>
    <t>KIA OPIRUS 4Д 2003- СТ ПЕР ДВ ОП ЛВ ЗЛ+ФИТ</t>
  </si>
  <si>
    <t>KIA OPIRUS 4Д 2003- СТ ПЕР ДВ ОП ПР ЗЛ+ФИТ</t>
  </si>
  <si>
    <t>PICANTO 5Д ХБ 2004-</t>
  </si>
  <si>
    <t>KIA PICANTO 5Д 2004-  СТ ВЕТР</t>
  </si>
  <si>
    <t>KIA PICANTO 5Д 2004-  СТ ВЕТР ЗЛГЛ</t>
  </si>
  <si>
    <t>KIA PICANTO 5Д 2004-  МОЛД  ДЛЯ СТ ВЕТР</t>
  </si>
  <si>
    <t>KIA PICANTO ХБ 2004-  СТ ЗАДН ЗЛ+УО</t>
  </si>
  <si>
    <t>KIA PICANTO ХБ 2004-  СТ ПЕР ДВ ОП ЛВ</t>
  </si>
  <si>
    <t>KIA PICANTO ХБ 2004-  СТ ПЕР ДВ ОП ЛВ ЗЛ</t>
  </si>
  <si>
    <t>KIA PICANTO ХБ 2004-  СТ ПЕР ДВ ОП ПР</t>
  </si>
  <si>
    <t>KIA PICANTO ХБ 2004-  СТ ПЕР ДВ ОП ПР ЗЛ</t>
  </si>
  <si>
    <t>PICANTO 2011-</t>
  </si>
  <si>
    <t>KIA PICANTO 2011- СТ ВЕТР</t>
  </si>
  <si>
    <t>KIA PICANTO 2011- СТ ВЕТР ЗЛ</t>
  </si>
  <si>
    <t>KIA PICANTO 2011- СТ ВЕТР ЗЛГЛ</t>
  </si>
  <si>
    <t>PREGIO 1996-</t>
  </si>
  <si>
    <t>KIA PREGIO 1996-  СТ ВЕТР</t>
  </si>
  <si>
    <t>KIA PREGIO 1996-  СТ ВЕТР ЗЛГЛ</t>
  </si>
  <si>
    <t>KIA PREGIO 1996-  МОЛД  ДЛЯ СТ ВЕТР</t>
  </si>
  <si>
    <t>KIA PREGIO МИН 1996-  СТ ЗАДН ЗЛ+УО</t>
  </si>
  <si>
    <t>KIA PREGIO 1996-  СТ ПЕР ДВ ОП ЛВ ЗЛ</t>
  </si>
  <si>
    <t>KIA PREGIO 1996-  СТ ПЕР ДВ ОП ПР ЗЛ</t>
  </si>
  <si>
    <t>PRIDE 3Д+5Д 1993-2005</t>
  </si>
  <si>
    <t>1993-2005</t>
  </si>
  <si>
    <t>KIA PRIDE 3Д+5Д 1993-2005  СТ ВЕТР</t>
  </si>
  <si>
    <t>KIA PRIDE 3Д+5Д 1993-2005  СТ ВЕТР ЗЛГЛ</t>
  </si>
  <si>
    <t>KIA PRIDE 3Д+5Д 1993-2005  ХБ МОЛД  ДЛЯ СТ ВЕТР ВЕРХ</t>
  </si>
  <si>
    <t>RETONA JEEP 3Д 2000-2004</t>
  </si>
  <si>
    <t>KIA RETONA JEEP 3Д 2000-2004  СТ ВЕТР ЗЛ+КР</t>
  </si>
  <si>
    <t>KIA RETONA JEEP 3Д 2000-2004   РЕЗ ДЛЯ СТ ВЕТР</t>
  </si>
  <si>
    <t>RIO 4Д / 5Д 2000-2005</t>
  </si>
  <si>
    <t>KIA RIO ХБ 5Д 2000-2005  СТ ВЕТР ЗЛГЛ</t>
  </si>
  <si>
    <t>KIA RIO СЕД 4Д/ХБ 5Д 2000-2005 МОЛД  ДЛЯ СТ ВЕТР</t>
  </si>
  <si>
    <t>KIA RIO ХБ 5Д 2000-2005  СТ ЗАДН ЗЛ УО</t>
  </si>
  <si>
    <t>KIA RIO СД 4Д 2000-2005  СТ ЗАДН ЗЛ+УО</t>
  </si>
  <si>
    <t>KIA RIO ХБ 5Д 2000-2005  СТ ПЕР ДВ ОП ЛВ ЗЛ+УО</t>
  </si>
  <si>
    <t>KIA RIO ХБ 5Д 2000-2005  СТ ЗАДН ДВ ОП ЛВ ЗЛ</t>
  </si>
  <si>
    <t>KIA RIO СЕД 4Д 2000-2005  СТ ЗАДН ДВ ОП ЛВ ЗЛ</t>
  </si>
  <si>
    <t>KIA RIO СЕД 4Д 2000-2005  СТ ФОРТ ЗАДН НЕП ЛВ ЗЛ</t>
  </si>
  <si>
    <t>KIA RIO ХБ 5Д 2000-2005  СТ ПЕР ДВ ОП ПР ЗЛ+УО</t>
  </si>
  <si>
    <t>KIA RIO ХБ 5Д 2000-2005  СТ ЗАДН ДВ ОП ПР ЗЛ</t>
  </si>
  <si>
    <t>KIA RIO СЕД 4Д 2000-2005  СТ ЗАДН ДВ ОП ПР ЗЛ</t>
  </si>
  <si>
    <t>KIA RIO СЕД 4Д 2000-2005  СТ ФОРТ ЗАДН НЕП ПР ЗЛ</t>
  </si>
  <si>
    <t>RIO 2005-2011</t>
  </si>
  <si>
    <t>KIA RIO ХБ+ СЕД 2005-2011  СТ ВЕТР ЗЛГЛ</t>
  </si>
  <si>
    <t>KIA RIO ХБ+ СЕД 2005-2011  СТ ВЕТР ЗЛ</t>
  </si>
  <si>
    <t>KIA RIO ХБ+ СЕД 2005-2011  МОЛД  ДЛЯ СТ ВЕТР</t>
  </si>
  <si>
    <t>KIA RIO ХБ+ СЕД 2006-2011  СТ ПЕР ДВ ОП ЛВ ЗЛ</t>
  </si>
  <si>
    <t>KIA RIO ХБ+ СЕД 2006-2011  СТ ЗАДН ДВ ОП ЛВ ЗЛ</t>
  </si>
  <si>
    <t>KIA RIO ХБ+ СЕД 2006-2011  СТ ПЕР ДВ ОП ПР ЗЛ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</si>
  <si>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</si>
  <si>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</si>
  <si>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</si>
  <si>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</si>
  <si>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KIA MENTOR/SEPHIA 1994-1998  СТ ВЕТР ЗЛ</t>
  </si>
  <si>
    <t>KIA MENTOR/SEPHIA 1994-1998  СТ ВЕТР ЗЛГЛ</t>
  </si>
  <si>
    <t>KIA MENTOR/SEPHIA 1994-1998  НАБ КЛИПС ДЛЯ СТ ВЕТР</t>
  </si>
  <si>
    <t>KIA MENTOR/SEPHIA 1994-1998  В/С НАКР МОЛД ВЕРХ НИЖ</t>
  </si>
  <si>
    <t>KIA MENTOR/SEPHIA 1994-1998  МОЛД  ДЛЯ СТ ВЕТР ВЕРХ</t>
  </si>
  <si>
    <t>KIA MENTOR/SEPHIA 1994-1998  СТ ПЕР ДВ ОП ЛВ ЗЛ</t>
  </si>
  <si>
    <t>1997-1998</t>
  </si>
  <si>
    <t>KIA MENTOR/SEPHIA 1997-1998  СТ ПЕР ДВ ОП ЛВ ЗЛ</t>
  </si>
  <si>
    <t>KIA MENTOR/SEPHIA 1994-1998  СТ ЗАДН ДВ ОП ЛВ ЗЛ</t>
  </si>
  <si>
    <t>KIA MENTOR/SEPHIA 1994-1998  СТ ПЕР ДВ ОП ПР ЗЛ</t>
  </si>
  <si>
    <t>KIA MENTOR/SEPHIA 1997-1998  СТ ПЕР ДВ ОП ПР ЗЛ</t>
  </si>
  <si>
    <t>KIA MENTOR/SEPHIA 1994-1998  СТ ЗАДН ДВ ОП ПР ЗЛ</t>
  </si>
  <si>
    <t>KIA MENTOR/SEPHIA 1994-1998  СТ ФОРТ ЗАДН НЕП ПР ЗЛ</t>
  </si>
  <si>
    <t>SPECTRA 1998-</t>
  </si>
  <si>
    <t>1998-2011</t>
  </si>
  <si>
    <t>KIA SPECTRA 1998- СТ ВЕТР ЗЛ</t>
  </si>
  <si>
    <t>KIA SPECTRA 1998- СТ ВЕТР ЗЛГЛ</t>
  </si>
  <si>
    <t>KIA SHUMA 5D/SEPHIA 4D 1998- СТ ВЕТР</t>
  </si>
  <si>
    <t>KIA SPECTRA 1998- СТ ВЕТР ЗЛГЛ+ИЗМ ДЕР ЗЕРК</t>
  </si>
  <si>
    <t>KIA SPECTRA 1998- МОЛД  ДЛЯ СТ ВЕТР</t>
  </si>
  <si>
    <t>KIA SPECTRA ХБ 1998- СТ ЗАДН ЗЛ</t>
  </si>
  <si>
    <t>KIA SPECTRA 1998- СТ ПЕР ДВ ОП ПР ЗЛ</t>
  </si>
  <si>
    <t>KIA SPECTRA 1998- СТ ПЕР ДВ ОП ЛВ ЗЛ</t>
  </si>
  <si>
    <t>KIA SPECTRA 1998- СТ ЗАДН ДВ ОП ПР ЗЛ</t>
  </si>
  <si>
    <t>KIA SPECTRA 1998- СТ ЗАДН ДВ ОП ЛВ ЗЛ</t>
  </si>
  <si>
    <t>SORENTO 2002-</t>
  </si>
  <si>
    <t>KIA SORENTO 5Д 2002-  СТ ВЕТР ЗЛ/KIA SORENTO 5Д 2002-  СТ ВЕТР ЗЛ</t>
  </si>
  <si>
    <t>KIA SORENTO 5Д 2002-  СТ ВЕТР ЗЛГЛ/KIA SORENTO 5Д 2002-  СТ ВЕТР ЗЛГЛ</t>
  </si>
  <si>
    <t>KIA SORENTO 5Д 2002-  СТ ВЕТР ЗЛГЛ ЭО</t>
  </si>
  <si>
    <t>KIA SORENTO 5Д 2002-  СТ ВЕТР ЗЛГЛ ЭО+ДД/ДС</t>
  </si>
  <si>
    <t>KIA SORENTO 5Д 2002-  МОЛД  ДЛЯ СТ ВЕТР</t>
  </si>
  <si>
    <t>KIA SORENTO 5Д ВН 2002-  СТ ЗАДН ЗЛ+АНТ+ОТКР+УО</t>
  </si>
  <si>
    <t>KIA SORENTO 5Д ВН 2002-  СТ ЗАДН ЗЛ ОТКР+УО</t>
  </si>
  <si>
    <t>KIA SORENTO 5Д 2002-  СТ ПЕР ДВ ОП ЛВ ЗЛ</t>
  </si>
  <si>
    <t>KIA SORENTO 5Д 2002-  СТ ЗАДН ДВ ОП ЛВ ЗЛ</t>
  </si>
  <si>
    <t>KIA SORENTO 5Д 2002-  СТ ФОРТ ЗАДН НЕП ЛВ ЗЛ</t>
  </si>
  <si>
    <t>KIA SORENTO 5Д 2002-  СТ ЗАДН ДВ ОП ЛВ ТЗЛ+УО</t>
  </si>
  <si>
    <t>KIA SORENTO 5Д 2002-  СТ ПЕР ДВ ОП ПР ЗЛ</t>
  </si>
  <si>
    <t>KIA SORENTO 5Д 2002-  СТ ПЕР ДВ ОП ПР ЗЛ+УО</t>
  </si>
  <si>
    <t>KIA SORENTO 5Д 2002-  СТ ЗАДН ДВ ОП ПР ЗЛ</t>
  </si>
  <si>
    <t>KIA SORENTO 5Д 2002-  СТ ЗАДН ДВ ОП ПР ЗЛ+УО</t>
  </si>
  <si>
    <t>KIA SORENTO 5Д 2002-  СТ ФОРТ ЗАДН НЕП ПР ЗЛ</t>
  </si>
  <si>
    <t>KIA SORENTO 5Д 2002-  СТ ЗАДН ДВ ОП ПР ТЗЛ+УО</t>
  </si>
  <si>
    <t>SORENTO 2010-</t>
  </si>
  <si>
    <t>KIA SORENTO 10- СТ ВЕТР ЗЛ+ЭО+VIN</t>
  </si>
  <si>
    <t>KIA SORENTO 10- СТ ВЕТР ЗЛ+ЭО+ДД+VIN</t>
  </si>
  <si>
    <t>KIA SORENTO 10- СТ ВЕТР ЗЛГЛ+ЭО+ДД+VIN</t>
  </si>
  <si>
    <t>SOUL 2009-</t>
  </si>
  <si>
    <t>KIA SOUL 09-СТ ВЕТР ЗЛ</t>
  </si>
  <si>
    <t>SPORTAGE 1994-2004</t>
  </si>
  <si>
    <t>KIA SPORTAGE 1994-2004  СТ ВЕТР ЗЛГЛ</t>
  </si>
  <si>
    <t>KIA SPORTAGE 1994-2004  МОЛД  ДЛЯ СТ ВЕТР</t>
  </si>
  <si>
    <t>KIA SPORTAGE ВН 1994-2004  СТ ЗАДН ЭО ЗЛ</t>
  </si>
  <si>
    <t>KIA SPORTAGE 1994-2004  СТ ПЕР ДВ ОП ЛВ ЗЛ</t>
  </si>
  <si>
    <t>KIA SPORTAGE 1997-2004  СТ ПЕР ДВ ОП ЛВ ЗЛ</t>
  </si>
  <si>
    <t>KIA SPORTAGE 1994-2004  СТ ЗАДН ДВ ОП ЛВ ЗЛ</t>
  </si>
  <si>
    <t>KIA SPORTAGE 1994-2004  СТ БОК НЕП ЛВ ЗЛ</t>
  </si>
  <si>
    <t>KIA SPORTAGE 1994-2004  СТ ФОРТ ЗАДН НЕП ЛВ ЗЛ</t>
  </si>
  <si>
    <t>KIA SPORTAGE 1997-2004  СТ ПЕР ДВ ОП ПР ЗЛ</t>
  </si>
  <si>
    <t>KIA SPORTAGE 1994-2004  СТ ЗАДН ДВ ОП ПР ЗЛ</t>
  </si>
  <si>
    <t>KIA SPORTAGE 1994-2004  СТ БОК НЕП ПР ЗЛ</t>
  </si>
  <si>
    <t>KIA SPORTAGE 1994-2004  СТ ФОРТ ЗАДН НЕП ПР ЗЛ</t>
  </si>
  <si>
    <t>KIA SPORTAGE 94- СТ ПЕР ДВ ОП ПР ЗЛ</t>
  </si>
  <si>
    <t>SPORTAGE 2004-</t>
  </si>
  <si>
    <t>KIA SPORTAGE 2004-  СТ ВЕТР ЗЛ</t>
  </si>
  <si>
    <t>KIA SPORTAGE 2004-  СТ ВЕТР СЗЛГЛ</t>
  </si>
  <si>
    <t>KIA SPORTAGE 2004-  СТ ВЕТР СЗЛГЛ+ЭО</t>
  </si>
  <si>
    <t>KIA SPORTAGE 2004-  МОЛД  ДЛЯ СТ ВЕТР ВЕРХ</t>
  </si>
  <si>
    <t>KIA SPORTAGE 2004-  СТ ПЕР ДВ ОП ЛВ СЗЛ+УО</t>
  </si>
  <si>
    <t>KIA SPORTAGE 2004-  СТ ЗАДН ДВ ОП ЛВ СЗЛ+УО</t>
  </si>
  <si>
    <t>KIA SPORTAGE 2004-  СТ ПЕР ДВ ОП ПР СЗЛ+УО</t>
  </si>
  <si>
    <t>KIA SPORTAGE 2004-  СТ ЗАДН ДВ ОП ПР СЗЛ+УО</t>
  </si>
  <si>
    <t>SPORTAGE 2010-</t>
  </si>
  <si>
    <t>KIA Sportage 10- СТ ВЕТР ЗЛГЛ+ЭО+ДД+VIN</t>
  </si>
  <si>
    <t>KIA Sportage 10- СТ ВЕТР ЗЛГЛ+VIN</t>
  </si>
  <si>
    <t>KIA SPORTAGE 10- СТ ВЕТР ЗЛГЛ+ЭО+VIN</t>
  </si>
  <si>
    <t>KIA SPORTAGE 10- СТ ВЕТР ЗЛГЛ+ДД+VIN</t>
  </si>
  <si>
    <t>KIA SPORTAGE 10- СТ ЗАДН ЗЛ+СТОП</t>
  </si>
  <si>
    <t>BESTA VAN 1994-1999</t>
  </si>
  <si>
    <t>KIA BESTA 1994-1999  СТ ВЕТР</t>
  </si>
  <si>
    <t>VENGA 2009-</t>
  </si>
  <si>
    <t>KIA VENGA 2009- СТ ВЕТР ЭО+VIN</t>
  </si>
  <si>
    <t>LANCIA</t>
  </si>
  <si>
    <t>DEDRA 1990-/DELTA 1993-1997</t>
  </si>
  <si>
    <t>1990-1997</t>
  </si>
  <si>
    <t>LANCIA DEDRA 1990- /DELTA 1993-1997  СТ ВЕТР ГЛЗЛ</t>
  </si>
  <si>
    <t>LANCIA DEDRA 1990- /DELTA 1993-1997  СТ ВЕТР ЗЛЗЛ/ALFAROMEO ALFA 155 1992-1998  СТ ВЕТР ЗЛЗЛ</t>
  </si>
  <si>
    <t>LANCIA DEDRA 1990- /DELTA 1993-1997  МОЛД  ДЛЯ СТ ВЕТР</t>
  </si>
  <si>
    <t>LANCIA DEDRA 1990-1997  СТ БОК НЕП ЛВ ЗЛ</t>
  </si>
  <si>
    <t>LANCIA DEDRA 1990-1997  СТ ЗАДН ДВ ОП ПР ГЛ+ФИТ</t>
  </si>
  <si>
    <t>LANCIA DEDRA 1990-1997  СТ ПЕР ДВ ОП ПР ЗЛ+ФИТ</t>
  </si>
  <si>
    <t>LANCIA DEDRA 1990-1997  СТ ФОРТ ЗАДН НЕП ПР ЗЛ</t>
  </si>
  <si>
    <t>DELTA 1987-1993</t>
  </si>
  <si>
    <t>LANCIA DELTA/PRISMA 2 1987-1993 СТ ВЕТР БР</t>
  </si>
  <si>
    <t>LANCIA DELTA/PRISMA 2 1987-1993 СТ ВЕТР ЗЛ</t>
  </si>
  <si>
    <t>LANCIA DELTA/PRISMA 2 1987-1993 СТ ПЕР ДВ ОП ЛВ ЗЛ/LANCIA DELTA/PRISMA 1980-1987 СТ ПЕР ДВ ОП ЛВ ЗЛ</t>
  </si>
  <si>
    <t>LANCIA DELTA/PRISMA 2 1987-1993 СТ ПЕР ДВ ОП ПР ЗЛ/LANCIA DELTA/PRISMA 1980-1987 СТ ПЕР ДВ ОП ПР ЗЛ</t>
  </si>
  <si>
    <t>DELTA/PRISMA 1980-1987</t>
  </si>
  <si>
    <t>1980-1987</t>
  </si>
  <si>
    <t>LANCIA DELTA/PRISMA 1980-1987 СТ ВЕТР ЗЛ</t>
  </si>
  <si>
    <t>KAPPA КП 1997-2001</t>
  </si>
  <si>
    <t>LANCIA KAPPA КУП 1997-2001  СТ ВЕТР ГЛ+КЛ+УО</t>
  </si>
  <si>
    <t>LANCIA KAPPA КУП 1997-2001  СТ ЗАДН ГЛ+АНТ+СТОП+УО</t>
  </si>
  <si>
    <t>LANCIA KAPPA КУП 1997-2001  СТ ПЕР ДВ ОП ЛВ ГЛ</t>
  </si>
  <si>
    <t>LANCIA KAPPA КУП 1997-2001  СТ БОК НЕП ЛВ ГЛ</t>
  </si>
  <si>
    <t>LANCIA KAPPA КУП 1997-2001  СТ ПЕР ДВ ОП ПР ГЛ</t>
  </si>
  <si>
    <t>LANCIA KAPPA КУП 1997-2001  СТ БОК НЕП ПР ГЛ</t>
  </si>
  <si>
    <t>KAPPA УН, СД 1994-2001</t>
  </si>
  <si>
    <t>LANCIA KAPPA 1994-2001  СТ ВЕТР ГЛ+ИНК</t>
  </si>
  <si>
    <t>LANCIA KAPPA 1994-2001  СТ ВЕТР ЗЛ+ИНК</t>
  </si>
  <si>
    <t>LANCIA KAPPA СД 1994-2001  СТ ЗАДН ГЛ+АНТ+ИНК</t>
  </si>
  <si>
    <t>LANCIA KAPPA 1994-2001  СТ ПЕР ДВ ОП ЛВ ГЛ</t>
  </si>
  <si>
    <t>LANCIA KAPPA 1994-2001  СТ ЗАДН ДВ ОП ЛВ ГЛ</t>
  </si>
  <si>
    <t>LANCIA KAPPA СД 1996-2001 /УН 1996-2001  СТ ФОРТ ЗАДН НЕП ЛВ ЗЛ+ИНК</t>
  </si>
  <si>
    <t>LANCIA KAPPA 1994-2001  СД 4Д СТ ФОРТ ЗАДН НЕП ЛВ ЗЛ+ИНК</t>
  </si>
  <si>
    <t>LANCIA KAPPA 1994-2001  СТ ПЕР ДВ ОП ПР ГЛ</t>
  </si>
  <si>
    <t>LANCIA KAPPA 1994-2001  СТ ЗАДН ДВ ОП ПР ГЛ</t>
  </si>
  <si>
    <t>LANCIA KAPPA СД 1996-2001 /УН 1996-2001  СТ ФОРТ ЗАДН НЕП ПР ЗЛ+ИНК</t>
  </si>
  <si>
    <t>LANCIA KAPPA 1994-2001 СД 4Д СТ ФОРТ ЗАДН НЕП ПР ЗЛ+ИНК</t>
  </si>
  <si>
    <t>LYBRA 1999-2005</t>
  </si>
  <si>
    <t>LANCIA LYBRA 1999-2005  СТ ВЕТР ЗЛ+ИЗМ ДД</t>
  </si>
  <si>
    <t>LANCIA LYBRA 1999-2005  СТ ВЕТР ЗЛЗЛ</t>
  </si>
  <si>
    <t>MUSA MPV 2004-</t>
  </si>
  <si>
    <t>LANCIA MUSA МИН 2004-  СТ ВЕТР ЗЛ/FIAT IDEA 2003-/LANCIA MUSA 2004-  СТ ВЕТР ЗЛ</t>
  </si>
  <si>
    <t>LANCIA MUSA МИН 2004-  СТ ВЕТР ЗЛЗЛ/FIAT IDEA МИН 2004- СТ ВЕТР ЗЛЗЛ</t>
  </si>
  <si>
    <t>LANCIA MUSA МИН 2004-  СТ ВЕТР ЗЛ+ДД/FIAT IDEA 2003-/LANCIA MUSA 2004- СТ ВЕТР ЗЛ+ДД</t>
  </si>
  <si>
    <t>LANCIA MUSA МИН 2004-  СТ ВЕТР ЗЛ+VIN/FIAT IDEA 2003-/LANCIA MUSA 2004- СТ ВЕТР ЗЛ+VIN</t>
  </si>
  <si>
    <t>LANCIA MUSA МИН 2004-  СТ ЗАДН ТЗЛ+УО</t>
  </si>
  <si>
    <t>LANCIA MUSA МИН 2004-  СТ ЗАДН ЗЛ УО</t>
  </si>
  <si>
    <t>LANCIA MUSA MPV 2004-  СТ ЗАДН ДВ ОП ЛВ ТЗЛ+УО/LANCIA MUSA MPV 2004-  СТ ЗАДН ДВ ОП ЛВ ТЗЛ+УО</t>
  </si>
  <si>
    <t>LANCIA MUSA MPV 2004-  СТ ЗАДН НЕП ЛВ ТЗЛ+ИНК/FIAT IDEA MPV 2004- СТ БОК НЕП ЛВ ТЗЛ+ИНК</t>
  </si>
  <si>
    <t>LANCIA MUSA MPV 2004-  СТ ПЕР ДВ ОП ЛВ ЗЛ+УО/FIAT IDEA 2003-/LANCIA MUSA 2004- СТ ПЕР ДВ ОП ЛВ ЗЛ+УО</t>
  </si>
  <si>
    <t>LANCIA MUSA MPV 2004-  СТ БОК ПЕР НЕП ЛВ ЗЛ+АНТ+УО/FIAT IDEA 2003-/LANCIA MUSA 2004- СТ ПЕР НЕП ЛВ ЗЛ+АНТ+УО</t>
  </si>
  <si>
    <t>LANCIA MUSA MPV 2004-  СТ ЗАДН ДВ ОП ЛВ ЗЛ+УО/FIAT IDEA 2003-/LANCIA MUSA 2004- СТ ЗАДН ОП ЛВ ЗЛ+УО</t>
  </si>
  <si>
    <t>LANCIA MUSA MPV 2004-  СТ БОК НЕП ЛВ ЗЛ+ИНК/FIAT IDEA 2003-/LANCIA MUSA 2004- СТ БОК НЕП ЛВ ЗЛ+ИНК</t>
  </si>
  <si>
    <t>LANCIA MUSA MPV 2004-  СТ ЗАДН ДВ ОП ПР ТЗЛ+УО/LANCIA MUSA MPV 2004- СТ ЗАДН ДВ ОП ПР ТЗЛ+УО</t>
  </si>
  <si>
    <t>LANCIA MUSA MPV 2004-  СТ ЗАДН НЕП ПР ТЗЛ+ИНК/FIAT IDEA MPV 2004- СТ БОК НЕП ПР ТЗЛ+ИНК</t>
  </si>
  <si>
    <t>LANCIA MUSA MPV 2004-  СТ ПЕР ДВ ОП ПР ЗЛ+УО/FIAT IDEA 2003-/LANCIA MUSA 2004- СТ ПЕР ДВ ОП ПР ЗЛ+УО</t>
  </si>
  <si>
    <t>LANCIA MUSA MPV 2004-  СТ БОК ПЕР ДВ НЕП ПР ЗЛ+УО/FIAT IDEA 2003-/LANCIA MUSA 2004- СТ ПЕР НЕП ПР ЗЛ+УО</t>
  </si>
  <si>
    <t>LANCIA MUSA MPV 2004-  СТ ЗАДН ДВ ОП ПР ЗЛ+УО/FIAT IDEA 2003-/LANCIA MUSA 2004- СТ ЗАДН ОП ПР ЗЛ+УО</t>
  </si>
  <si>
    <t>LANCIA MUSA MPV 2004-  СТ БОК НЕП ПР ЗЛ+УО/FIAT IDEA 2003-/LANCIA MUSA 2004- СТ БОК НЕП ПР ЗЛ+ИНК</t>
  </si>
  <si>
    <t>PHEDRA 2002-</t>
  </si>
  <si>
    <t>LANCIA PHEDRA 2002-  СТ ВЕТР ГЛ+ДД+VIN+ИНК</t>
  </si>
  <si>
    <t>LANCIA PHEDRA 2005/12- СТ ВЕТР ГЛ+VIN+ИНК+ИЗМ ДД</t>
  </si>
  <si>
    <t>LANCIA PHEDRA 2005/12- СТ ВЕТР ЗЛ+ДД+VIN+ИНК/FIAT ULYSSE 2002- СТ ВЕТР ЗЛ+VIN+ИНК+ДД ИЗМ</t>
  </si>
  <si>
    <t>THEMA 1985-1994</t>
  </si>
  <si>
    <t>1985-1995</t>
  </si>
  <si>
    <t>LANCIA THEMA СД+УН 1985-1994 СТ ВЕТР ГЛЗЛ</t>
  </si>
  <si>
    <t>LANCIA THEMA СД+УН 1985-1994 СТ ВЕТР ЗЛЗЛ</t>
  </si>
  <si>
    <t>THESIS 2001-</t>
  </si>
  <si>
    <t>LANCIA THESIS 2001-  СТ ВЕТР ГЛГЛ ЭО+ДД+УО</t>
  </si>
  <si>
    <t>LANCIA THESIS 2001-  СТ ВЕТР ГЛ ЭО+ДД+УО</t>
  </si>
  <si>
    <t>LANCIA THESIS СД 2002-  СТ ЗАДН ГЛ+АНТ+ТВ АНТ+СТОП+УО</t>
  </si>
  <si>
    <t>LANCIA THESIS СД 2002-  СТ ЗАДН ГЛ+АНТ+СТОП+УО</t>
  </si>
  <si>
    <t>LANCIA THESIS 2002-  СТ ЗАДН ДВ НЕП ЛВ ТГЛ+УО</t>
  </si>
  <si>
    <t>LANCIA THESIS 2001-  СТ ЗАДН ДВ ОП ТРИПЛ ЛВ ТГЛ+УО</t>
  </si>
  <si>
    <t>LANCIA THESIS 2002-  СТ ЗАДН ДВ ОП ЛВ ТГЛ+УО</t>
  </si>
  <si>
    <t>LANCIA THESIS 2002-  СТ ПЕР ДВ ОП ЛВ ГЛ</t>
  </si>
  <si>
    <t>LANCIA THESIS 2001-  СТ ПЕР ДВ ОП ТРИПЛ ЛВ ГЛ+УО</t>
  </si>
  <si>
    <t>LANCIA THESIS 2001-  СТ ЗАДН ДВ ОП ТРИПЛ ЛВ ГЛ+УО</t>
  </si>
  <si>
    <t>LANCIA THESIS 2002-  СТ ЗАДН ДВ ОП ЛВ ГЛ+УО</t>
  </si>
  <si>
    <t>LANCIA THESIS 2002-  СТ ЗАДН ДВ НЕП ЛВ ГЛ+УО</t>
  </si>
  <si>
    <t>LANCIA THESIS 2002-  СТ ЗАДН ДВ НЕП ПР ТГЛ+УО</t>
  </si>
  <si>
    <t>LANCIA THESIS 2001-  СТ ЗАДН ДВ ОП ТРИПЛ ПР ТГЛ+УО</t>
  </si>
  <si>
    <t>LANCIA THESIS 2002-  СТ ЗАДН ДВ ОП ПР ТГЛ+УО</t>
  </si>
  <si>
    <t>LANCIA THESIS 2002-  СТ ПЕР ДВ ОП ПР ГЛ</t>
  </si>
  <si>
    <t>LANCIA THESIS 2001-  СТ ПЕР ДВ ОП ТРИПЛ ПР ГЛ+УО</t>
  </si>
  <si>
    <t>LANCIA THESIS 2001-  СТ ЗАДН ДВ ОП ТРИПЛ ПР ГЛ+УО</t>
  </si>
  <si>
    <t>LANCIA THESIS 2002-  СТ ЗАДН ДВ ОП ПР ГЛ+УО</t>
  </si>
  <si>
    <t>LANCIA THESIS 2002-  СТ ЗАДН ДВ НЕП ПР ГЛ+УО</t>
  </si>
  <si>
    <t>Y 1996-2003</t>
  </si>
  <si>
    <t>LANCIA Y11 1996-2003  СТ ВЕТР ЗЛ</t>
  </si>
  <si>
    <t>LANCIA Y11 1996-2003  МОЛД  ДЛЯ СТ ВЕТР ВЕРХ</t>
  </si>
  <si>
    <t>LANCIA Y10 ХБ 1996-2003  СТ ЗАДН ГЛ+СТОП+УО</t>
  </si>
  <si>
    <t>LANCIA Y11 1996-2003  СТ ПЕР ДВ ОП ЛВ ЗЛ+ФИТ</t>
  </si>
  <si>
    <t>LANCIA Y11 1996-2003  СТ БОК ПОД ЛВ ЗЛ+ФИТ+ОТКР</t>
  </si>
  <si>
    <t>LANCIA Y11 1996-2003  СТ ПЕР ДВ ОП ПР ЗЛ+ФИТ</t>
  </si>
  <si>
    <t>LANCIA Y11 1996-2003  СТ БОК ПОД ПР ЗЛ+ФИТ+ОТКР</t>
  </si>
  <si>
    <t>Y10 1985-1995</t>
  </si>
  <si>
    <t>LANCIA Y10 1985-1995  СТ ВЕТР</t>
  </si>
  <si>
    <t>LANCIA Y10 1985-1995  СТ ВЕТР ЗЛ ИЗМ 1992</t>
  </si>
  <si>
    <t>LANCIA Y10 1985-1995  МОЛД  ДЛЯ СТ ВЕТР</t>
  </si>
  <si>
    <t>LANCIA Y10 ХБ 1985-1995  СТ ЗАДН ЭО ЗЛ ИЗМ 1992</t>
  </si>
  <si>
    <t>LANCIA Y10 1985-1995  СТ ПЕР ДВ ОП ЛВ ЗЛ+ФИТ</t>
  </si>
  <si>
    <t>LANCIA Y10 1985-1995  СТ ПЕР ДВ ОП ПР ЗЛ+ФИТ</t>
  </si>
  <si>
    <t>YPSILON 2003-</t>
  </si>
  <si>
    <t>LANCIA YPSILON 2003-  СТ ВЕТР ЗЛ</t>
  </si>
  <si>
    <t>LANCIA YPSILON 2003-  СТ ВЕТР ЗЛ+ДД</t>
  </si>
  <si>
    <t>Z (DZETA) 1995-2002</t>
  </si>
  <si>
    <t>LANCIA Z (DZETA) 1995-2002  СТ ВЕТР ГЛ</t>
  </si>
  <si>
    <t>LANCIA Z (DZETA) 1995-2002  СТ ВЕТР/CITROEN EVASION 1994- /PG JUMPY 1996-  СТ ВЕТР</t>
  </si>
  <si>
    <t>LANCIA Z (DZETA) 1995-2002  СТ ВЕТР ЗЛ/CITROEN EVASION 1994- /PG JUMPY 1996-  СТ ВЕТР ЗЛ</t>
  </si>
  <si>
    <t>LANCIA Z (DZETA) 1995-2002 МОЛД  ДЛЯ СТ ВЕТР</t>
  </si>
  <si>
    <t>LANCIA Z (DZETA) МИН 1995-2002  СТ ЗАДН ЭО ГЛ ОТВ+СТОП</t>
  </si>
  <si>
    <t>LANCIA Z (DZETA) 1995-2002  СТ ПЕР НЕП ЛВ ГЛ</t>
  </si>
  <si>
    <t>LANCIA Z (DZETA) 1995-2002  СТ БОК ПОД ЛВ ГЛ+ОТКР</t>
  </si>
  <si>
    <t>LANCIA Z (DZETA) 1995-2002  СТ ПЕР НЕП ПР ГЛ</t>
  </si>
  <si>
    <t>LANCIA Z (DZETA) 1995-2002  СТ БОК ПОД ПР ГЛ+ОТКР</t>
  </si>
  <si>
    <t>ROVER</t>
  </si>
  <si>
    <t>DEFENDER 83-</t>
  </si>
  <si>
    <t>1983-</t>
  </si>
  <si>
    <t>ROVER DEFENDER 1983- /COUNTY 1983-  СТ ВЕТР</t>
  </si>
  <si>
    <t>ROVER DEFENDER 1983- /COUNTY 1983- РЕЗ ПРОФ ДЛЯ СТ ВЕТР</t>
  </si>
  <si>
    <t>LANDROVER</t>
  </si>
  <si>
    <t>DISCOVERY I 09.1989-02.1994</t>
  </si>
  <si>
    <t>LANDROVER DISCOVERY 3Д+5Д 1989-1994 СТ ВЕТР ЗЛ</t>
  </si>
  <si>
    <t>LANDROVER DISCOVERY 1989-1994 СТ ПЕР ДВ ОП ЛВ ЗЛ/RANGE ROVER 5Д 1970-1974 СТ ПЕР ДВ ОП ЛВ ЗЛ</t>
  </si>
  <si>
    <t>LANDROVER DISCOVERY 1989-1994 СТ ПЕР ДВ ОП ПР ЗЛ/RANGE ROVER 5Д 1970-1974 СТ ПЕР ДВ ОП ПР ЗЛ+ЭО</t>
  </si>
  <si>
    <t>DISCOVERY 03.1994-1998</t>
  </si>
  <si>
    <t>LANDROVER DISCOVERY 3Д+5Д 1994-1998  СТ ВЕТР ЗЛ+КР</t>
  </si>
  <si>
    <t>LANDROVER DISCOVERY 3Д+5Д 06/1995-1998 СТ ВЕТР ЗЛ+КР</t>
  </si>
  <si>
    <t>LANDROVER DISCOVERY 3Д+5Д 06/1995-1998  СТ ВЕТР ЗЛ ЭО</t>
  </si>
  <si>
    <t>LANDROVER DISCOVERY 1994-1998 3Д СТ ПЕР ДВ ОП ЛВ ЗЛ/RANGE ROVER 5Д 1970-1974 СТ ПЕР ДВ ОП ЛВ ЗЛ</t>
  </si>
  <si>
    <t>LANDROVER DISCOVERY 1994-1998 3Д СТ ПЕР ДВ ОП ПР ЗЛ/RANGE ROVER 5Д 1970-1974 СТ ПЕР ДВ ОП ПР ЗЛ+ЭО</t>
  </si>
  <si>
    <t>DISCOVERY II 10.1998-2004</t>
  </si>
  <si>
    <t>LANDROVER DISCOVERY II 1998-2004  СТ ВЕТР ЗЛ</t>
  </si>
  <si>
    <t>LANDROVER DISCOVERY II 1998-2004 СТ ВЕТР ЗЛ ЭО</t>
  </si>
  <si>
    <t>LANDROVER DISCOVERY II 1998-2004 СТ ВЕТР ЭО ЗЛ ЭО VIN</t>
  </si>
  <si>
    <t>LANDROVER DISCOVERY II ВН 1998-2004  СТ ЗАДН ЗЛ+СТОП+УО</t>
  </si>
  <si>
    <t>LANDROVER DISCOVERY II 1998-2004  СТ ПЕР ДВ ОП ЛВ ЗЛ</t>
  </si>
  <si>
    <t>LANDROVER DISCOVERY II 1998-2004  СТ ЗАДН ДВ ОП ЛВ ЗЛ</t>
  </si>
  <si>
    <t>LANDROVER DISCOVERY II 1998-2004  СТ ПЕР ДВ ОП ПР ЗЛ</t>
  </si>
  <si>
    <t>LANDROVER DISCOVERY II 1998-2004  СТ ЗАДН ДВ ОП ПР ЗЛ</t>
  </si>
  <si>
    <t>LANDROVER DISCOVERY II 1998-2004  СТ ФОРТ ЗАДН НЕП ПР ЗЛ</t>
  </si>
  <si>
    <t>DISCOVERY III 2004-</t>
  </si>
  <si>
    <t>LANDROVER DISCOVERY III L319 2004-  СТ ВЕТР ЗЛ ЭО+ДД+VIN+УО+ИЗМ КР</t>
  </si>
  <si>
    <t>LANDROVER DISCOVERY III L319 2004-  СТ ВЕТР ЗЛ+ОБОГР</t>
  </si>
  <si>
    <t>LANDROVER DISCOVERY III L319 2004-  СТ ВЕТР ЗЛ ЭО+VIN+УО</t>
  </si>
  <si>
    <t>LANDROVER DISCOVERY III L319 2004-  СТ ВЕТР ЗЛ+ДД+VIN+УО+ИЗМ КР</t>
  </si>
  <si>
    <t>LANDROVER DISCOVERY III L319 2004-  СТ ВЕТР ЗЛ+VIN+УО</t>
  </si>
  <si>
    <t>LANDROVER DISCOVERY III L319 ВН 2004- СТЕК ЗАДН ЗЛ+АНТ</t>
  </si>
  <si>
    <t>LANDROVER DISCOVERY III L319 2004-  СТ ЗАДН ДВ ОП ЛВ ТЗЛ+УО</t>
  </si>
  <si>
    <t>LANDROVER DISCOVERY III L319 2004-  СТ БОК НЕП ЛВ ТЗЛ</t>
  </si>
  <si>
    <t>LANDROVER DISCOVERY III L319 2004-  СТ ПЕР ДВ ОП ЛВ ЗЛ+УО</t>
  </si>
  <si>
    <t>LANDROVER DISCOVERY III L319 2004- СТ ЗАДН ДВ ОП ЛВ ЗЛ+УО</t>
  </si>
  <si>
    <t>LANDROVER DISCOVERY III L319 2004-  СТ БОК НЕП ЛВ ЗЛ</t>
  </si>
  <si>
    <t>LANDROVER DISCOVERY III L319 2004-  СТ БОК НЕП ЛВ ЗЛ+АНТ+ТВ АНТ</t>
  </si>
  <si>
    <t>LANDROVER DISCOVERY III L319 2004-  СТ БОК НЕП ПР ТЗЛ+АНТ+ТВ АНТ</t>
  </si>
  <si>
    <t>LANDROVER DISCOVERY III L319 2004-  СТ ПЕР ДВ ОП ПР ЗЛ+УО</t>
  </si>
  <si>
    <t>LANDROVER DISCOVERY III L319 2004- СТ ЗАДН ДВ ОП ПР ЗЛ+УО</t>
  </si>
  <si>
    <t>LANDROVER DISCOVERY III L319 2004-  СТ БОК НЕП ПР ЗЛ+АНТ</t>
  </si>
  <si>
    <t>LANDROVER DISCOVERY III L319 2004-  СТ БОК НЕП ПР ЗЛ+АНТ+ТВ АНТ</t>
  </si>
  <si>
    <t>FREELANDER 1997-</t>
  </si>
  <si>
    <t>LANDROVER FREELANDER 1997-  СТ ВЕТР ЗЛ ЭО+VIN+УО</t>
  </si>
  <si>
    <t>LANDROVER FREELANDER 1997-  СТ ВЕТР ЗЛ+VIN+ФИТ</t>
  </si>
  <si>
    <t>LANDROVER FREELANDER 1997-  МОЛД ДЛЯ СТ ВЕТР  БЕЗ АЛЮМ ВСТ</t>
  </si>
  <si>
    <t>LANDROVER FREELANDER ВН 1997-  СТ ЗАДН ЭО ЗЛ</t>
  </si>
  <si>
    <t>LANDROVER FREELANDER ВН 1999-  СТ ЗАДН ЗЛ+ИЗМ ЭО</t>
  </si>
  <si>
    <t>LANDROVER FREELANDER 1997-  СТ ПЕР ДВ ОП ЛВ ЗЛ</t>
  </si>
  <si>
    <t>LANDROVER FREELANDER 2002-  3Д СТ ЗАДН НЕП ЛВ ЗЛ ОТКР+УО</t>
  </si>
  <si>
    <t>LANDROVER FREELANDER 1997-  СТ ЗАДН ДВ ОП ЛВ ЗЛ</t>
  </si>
  <si>
    <t>LANDROVER FREELANDER 1997-  СТ БОК НЕП ЛВ ЗЛ</t>
  </si>
  <si>
    <t>LANDROVER FREELANDER 1997-  СТ ПЕР ДВ ОП ПР ЗЛ</t>
  </si>
  <si>
    <t>LANDROVER FREELANDER SOFTTOP 1997-  СТ ЗАДН НЕП ПР ЗЛ</t>
  </si>
  <si>
    <t>LANDROVER FREELANDER 2002-  3Д СТ ЗАДН НЕП ПР ТЗЛ ОТКР+УО</t>
  </si>
  <si>
    <t>LANDROVER FREELANDER 1997-  СТ ЗАДН ДВ ОП ПР ЗЛ</t>
  </si>
  <si>
    <t>LANDROVER FREELANDER 1997-  СТ БОК НЕП ПР ЗЛ</t>
  </si>
  <si>
    <t>FREELANDER 2006-</t>
  </si>
  <si>
    <t>LANDROVER FREELANDER 2006-  СТ ВЕТР ЗЛ ЭО+ДД+VIN+УО</t>
  </si>
  <si>
    <t>LANDROVER FREELANDER 2006-  СТ ВЕТР ЗЛ+ДД+VIN+УО</t>
  </si>
  <si>
    <t>LANDROVER FREELANDER 2006- СТ ПЕР ДВ ОП ЛВ ЗЛ</t>
  </si>
  <si>
    <t>LANDROVER FREELANDER 2006- СТ ЗАДН ДВ ОП ЛВ ЗЛ</t>
  </si>
  <si>
    <t>LANDROVER FREELANDER 2006- СТ ПЕР ДВ ОП ПР ЗЛ</t>
  </si>
  <si>
    <t>LANDROVER FREELANDER 2006- СТ ЗАДН ДВ ОП ПР ЗЛ</t>
  </si>
  <si>
    <t>RANGE</t>
  </si>
  <si>
    <t>RANGE ROVER SPORT L320 2005-</t>
  </si>
  <si>
    <t>2005-2012</t>
  </si>
  <si>
    <t>RANGE ROVER L320 2005-  СТ ВЕТР ЗЛ ЭО+ДД+VIN+УО</t>
  </si>
  <si>
    <t>RANGE ROVER L320 2005-  СТ ВЕТР ЗЛ ЭО+VIN+УО</t>
  </si>
  <si>
    <t>RANGE ROVER L320 2005-  СТ ВЕТР ЗЛ+ДД+VIN+УО</t>
  </si>
  <si>
    <t>RANGE ROVER L320 2005-  СТ ВЕТР ЗЛ+VIN+УО</t>
  </si>
  <si>
    <t>RANGE ROVER L320 2005-  СТ ЗАДН ДВ ОП ЛВ ТЗЛ+УО</t>
  </si>
  <si>
    <t>RANGE ROVER L320 2005-  СТ ПЕР ДВ ОП ЛВ ЗЛ+УО</t>
  </si>
  <si>
    <t>RANGE ROVER L320 2005-  СТ ЗАДН ДВ ОП ПР ТЗЛ+УО</t>
  </si>
  <si>
    <t>RANGE ROVER L320 2005-  СТ ПЕР ДВ ОП ПР ЗЛ+УО</t>
  </si>
  <si>
    <t>RANGE ROVER L320 2005-  СТ ЗАДН ДВ ОП ПР ЗЛ+УО</t>
  </si>
  <si>
    <t>RANGE ROVER 1970-1988</t>
  </si>
  <si>
    <t>1970-1988</t>
  </si>
  <si>
    <t>RANGE ROVER 1970-1988 СТ ВЕТР ЗЛ</t>
  </si>
  <si>
    <t>1970-1994</t>
  </si>
  <si>
    <t>RANGE ROVER 5Д 1970-1974 СТ ПЕР ДВ ОП ЛВ ЗЛ/LANDROVER DISCOVERY + 1989-1994 СТ ПЕР ДВ ОП ЛВ ЗЛ</t>
  </si>
  <si>
    <t>RANGE ROVER 5Д 1970-1974 СТ ПЕР ДВ ОП ПР ЗЛ+ЭО/LANDROVER DISCOVERY + 1989-1994 СТ ПЕР ДВ ОП ПР ЗЛ</t>
  </si>
  <si>
    <t>RANGE ROVER 09.1994-2002</t>
  </si>
  <si>
    <t>RANGE ROVER 09/1994-2002  СТ ВЕТР ЗЛ+ЭО+VIN</t>
  </si>
  <si>
    <t>RANGE ROVER 09/1994-2002  СТ ВЕТР ЗЛ+КР+VIN/RANGE ROVER 1994-2002- СТ ВЕТР ЗЛ+КР+VIN</t>
  </si>
  <si>
    <t>RANGE ROVER 09/1999-2002 СТ ВЕТР ЗЛ+КР+VIN+ЭО</t>
  </si>
  <si>
    <t>RANGE ROVER 09/1999-2002 СТ ВЕТР ЗЛ+КР+VIN</t>
  </si>
  <si>
    <t>RANGE ROVER 09/1994-2002  НАБ КЛИПС ДЛЯ СТ ВЕТР</t>
  </si>
  <si>
    <t>RANGE ROVER 09/1994-2002  МОЛД  ДЛЯ СТ ВЕТР ВЕРХ</t>
  </si>
  <si>
    <t>RANGE ROVER ВН 09/1994-2002 СТ ЗАДН ЗЛ+УО</t>
  </si>
  <si>
    <t>RANGE ROVER 09/1994-2002 СТ ПЕР ДВ ОП ЛВ ЗЛ+УО</t>
  </si>
  <si>
    <t>RANGE ROVER 09/1994-2002 СТ ЗАДН ДВ ОП ЛВ ЗЛ+УО</t>
  </si>
  <si>
    <t>RANGE ROVER 09/1994-2002 СТ ФОРТ ЗАДН НЕП ЛВ ЗЛ</t>
  </si>
  <si>
    <t>RANGE ROVER 09/1994-2002 СТ ПЕР ДВ ОП ПР ЗЛ+УО</t>
  </si>
  <si>
    <t>RANGE ROVER 09/1994-2002 СТ ЗАДН ДВ ОП ПР ЗЛ+УО</t>
  </si>
  <si>
    <t>RANGE ROVER 09/1994-2002 СТ ФОРТ ЗАДН НЕП ПР ЗЛ</t>
  </si>
  <si>
    <t>RANGE ROVER 2002-</t>
  </si>
  <si>
    <t>RANGE ROVER 11/2006- СТ ВЕТР ЗЛЗЛ+ЭО+ДД+VIN+ИЗМ ДД</t>
  </si>
  <si>
    <t>RANGE ROVER 2007- СТ ВЕТР ЗЛЗЛ АКУСТИК+ЭО+ДД+VIN</t>
  </si>
  <si>
    <t>RANGE ROVER 2002-2004  СТ ВЕТР ЗЛЗЛ ЭО+ДД+VIN+ИЗМ ШЕЛК</t>
  </si>
  <si>
    <t>RANGE ROVER 11/2006-  СТ ВЕТР ЗЛЗЛ ЭО+ДД+VIN+ИЗМ ДД</t>
  </si>
  <si>
    <t>RANGE ROVER 2002-  СТ ВЕТР ЗЛЗЛ+VIN+ЭО</t>
  </si>
  <si>
    <t>RANGE ROVER 2002-  МОЛД ДЛЯ СТ ВЕТР ВЕРХ</t>
  </si>
  <si>
    <t>RANGE ROVER ВН 2002-  СТ ЗАДН ЗЛ+АНТ</t>
  </si>
  <si>
    <t>RANGE ROVER ВН 2004-  СТ ЗАДН ЗЛ+АНТ</t>
  </si>
  <si>
    <t>RANGE ROVER 2002-  СТ ПЕР ДВ ОП ЛВ ЗЛ</t>
  </si>
  <si>
    <t>RANGE ROVER 2002-  СТ ЗАДН ДВ ОП ЛВ ЗЛ</t>
  </si>
  <si>
    <t>RANGE ROVER 2002-  СТ ФОРТ ЗАДН НЕП ЛВ ЗЛ</t>
  </si>
  <si>
    <t>RANGE ROVER 2002-  СТ ПЕР ДВ ОП ПР ЗЛ</t>
  </si>
  <si>
    <t>RANGE ROVER 2002-  СТ ЗАДН ДВ ОП ПР ЗЛ</t>
  </si>
  <si>
    <t>RANGE ROVER 2002-  СТ ФОРТ ЗАДН НЕП ПР ЗЛ</t>
  </si>
  <si>
    <t>RANGE ROVER EVOQUE 11</t>
  </si>
  <si>
    <t>RANGE ROVER EVOQUE 11 СТ ВЕТР ЗЛ+ДД+VIN</t>
  </si>
  <si>
    <t>LEXUS</t>
  </si>
  <si>
    <t>RX300/RX330/RX400 1997-2003</t>
  </si>
  <si>
    <t>LEXUS RX300 LHD 1997-2003  СТ ВЕТР ЗЛГЛ+VIN</t>
  </si>
  <si>
    <t>LEXUS RX300 LHD 1997-2003   МОЛД  ДЛЯ СТ ВЕТР ВЕРХ</t>
  </si>
  <si>
    <t>RX300/RX330/RX400 2003-2009</t>
  </si>
  <si>
    <t>LEXUS RX300 LHD 2003-  / RX400H 2005- СТ ВЕТР ЗЛЗЛ+ЭО+ДД+VIN</t>
  </si>
  <si>
    <t>LEXUS RX300 LHD 2003-  / RX400H 2005-  СТ ВЕТР ЗЛЗЛ+VIN</t>
  </si>
  <si>
    <t>LEXUS RX300 2003-  / RX400 2005-  МОЛД  ДЛЯ СТ ВЕТР</t>
  </si>
  <si>
    <t>TOYOTA</t>
  </si>
  <si>
    <t>GS300 1997-2000</t>
  </si>
  <si>
    <t>TOYOTA LEXUS GS300 RHD 1997-2000  СТ ВЕТР ЗЛГЛ</t>
  </si>
  <si>
    <t>GS300 LHD 1993-1997</t>
  </si>
  <si>
    <t>TOYOTA LEXUS GS300 LHD 1993-1997  СТ ВЕТР СР</t>
  </si>
  <si>
    <t>TOYOTA LEXUS GS300 LHD 1993-1997  СТ ВЕТР СРСР</t>
  </si>
  <si>
    <t>GS300/430 LHD 2000-2005</t>
  </si>
  <si>
    <t>TOYOTA LEXUS GS300/430 LHD 2000-2005  СТ ВЕТР ЗЛГЛ</t>
  </si>
  <si>
    <t>GS300/GS430 LHD 2005-</t>
  </si>
  <si>
    <t>TOYOTA LEXUS GS300/GS430 LHD 2005-  СТ ВЕТР ЗЛЗЛ+ДД+VIN+УО+ИЗМ ШЕЛК</t>
  </si>
  <si>
    <t>TOYOTA LEXUS GS300/GS430 LHD 2005-  СТ ВЕТР ЗЛЗЛ+VIN+УО</t>
  </si>
  <si>
    <t>TOYOTA LEXUS GS300/GS430 2005- МОЛД ДЛЯ СТ ВЕТР ВЕРХ 1164m</t>
  </si>
  <si>
    <t>IS200 1999-2005</t>
  </si>
  <si>
    <t>TOYOTA LEXUS IS200 1999-2005 СТ ВЕТР ЗЛ+ЭО</t>
  </si>
  <si>
    <t>TOYOTA LEXUS IS200 1999-2005 СТ ВЕТР ЗЛ+VIN</t>
  </si>
  <si>
    <t>TOYOTA LEXUS IS200 1999-2005 МОЛД  ДЛЯ СТ ВЕТР</t>
  </si>
  <si>
    <t>LS400 1995-2000</t>
  </si>
  <si>
    <t>TOYOTA LEXUS LS400 1995-2000  СТ ВЕТР СРСР</t>
  </si>
  <si>
    <t>GX470 2003-</t>
  </si>
  <si>
    <t>TOYOTA LEXUS GX470 2003- СТ ВЕТР ЗЛЗЛ+ДД+VIN</t>
  </si>
  <si>
    <t>TOYOTA LEXUS GX470 2003- МОЛД  ДЛЯ СТ ВЕТР ВЕРХ</t>
  </si>
  <si>
    <t>TOYOTA LANDCRUISER 2003- СТ ЗАДН ЗЛ+УО</t>
  </si>
  <si>
    <t>TOYOTA LANDCRUISER 2003- СТ ЗАДН ЗЛ+УО+ИЗМ Р</t>
  </si>
  <si>
    <t>LEXUS IS200 LHD 2005-</t>
  </si>
  <si>
    <t>TOYOTA LEXUS IS200 LHD 2005- СТ ВЕТР ЗЛ ЭО+ДД+VIN</t>
  </si>
  <si>
    <t>TOYOTA LEXUS IS200 LHD 2005- СТ ВЕТР ЗЛ+VIN</t>
  </si>
  <si>
    <t>LEXUS LS460 2007-</t>
  </si>
  <si>
    <t>TOYOTA LEXUS LS460 LHD 2007- СТ ВЕТР ЗЛГЛ ЭО+ДД+VIN+ИНК</t>
  </si>
  <si>
    <t>TOYOTA LEXUS LS460 LHD 2007- СТ ВЕТР ЗЛЗЛ ЭО+ДД+ИНК+VIN</t>
  </si>
  <si>
    <t>MAGIRUS</t>
  </si>
  <si>
    <t>EUROCARGO 1991-</t>
  </si>
  <si>
    <t>1991-</t>
  </si>
  <si>
    <t>MAGIRUS EUROCARGO 1991-  СТ ВЕТР/FORD EUROCARGO 1991-2003 СТ ВЕТР</t>
  </si>
  <si>
    <t>MAN</t>
  </si>
  <si>
    <t>11-38 1971-1987</t>
  </si>
  <si>
    <t>1971-1987</t>
  </si>
  <si>
    <t>MAN LKW 11 38 1971-1987 СТ ВЕТР</t>
  </si>
  <si>
    <t>MAN LKW 11 38 1971-1987 РЕЗ ПРОФ ДЛЯ СТ ВЕТР</t>
  </si>
  <si>
    <t>MAN LKW 11 38 1971-1987 СТ ПЕР ДВ ОП</t>
  </si>
  <si>
    <t>F90 LARGE 1986-</t>
  </si>
  <si>
    <t>MAN F90 1986-  СТ ВЕТР БОЛ</t>
  </si>
  <si>
    <t>MAN F90 1986-  СТ ВЕТР БОЛ ЗЛ</t>
  </si>
  <si>
    <t>MAN F90 1986-  СТ ВЕТР БОЛ ЗЛЗЛ</t>
  </si>
  <si>
    <t>MAN F90 1986- РЕЗ ПРОФ ДЛЯ СТ ВЕТР</t>
  </si>
  <si>
    <t>MAN F2000 LARGE 1997- РЕЗ ПРОФ ДЛЯ СТ ВЕТР</t>
  </si>
  <si>
    <t>MAN F90 1986-  СТ ПЕР ДВ ОП/MAN F90 1986-  СТ ПЕР ДВ ОП</t>
  </si>
  <si>
    <t>MAN F90 LARGE 1986-  СТ ФОРТ ПЕР НЕП/MAN F90 1986-  СТ ФОРТ ПЕР ДВ</t>
  </si>
  <si>
    <t>F90 SMALL 1986-</t>
  </si>
  <si>
    <t>MAN F90 1986-  СТ ВЕТР</t>
  </si>
  <si>
    <t>MAN F90 1986-  СТ ВЕТР ЗЛ</t>
  </si>
  <si>
    <t>MAN F90 1986-  СТ ВЕТР ЗЛЗЛ</t>
  </si>
  <si>
    <t>MAN F90 1986-  СТ ФОРТ ПЕР ДВ/MAN F90 LARGE 1986-  СТ ФОРТ ПЕР НЕП</t>
  </si>
  <si>
    <t>HG 1980-2000</t>
  </si>
  <si>
    <t>1980-2000</t>
  </si>
  <si>
    <t>MAN HG 1980-2000  СТ ВЕТР</t>
  </si>
  <si>
    <t>L2000 02/1997- 2000</t>
  </si>
  <si>
    <t>MAN L2000 02/1997-2000  СТ ВЕТР</t>
  </si>
  <si>
    <t>L2000 1993-1997</t>
  </si>
  <si>
    <t>MAN L2000 1993-1997  СТ ВЕТР/ERF ES SER 1988-  СТ ВЕТР</t>
  </si>
  <si>
    <t>MAN L2000 1993-1997  СТ ВЕТР ЗЛ</t>
  </si>
  <si>
    <t>MAN L2000 1993-1997  СТ ВЕТР ЗЛЗЛ</t>
  </si>
  <si>
    <t>MAN L2000 1993-1997  РЕЗ ПРОФ ДЛЯ СТ ВЕТР</t>
  </si>
  <si>
    <t>MAN L2000 1993-1997  СТ ПЕР ДВ ОП ЛВ</t>
  </si>
  <si>
    <t>MAN L2000 1993-1997  СТ ФОРТ ПЕР ДВ ЛВ</t>
  </si>
  <si>
    <t>MAN L2000 1993-1997  СТ ПЕР ДВ ОП ПР</t>
  </si>
  <si>
    <t>MAN L2000 1993-1997  СТ ФОРТ ПЕР ДВ ПР</t>
  </si>
  <si>
    <t>TG SLEEPER КБ 2000-</t>
  </si>
  <si>
    <t>MAN TG SLEEPER КБ 2000- СТ ВЕТР ЗЛ</t>
  </si>
  <si>
    <t>MAN TG SLEEPER КБ 2000- СТ ВЕТР ЗЛЗЛ</t>
  </si>
  <si>
    <t>TG STANDARD КБ 2000-</t>
  </si>
  <si>
    <t>MAN TG STAND КБ 2000- NARROW BODY СТ ВЕТР</t>
  </si>
  <si>
    <t>MAN TG STAND КБ 2000- NARROW BODY СТ ВЕТР ЗЛ</t>
  </si>
  <si>
    <t>MAN TG STAND КБ 2000- NARROW BODY СТ ВЕТР ЗЛЗЛ</t>
  </si>
  <si>
    <t>MAN TG STAND КБ 2000- УСТ КОМПЛ ДЛЯ СТ ВЕТР</t>
  </si>
  <si>
    <t>MAN TG STAND КБ 2000- WIDE BODY СТ ВЕТР</t>
  </si>
  <si>
    <t>MAN TG STAND КБ 2000- WIDE BODY СТ ВЕТР ЗЛ</t>
  </si>
  <si>
    <t>MAN TG STAND КБ 2000- WIDE BODY СТ ВЕТР ЗЛЗЛ</t>
  </si>
  <si>
    <t>MAN TG STAND КБ 2000- NARROW BODY СТ ПЕР ДВ ОП ЛВ</t>
  </si>
  <si>
    <t>MAN TG STAND КБ 2000- NARROW BODY СТ ПЕР ДВ ОП ЛВ ЗЛ</t>
  </si>
  <si>
    <t>MAN TG STAND КБ 2000- NARROW BODY СТ ПЕР ДВ ОП ПР</t>
  </si>
  <si>
    <t>MAN TG STAND КБ 2000- NARROW BODY СТ ПЕР ДВ ОП ПР ЗЛ</t>
  </si>
  <si>
    <t>MARUTTI</t>
  </si>
  <si>
    <t>800 1986-1988</t>
  </si>
  <si>
    <t>1986-1988</t>
  </si>
  <si>
    <t>MARUTTI 800 1986-1988 СТ ВЕТР/SUZUKI ALTO 1986-1988 СТ ВЕТР</t>
  </si>
  <si>
    <t>MAZDA</t>
  </si>
  <si>
    <t>2 (DEMIO) 2003-</t>
  </si>
  <si>
    <t>MAZDA 2 ЛВРУЛЬ 2003-  СТ ВЕТР ЗЛГЛ+УО</t>
  </si>
  <si>
    <t>MAZDA 2 ПРРУЛЬ 2003-  СТ ВЕТР ЗЛ +VIN+УО</t>
  </si>
  <si>
    <t>MAZDA 2 ЛВРУЛЬ 2003-  СТ ВЕТР ЗЛ+УО</t>
  </si>
  <si>
    <t>MAZDA 2 2003- МОЛД  ДЛЯ СТ ВЕТР</t>
  </si>
  <si>
    <t>MAZDA 2 2003- МОЛД  ДЛЯ СТ ВЕТР ВЕРХ</t>
  </si>
  <si>
    <t>MAZDA 2 МИН 2003-  СТ ЗАДН ЗЛ+УО</t>
  </si>
  <si>
    <t>MAZDA 2 2003-  СТ ПЕР ДВ ОП ЛВ ЗЛ</t>
  </si>
  <si>
    <t>MAZDA 2 2003-  СТ ЗАДН ДВ ОП ЛВ ЗЛ</t>
  </si>
  <si>
    <t>MAZDA 2 2003-  СТ ФОРТ ЗАДН НЕП ЛВ ЗЛ</t>
  </si>
  <si>
    <t>MAZDA 2 2003-  СТ ПЕР ДВ ОП ПР ЗЛ</t>
  </si>
  <si>
    <t>MAZDA 2 2003-  СТ ЗАДН ДВ ОП ПР ЗЛ</t>
  </si>
  <si>
    <t>MAZDA 2 2003-  СТ ФОРТ ЗАДН НЕП ПР ЗЛ</t>
  </si>
  <si>
    <t>2 5Д ХБ 2007-</t>
  </si>
  <si>
    <t>MAZDA 2 5Д HBK 2007- СТ ВЕТР ЗЛ+УО</t>
  </si>
  <si>
    <t>MAZDA 2 5Д HBK 2007- СТ ПЕР ДВ ОП ЛВ ЗЛ</t>
  </si>
  <si>
    <t>MAZDA 2 5Д HBK 2007- СТ ЗАДН ДВ ОП ЛВ ЗЛ</t>
  </si>
  <si>
    <t>MAZDA 2 5Д HBK 2007- СТ ПЕР ДВ ОП ПР ЗЛ</t>
  </si>
  <si>
    <t>MAZDA 2 5Д HBK 2007- СТ ЗАДН ДВ ОП ПР ЗЛ</t>
  </si>
  <si>
    <t>3 СД/ХБ 2003-</t>
  </si>
  <si>
    <t>MAZDA 3 ХБ+СЕД 2003-2006 СТ ВЕТР ЗЛ+УО</t>
  </si>
  <si>
    <t>MAZDA 3 ХБ+СЕД 2003-2006  СТ ВЕТР ЗЛГЛ+УО</t>
  </si>
  <si>
    <t>MAZDA 3 ХБ+СЕД 2006- СТ ВЕТР ЗЛ+УО</t>
  </si>
  <si>
    <t>MAZDA 3 ХБ+СЕД 2006- СТ ВЕТР ЗЛГЛ+УО+ИЗМ ШЕЛК</t>
  </si>
  <si>
    <t>MAZDA 3 ХБ+СЕД 2003-  СТ ВЕТР ЗЛ+ДД</t>
  </si>
  <si>
    <t>MAZDA 3 ХБ+СЕД 2003-  СТ ВЕТР ЗЛ+ДД+УО</t>
  </si>
  <si>
    <t>MAZDA 3 ХБ+СЕД 2006-  СТ ВЕТР ЗЛ+ДД+УО</t>
  </si>
  <si>
    <t>MAZDA 3 ХБ+СЕД 2006-  СТ ВЕТР ЗЛ+УО</t>
  </si>
  <si>
    <t>MAZDA 3 ХБ+СЕД 2003- МОЛД  ДЛЯ СТ ВЕТР</t>
  </si>
  <si>
    <t>MAZDA 3 ХБ 2003-  СТ ЗАДН ДВ ЗЛ</t>
  </si>
  <si>
    <t>MAZDA 3 СД 2003-  СТ ЗАДН ЗЛ+УО</t>
  </si>
  <si>
    <t>MAZDA 3 ХБ 5Д 2003-  СТ ПЕР ДВ ОП ЛВ ЗЛ</t>
  </si>
  <si>
    <t>MAZDA 3 ХБ 2003-  СТ ЗАДН ДВ ОП ЛВ ЗЛ</t>
  </si>
  <si>
    <t>MAZDA 3 ХБ 2003-  СТ БОК НЕП ЛВ ЗЛ+ИНК</t>
  </si>
  <si>
    <t>MAZDA 3 СЕД 2003-  СТ ЗАДН ДВ ОП ЛВ ЗЛ</t>
  </si>
  <si>
    <t>MAZDA 3 СЕД 2003-  СТ ЗАДН ДВ НЕП ЛВ ЗЛ</t>
  </si>
  <si>
    <t>MAZDA 3 ХБ 5Д 2003-  СТ ПЕР ДВ ОП ПР ЗЛ</t>
  </si>
  <si>
    <t>MAZDA 3 ХБ 2003-  СТ ЗАДН ДВ ОП ПР ЗЛ</t>
  </si>
  <si>
    <t>MAZDA 3 ХБ 2003-  СТ БОК НЕП ПР ЗЛ+ИНК</t>
  </si>
  <si>
    <t>MAZDA 3 СЕД 2003-  СТ ЗАДН ДВ ОП ПР ЗЛ</t>
  </si>
  <si>
    <t>MAZDA 3 СЕД 2003-  СТ ЗАДН ДВ НЕП ПР ЗЛ</t>
  </si>
  <si>
    <t>3 5Д ХБ СД 2009-</t>
  </si>
  <si>
    <t>MAZDA 3 2009- СТ ВЕТР ЗЛ+ДО</t>
  </si>
  <si>
    <t>MAZDA 3 2009- СТ ВЕТР ЗЛ+ДД+ДО</t>
  </si>
  <si>
    <t>MAZDA 3 ХБ 5Д 2009- СТ ПЕР ДВ ОП ЛВ ЗЛ</t>
  </si>
  <si>
    <t>MAZDA 3 ХБК 5Д 2009- СТ ЗАДН ДВ ОП ЛВ ЗЛ</t>
  </si>
  <si>
    <t>MAZDA 3 ХБ 5Д 2009- ФОРТ ЗАДН НЕП ЛВ ЗЛ</t>
  </si>
  <si>
    <t>MAZDA 3 СЕД 2009- СТ ЗАДН ДВ ОП ЛВ ЗЛ</t>
  </si>
  <si>
    <t>MAZDA 3 СЕД 2009- ФОРТ ЗАДН НЕП ЛВ ЗЛ</t>
  </si>
  <si>
    <t>MAZDA 3 5Д ХБ 2009- СТ ЗАДН ДВ ОП ЛВ СР</t>
  </si>
  <si>
    <t>MAZDA 3 ХБ 5Д 2009- ФОРТ ЗАДН НЕП ЛВ СР</t>
  </si>
  <si>
    <t>MAZDA 3 СД 2009- СТ ЗАДН ДВ ОП ЛВ СР</t>
  </si>
  <si>
    <t>MAZDA 3 СЕД 2009- ФОРТ ЗАДН НЕП ЛВ СР</t>
  </si>
  <si>
    <t>MAZDA 3 ХБ 5Д 2009- СТ ПЕР ДВ ОП ПР ЗЛ</t>
  </si>
  <si>
    <t>MAZDA 3 5Д ХБ 2009- СТ ЗАДН ДВ ОП ПР ЗЛ</t>
  </si>
  <si>
    <t>MAZDA 3 ХБ 5Д 2009- ФОРТ ЗАДН НЕП ПР ЗЛ</t>
  </si>
  <si>
    <t>MAZDA 3 СЕД 2009- СТ ЗАДН ДВ ОП ПР ЗЛ</t>
  </si>
  <si>
    <t>MAZDA 3 2009- ФОРТ ЗАДН НЕП ПР ЗЛ</t>
  </si>
  <si>
    <t>MAZDA 3 5Д ХБ 2009- СТ ЗАДН ДВ ОП ПР СР</t>
  </si>
  <si>
    <t>MAZDA 3 ХБ 5Д 2009- ФОРТ ЗАДН НЕП ПР СР</t>
  </si>
  <si>
    <t>MAZDA 3 СД 2009- СТ ЗАДН ДВ ОП ПР СР</t>
  </si>
  <si>
    <t>MAZDA 3 СЕД 2009- ФОРТ ЗАДН НЕП ПР СР</t>
  </si>
  <si>
    <t>5  MPV ЛВРУЛЬ 2005-</t>
  </si>
  <si>
    <t>MAZDA 5 МИН 2005-  СТ ВЕТР ЗЛ</t>
  </si>
  <si>
    <t>MAZDA 5 МИН 2005-  СТ ВЕТР ЗЛ+ДД</t>
  </si>
  <si>
    <t>MAZDA 5 МИН 2005-  СТ ЗАДН ТЗЛ</t>
  </si>
  <si>
    <t>MAZDA 5 МИН 2005-  СТ ЗАДН ЗЛ</t>
  </si>
  <si>
    <t>MAZDA 5 MPV 2005-  СТ ПЕР ДВ ОП ЛВ ЗЛ</t>
  </si>
  <si>
    <t>MAZDA 5 MPV 2005-  СТ ФОРТ ПЕР НЕП ЛВ ЗЛ</t>
  </si>
  <si>
    <t>MAZDA 5 MPV 2005-  СТ ЗАДН ДВ ОП ЛВ ЗЛ</t>
  </si>
  <si>
    <t>MAZDA 5 MPV 2005-  СТ ПЕР ДВ ОП ПР ЗЛ</t>
  </si>
  <si>
    <t>MAZDA 5 MPV 2005-  СТ ЗАДН ДВ ОП ПР ЗЛ</t>
  </si>
  <si>
    <t>6 СЕД/ХБ/УН 2002-2007</t>
  </si>
  <si>
    <t>MAZDA 6 СЕД/ ХБ LHD 2002-2007  СТ ВЕТР ЗЛГЛ+УО</t>
  </si>
  <si>
    <t>MAZDA 6 СЕД/ ХБ LHD 03/2005-2007  СТ ВЕТР ЗЛГЛ+УО+ИЗМ КР</t>
  </si>
  <si>
    <t>MAZDA 6 СЕД/ ХБ LHD 03/2005-2007  СТ ВЕТР ЗЛ+ДД+УО+ИЗМ КР</t>
  </si>
  <si>
    <t>MAZDA 6 СЕД/ ХБ LHD 03/2005-2007  СТ ВЕТР ЗЛГЛ+ДД+УО+ИЗМ КР</t>
  </si>
  <si>
    <t>MAZDA 6 СЕД/ ХБ LHD 03/2005-2007  СТ ВЕТР ЗЛ+УО</t>
  </si>
  <si>
    <t>MAZDA 6 СЕД/ ХБ 03/2005-2007 СТ ВЕТР ЗЛ+УО</t>
  </si>
  <si>
    <t>MAZDA 6 СЕД/ ХБ 2002-2007 МОЛД  ДЛЯ СТ ВЕТР</t>
  </si>
  <si>
    <t>MAZDA 6 УН 2002-2007  СТ ЗАДН ДВ ЗЛ+СТОП+УО</t>
  </si>
  <si>
    <t>MAZDA 6 ХБ 2002-2007  СТ ЗАДН ЗЛ+АНТ+УО</t>
  </si>
  <si>
    <t>MAZDA 6 4Д СД 2002-2007  СТ ЗАДН ЗЛ+ИНК</t>
  </si>
  <si>
    <t>MAZDA 6 5Д УН 2002-2007  СТ ЗАДН ДВ ОП ЛВ ЗЛ</t>
  </si>
  <si>
    <t>MAZDA 6 5Д УН 2002-2007  СТ ФОРТ ЗАДН НЕП ЛВ ЗЛ</t>
  </si>
  <si>
    <t>MAZDA 6 4Д СД/5Д ХБ 2002-2007 СТ ПЕР ДВ ОП ЛВ ЗЛ</t>
  </si>
  <si>
    <t>MAZDA 6 5Д ХБ 2002-2007  СТ ЗАДН ДВ ОП ЛВ ЗЛ</t>
  </si>
  <si>
    <t>MAZDA 6 5Д ХБ 2002-2007  СТ ФОРТ ЗАДН НЕП ЛВ ЗЛ</t>
  </si>
  <si>
    <t>MAZDA 6 4Д СЕД 2002-2007  СТ ЗАДН ДВ ОП ЛВ ЗЛ</t>
  </si>
  <si>
    <t>MAZDA 6 4Д СЕД 2002-2007  СТ ФОРТ ЗАДН НЕП ЛВ ЗЛ</t>
  </si>
  <si>
    <t>MAZDA 6 5Д УН 2002-2007  СТ ЗАДН ДВ ОП ПР ЗЛ</t>
  </si>
  <si>
    <t>MAZDA 6 5Д УН 2002-2007  СТ ФОРТ ЗАДН НЕП ПР ЗЛ</t>
  </si>
  <si>
    <t>MAZDA 6 4Д СД/5Д ХБ 2002-2007 СТ ПЕР ДВ ОП ПР ЗЛ</t>
  </si>
  <si>
    <t>MAZDA 6 5Д ХБ 2002-2007  СТ ЗАДН ДВ ОП ПР ЗЛ</t>
  </si>
  <si>
    <t>MAZDA 6 5Д ХБ 2002-2007  СТ ФОРТ ЗАДН НЕП ПР ЗЛ</t>
  </si>
  <si>
    <t>MAZDA 6 4Д СЕД 2002-2007  СТ ЗАДН ДВ ОП ПР ЗЛ</t>
  </si>
  <si>
    <t>MAZDA 6 4Д СЕД 2002-2007  СТ ФОРТ ЗАДН НЕП ПР ЗЛ</t>
  </si>
  <si>
    <t>6 4Д СЕД 2008-</t>
  </si>
  <si>
    <t>MAZDA 6 4Д СЕД 2008-  СТ ВЕТР ЗЛ+УО</t>
  </si>
  <si>
    <t>MAZDA 6 4Д СЕД 2008-  СТ ВЕТР ЗЛ+ДД+УО+ИЗМ ШЕЛК+АКУСТИК</t>
  </si>
  <si>
    <t>MAZDA 6 4Д СЕД 2008-  СТ ВЕТР ЗЛ+ДД+УО+ИЗМ ШЕЛК</t>
  </si>
  <si>
    <t>MAZDA 6 4Д СЕД 2008- МОЛД ДЛЯ СТ ВЕТР</t>
  </si>
  <si>
    <t>MAZDA 6 4Д СЕД 2008- СТ ПЕР ДВ ОП ЛВ  ЗЛ+2 ОТВ</t>
  </si>
  <si>
    <t>MAZDA 6 4Д СЕД 2008- СТ ЗАДН ДВ ОП ЛВ  ЗЛ+1 ОТВ</t>
  </si>
  <si>
    <t>MAZDA 6 4Д СЕД 2008- СТ ПЕР ДВ ОП ПР  ЗЛ+2 ОТВ</t>
  </si>
  <si>
    <t>MAZDA 6 4Д СЕД 2008- СТ ЗАДН ДВ ОП ПР  ЗЛ+1 ОТВ</t>
  </si>
  <si>
    <t>121 3Д ХБ 1987-1991</t>
  </si>
  <si>
    <t>MAZDA 121 3Д ХБ 1987-1991 СТ ВЕТР ГЛ</t>
  </si>
  <si>
    <t>121 СД 1991-1995</t>
  </si>
  <si>
    <t>MAZDA 121 СЕД 1991-1995 СТ ВЕТР ГЛ</t>
  </si>
  <si>
    <t>MAZDA 121 СЕД 1991-1995  УСТ КОМПЛ ДЛЯ СТ ВЕТР</t>
  </si>
  <si>
    <t>MAZDA 121 СЕД 1991-1995 СТ ПЕР ДВ ОП ЛВ ГЛ</t>
  </si>
  <si>
    <t>MAZDA 121 СЕД 1991-1995 СТ ЗАДН ДВ ОП ПР ГЛ</t>
  </si>
  <si>
    <t>121 3Д+5Д 1996-2002</t>
  </si>
  <si>
    <t>MAZDA 121 3Д+5Д 1996-2002  СТ ВЕТР/FORD FIESTA IV 3Д+5Д 1995-2002  СТ ВЕТР</t>
  </si>
  <si>
    <t>MAZDA 121 3Д+5Д 12/2000-2002  СТ ВЕТР/FORD FIESTA IV 3Д+5Д 12/2000-2002  СТ ВЕТР</t>
  </si>
  <si>
    <t>MAZDA 121 3Д+5Д 1996-2002  СТ ВЕТР ЗЛ/FORD FIESTA IV 3Д+5Д 1995-2002  СТ ВЕТР ЗЛ</t>
  </si>
  <si>
    <t>MAZDA 121 3Д+5Д 12/2000-2002  СТ ВЕТР ЗЛ/FORD FIESTA IV 3Д+5Д 12/2000-2002  СТ ВЕТР ЗЛ</t>
  </si>
  <si>
    <t>MAZDA 121 3Д+5Д 1996-2002  СТ ВЕТР ЗЛГЛ/FORD FIESTA IV 3Д+5Д 1995-2002  СТ ВЕТР ЗЛГЛ</t>
  </si>
  <si>
    <t>MAZDA 121 3Д+5Д 2000-2002  СТ ВЕТР ГЛБЛ/FORD FIESTA IV 3Д+5Д 12/2000-2002  СТ ВЕТР ЗЛГЛ</t>
  </si>
  <si>
    <t>MAZDA 121 3Д+5Д 1996-2002  СТ ВЕТР ЗЛЗЛ/FORD FIESTA IV 3Д+5Д 1995-2002  СТ ВЕТР ЗЛЗЛ</t>
  </si>
  <si>
    <t>MAZDA 121 3Д+5Д 1996-2002  СТ ВЕТР ЗЛ+ЭО/FORD FIESTA IV 3Д+5Д 2000-2002  СТ ВЕТР ЗЛ ЭО</t>
  </si>
  <si>
    <t>MAZDA 121 3Д+5Д 1996-2002  МОЛД  ДЛЯ СТ ВЕТР С АЛЮМ ВСТАВКОЙ</t>
  </si>
  <si>
    <t>MAZDA 121 3Д+5Д ХБ 1996-2002  СТ ЗАДН /FORD FIESTA IV 3Д+5Д 1995-2002  СТ ЗАДН</t>
  </si>
  <si>
    <t>MAZDA 121 3Д+5Д ХБ 1996-2002  СТ ЗАДН ЗЛ/FORD FIESTA IV 3Д+5Д 1995-2002  СТ ЗАДН ЗЛ</t>
  </si>
  <si>
    <t>323 1981-1985</t>
  </si>
  <si>
    <t>1981-1985</t>
  </si>
  <si>
    <t>MAZDA 323 1981-1985 СТ ВЕТР ГЛ</t>
  </si>
  <si>
    <t>MAZDA 323 1981-1985 СТ ВЕТР</t>
  </si>
  <si>
    <t>323 1985-1989</t>
  </si>
  <si>
    <t>MAZDA 323 СД+ХБ+УН 1985-1989 СТ ВЕТР ГЛ</t>
  </si>
  <si>
    <t>MAZDA 323 СД+ХБ+УН 1985-1989 НАБОР КЛИПС ДЛЯ СТ ВЕТР</t>
  </si>
  <si>
    <t>MAZDA 323 ХБ 1985-1989 СТ ЗАДН ДВ ГЛ</t>
  </si>
  <si>
    <t>MAZDA 323 ХБ 5Д 1985-1989 СТ ПЕР ДВ ОП ЛВ ГЛ</t>
  </si>
  <si>
    <t>MAZDA 323 ХБ 5Д 1985-1989 СТ ФОРТ ЗАДН НЕП ЛВ ГЛ</t>
  </si>
  <si>
    <t>MAZDA 323 ХБ 3Д 1985-1989 СТ ПЕР ДВ ОП ПР ГЛ</t>
  </si>
  <si>
    <t>MAZDA 323 ХБ 5Д 1985-1989 СТ ПЕР ДВ ОП ПР ГЛ</t>
  </si>
  <si>
    <t>MAZDA 323 ХБ 5Д 1985-1989 СТ ФОРТ ЗАДН НЕП ПР ГЛ</t>
  </si>
  <si>
    <t>323 3Д ХБ 1989-1994</t>
  </si>
  <si>
    <t>MAZDA 323 3Д ХБ 1989-1994 СТ ВЕТР ГЛ</t>
  </si>
  <si>
    <t>MAZDA 323 3Д ХБ 1989-1994 СТ ВЕТР ЗЛГЛ</t>
  </si>
  <si>
    <t>MAZDA 323 3Д ХБ 1989-1994  МОЛД  ДЛЯ СТ ВЕТР ВЕРХ</t>
  </si>
  <si>
    <t>MAZDA 323 3Д ХБ 1989-1994 СТ ЗАДН ГЛ</t>
  </si>
  <si>
    <t>MAZDA 323 3Д ХБ 1989-1994 СТ ПЕР ДВ ОП ЛВ ГЛ</t>
  </si>
  <si>
    <t>MAZDA 323 3Д ХБ 1989-1994 СТ БОК НЕП ЛВ ГЛ ОТКР</t>
  </si>
  <si>
    <t>MAZDA 323 3Д ХБ 1989-1994 СТ ПЕР ДВ ОП ПР ГЛ</t>
  </si>
  <si>
    <t>MAZDA 323 3Д ХБ 1989-1994 СТ БОК НЕП ПР ГЛ ОТКР</t>
  </si>
  <si>
    <t>323 4Д СД+УН 1989-1994</t>
  </si>
  <si>
    <t>MAZDA 323 4Д СД+УН 1989-1994 СТ ВЕТР ГЛ</t>
  </si>
  <si>
    <t>MAZDA 323 4Д СД+УН 1989-1994 СТ ВЕТР ГЛГЛ</t>
  </si>
  <si>
    <t>MAZDA 323 4Д СД+УН 1989-1994 МОЛД  ДЛЯ СТ ВЕТР ВЕРХ</t>
  </si>
  <si>
    <t>MAZDA 323 4Д СД+УН 1989-1994 СТ ЗАДН ГЛ</t>
  </si>
  <si>
    <t>MAZDA 323 4Д СД+УН 1989-1994 СТ ПЕР ДВ ОП ЛВ ГЛ</t>
  </si>
  <si>
    <t>MAZDA 323 4Д СД+УН 1989-1994 СТ ПЕР ДВ ОП ПР ГЛ</t>
  </si>
  <si>
    <t>MAZDA 323 4Д СД+УН 1989-1994 СТ ФОРТ ЗАДН НЕП ПР ГЛ</t>
  </si>
  <si>
    <t>323 5Д 1989-1994</t>
  </si>
  <si>
    <t>MAZDA 323 5Д ХБ 1989-1994 СТ ВЕТР ГЛ</t>
  </si>
  <si>
    <t>MAZDA 323 5Д ХБ 1989-1994 СТ ВЕТР ГЛГЛ</t>
  </si>
  <si>
    <t>MAZDA 323 5Д ХБ 1989-1994 НАБ СОЕД ДЛЯ СТ ВЕТР</t>
  </si>
  <si>
    <t>MAZDA 323 5Д ХБ 1989-1994 МОЛД  ДЛЯ СТ ВЕТР ВЕРХ</t>
  </si>
  <si>
    <t>MAZDA 323 5Д ХБ 1989-1994 СТ ПЕР ДВ ОП ЛВ ГЛ</t>
  </si>
  <si>
    <t>MAZDA 323 5Д ХБ 1989-1994 СТ ПЕР ДВ ОП ПР ГЛ</t>
  </si>
  <si>
    <t>MAZDA 323 5Д ХБ 1989-1994 СТ ЗАДН ДВ ОП ПР ГЛ</t>
  </si>
  <si>
    <t>323 ХБ 3Д+СД 1994-/3Д ХБ 1997-</t>
  </si>
  <si>
    <t>MAZDA 323 ХБ 3Д+СД 1994-1998 /3Д ХБ 1997-1998 СТ ВЕТР ГЛ</t>
  </si>
  <si>
    <t>MAZDA 323 ХБ 3Д 1994-1998  СТ ВЕТР ГЛГЛ</t>
  </si>
  <si>
    <t>MAZDA 323 ХБ 3Д+СД 1994-1998 /3Д ХБ 1997-1998  СТ ВЕТР ЗЛ</t>
  </si>
  <si>
    <t>MAZDA 323 ХБ 3Д+СД 1994-1998 /3Д ХБ 1997-1998  СТ ВЕТР ЗЛГЛ</t>
  </si>
  <si>
    <t>MAZDA 323 ХБ 3Д+СД 1994-1998 /3Д ХБ 1997-1998  МОЛД  ДЛЯ СТ ВЕТР</t>
  </si>
  <si>
    <t>MAZDA 323 СД 4Д 1994-1998  СТ ЗАДН ГЛ</t>
  </si>
  <si>
    <t>MAZDA 323 СД 4Д 1994-1998  СТ ЗАДН ЗЛ</t>
  </si>
  <si>
    <t>MAZDA 323 СЕД 4Д 1994-1998  СТ ПЕР ДВ ОП ЛВ ГЛ</t>
  </si>
  <si>
    <t>MAZDA 323 СЕД 4Д 1994-1998  СТ ПЕР ДВ ОП ЛВ ЗЛ</t>
  </si>
  <si>
    <t>MAZDA 323 СЕД 4Д 1994-1998  СТ ПЕР ДВ ОП ПР ГЛ</t>
  </si>
  <si>
    <t>MAZDA 323 ХБ 3Д 1997-1998  СТ ПЕР ДВ ОП ПР ЗЛ 2ОТВ</t>
  </si>
  <si>
    <t>MAZDA 323 СЕД 4Д 1994-1998  СТ ПЕР ДВ ОП ПР ЗЛ</t>
  </si>
  <si>
    <t>MAZDA 323 СЕД 4Д 1994-1998  СТ ЗАДН ДВ ОП ПР ЗЛ</t>
  </si>
  <si>
    <t>323F 1994-1998</t>
  </si>
  <si>
    <t>MAZDA 323F 1994-1998  СТ ВЕТР ГЛ</t>
  </si>
  <si>
    <t>MAZDA 323F 1994-1998  СТ ВЕТР ГЛГЛ</t>
  </si>
  <si>
    <t>MAZDA 323F 1994-1998  СТ ВЕТР ЗЛ</t>
  </si>
  <si>
    <t>MAZDA 323F 1994-1998  СТ ВЕТР ЗЛГЛ</t>
  </si>
  <si>
    <t>MAZDA 323F 1994-1998  НАБ КЛИПС ДЛЯ СТ ВЕТР</t>
  </si>
  <si>
    <t>MAZDA 323F 1994-1998  МОЛД  ДЛЯ СТ ВЕТР ВЕРХ</t>
  </si>
  <si>
    <t>MAZDA 323 ХБ 1994-1998  СТ ЗАДН ЗЛ</t>
  </si>
  <si>
    <t>MAZDA 323F 1994-1998  СТ ПЕР ДВ ОП ЛВ ГЛ</t>
  </si>
  <si>
    <t>MAZDA 323F 1994-1998  СТ ЗАДН ДВ ОП ЛВ ГЛ</t>
  </si>
  <si>
    <t>MAZDA 323F 1994-1998  СТ ПЕР ДВ ОП ЛВ ЗЛ+ФИТ</t>
  </si>
  <si>
    <t>MAZDA 323F 1994-1998  СТ ЗАДН ДВ ОП ЛВ ЗЛ+ФИТ</t>
  </si>
  <si>
    <t>MAZDA 323F 1994-1998  СТ ПЕР ДВ ОП ПР ГЛ</t>
  </si>
  <si>
    <t>MAZDA 323F 1994-1998  СТ ПЕР ДВ ОП ПР ЗЛ+ФИТ</t>
  </si>
  <si>
    <t>323 4Д+5Д 1998-2003</t>
  </si>
  <si>
    <t>MAZDA 323 4Д+5Д 1998-2003  СТ ВЕТР ЗЛ</t>
  </si>
  <si>
    <t>MAZDA 323 4Д+5Д 1998-2003  СТ ВЕТР ЗЛГЛ</t>
  </si>
  <si>
    <t>MAZDA 323 4Д+5Д 1998-2003  СТ ВЕТР ЗЛЗЛ</t>
  </si>
  <si>
    <t>MAZDA 323 4Д+5Д 1998-2003  МОЛД  ДЛЯ СТ ВЕТР</t>
  </si>
  <si>
    <t>MAZDA 323 5Д ХБ 1998-2003  СТ ЗАДН ЗЛ</t>
  </si>
  <si>
    <t>MAZDA 323 4Д СД 1998-2003  СТ ЗАДН ЗЛ</t>
  </si>
  <si>
    <t>MAZDA 323 5Д 1998-2003  СТ ПЕР ДВ ОП ЛВ</t>
  </si>
  <si>
    <t>MAZDA 323 5Д 1998-2003  СТ ЗАДН ДВ ОП ЛВ ЗЛ+ФИТ</t>
  </si>
  <si>
    <t>MAZDA 323 5Д 1998-2003  СТ ЗАДН ДВ НЕП ЛВ ЗЛ</t>
  </si>
  <si>
    <t>MAZDA 323 4Д 1998-2003  СТ ЗАДН ДВ НЕП ЛВ ЗЛ</t>
  </si>
  <si>
    <t>MAZDA 323 5Д 1998-2003  СТ ПЕР ДВ ОП ПР</t>
  </si>
  <si>
    <t>MAZDA 323 5Д 1998-2003  СТ ЗАДН ДВ НЕП ПР ЗЛ</t>
  </si>
  <si>
    <t>MAZDA 323 4Д 1998-2003  СТ ФОРТ ЗАДН НЕП ПР ЗЛ</t>
  </si>
  <si>
    <t>626 КП+ХБ 1983-1988</t>
  </si>
  <si>
    <t>MAZDA 626 КУП+ХБ 1983-1988 СТ ВЕТР ГЛ</t>
  </si>
  <si>
    <t>626 СД 1983-1988</t>
  </si>
  <si>
    <t>MAZDA 626 СЕД 1983-1988 СТ ВЕТР ГЛ</t>
  </si>
  <si>
    <t>MAZDA 626 СД 1983-1988 СТ ЗАДН ГЛ</t>
  </si>
  <si>
    <t>626 1987-1992</t>
  </si>
  <si>
    <t>MAZDA 626 СЕД+УН 1987-1992 СТ ВЕТР ГЛ</t>
  </si>
  <si>
    <t>MAZDA 626 СЕД+УН 1987-1992 СТ ВЕТР ГЛГЛ</t>
  </si>
  <si>
    <t>MAZDA 626 СЕД+УН 87-92 В/С МОЛД.</t>
  </si>
  <si>
    <t>MAZDA 626 СД 1987-1992 СТ ЗАДН ГЛ</t>
  </si>
  <si>
    <t>MAZDA 626 СЕД+УН 1987-1992 СТ ПЕР ДВ ОП ЛВ ГЛ</t>
  </si>
  <si>
    <t>MAZDA 626 СЕД+УН 1987-1992 СТ ЗАДН ДВ ОП ЛВ ГЛ</t>
  </si>
  <si>
    <t>MAZDA 626 СЕД+УН 1987-1992 СТ ПЕР ДВ ОП ПР ГЛ</t>
  </si>
  <si>
    <t>626 КП + 5Д 1988-1992</t>
  </si>
  <si>
    <t>MAZDA 626 КБ+ХБ 1988-1992 СТ ВЕТР ГЛ</t>
  </si>
  <si>
    <t>MAZDA 626 КБ+ХБ 1988-1992 СТ ВЕТР ГЛГЛ</t>
  </si>
  <si>
    <t>MAZDA 626 КБ+ХБ 1988-1992 МОЛД  ДЛЯ СТ ВЕТР ЧЕРН</t>
  </si>
  <si>
    <t>MAZDA 626 КБ+ХБ 1988-1992 МОЛД  ДЛЯ СТ ВЕТР ХРОМ</t>
  </si>
  <si>
    <t>MAZDA 626 ХБ 1988-1992 СТ ПЕР ДВ ОП ЛВ ГЛ</t>
  </si>
  <si>
    <t>MAZDA 626 ХБ 1988-1992 СТ ЗАДН ДВ ОП ЛВ ГЛ</t>
  </si>
  <si>
    <t>MAZDA 626 ХБ 1988-1992 СТ ПЕР ДВ ОП ПР ГЛ</t>
  </si>
  <si>
    <t>MAZDA 626 ХБ 1988-1992 СТ ЗАДН ДВ ОП ПР ГЛ</t>
  </si>
  <si>
    <t>626 4Д/СД 1992-1997</t>
  </si>
  <si>
    <t>MAZDA 626 СЕД 1992-1997  СТ ВЕТР ГЛ</t>
  </si>
  <si>
    <t>MAZDA 626 СЕД 1992-1997  СТ ВЕТР ГЛГЛ</t>
  </si>
  <si>
    <t>MAZDA 626 СЕД 1992-1997  СТ ВЕТР ЗЛ</t>
  </si>
  <si>
    <t>MAZDA 626 СЕД 1992-1997  МОЛД  ДЛЯ СТ ВЕТР</t>
  </si>
  <si>
    <t>MAZDA 626 СД 1992-1997  СТ ЗАДН ГЛ</t>
  </si>
  <si>
    <t>MAZDA 626 СД 1992-1997  СТ ЗАДН ЗЛ</t>
  </si>
  <si>
    <t>MAZDA 626 СЕД 1992-1997  СТ ПЕР ДВ ОП ЛВ ГЛ</t>
  </si>
  <si>
    <t>MAZDA 626 СЕД 1992-1997  СТ ЗАДН ДВ ОП ЛВ ГЛ</t>
  </si>
  <si>
    <t>MAZDA 626 СЕД 1992-1997  СТ ПЕР ДВ ОП ЛВ ЗЛ</t>
  </si>
  <si>
    <t>MAZDA 626 СЕД 1992-1997  СТ ЗАДН ДВ ОП ЛВ ЗЛ</t>
  </si>
  <si>
    <t>MAZDA 626 СЕД 1992-1997  СТ ПЕР ДВ ОП ПР ГЛ</t>
  </si>
  <si>
    <t>MAZDA 626 СЕД 1992-1997  СТ ЗАДН ДВ ОП ПР ГЛ</t>
  </si>
  <si>
    <t>MAZDA 626 СЕД 1992-1997  СТ ПЕР ДВ ОП ПР ЗЛ</t>
  </si>
  <si>
    <t>MAZDA 626 СЕД 1992-1997  СТ ЗАДН ДВ ОП ПР ЗЛ</t>
  </si>
  <si>
    <t>626 5Д/ХБ 1992-1997</t>
  </si>
  <si>
    <t>MAZDA 626 ХБ 1992-1997  СТ ВЕТР ГЛ</t>
  </si>
  <si>
    <t>MAZDA 626 ХБ 1992-1997  СТ ВЕТР ГЛГЛ</t>
  </si>
  <si>
    <t>MAZDA 626 ХБ 1992-1997  СТ ВЕТР ЗЛ</t>
  </si>
  <si>
    <t>MAZDA 626 ХБ 1992-1997   МОЛД  ДЛЯ СТ ВЕТР</t>
  </si>
  <si>
    <t>MAZDA 626 ХБ 1992-1997  СТ ЗАДН ГЛ</t>
  </si>
  <si>
    <t>MAZDA 626 ХБ 1992-1997  СТ ЗАДН ЗЛ</t>
  </si>
  <si>
    <t>MAZDA 626 ХБ 1992-1997  СТ ПЕР ДВ ОП ЛВ ГЛ</t>
  </si>
  <si>
    <t>MAZDA 626 ХБ 1992-1997  СТ ЗАДН ДВ ОП ЛВ ГЛ</t>
  </si>
  <si>
    <t>MAZDA 626 ХБ 1992-1997  СТ ПЕР ДВ ОП ЛВ ЗЛ</t>
  </si>
  <si>
    <t>MAZDA 626 ХБ 1992-1997  СТ ЗАДН ДВ ОП ЛВ ЗЛ</t>
  </si>
  <si>
    <t>MAZDA 626 ХБ 1992-1997  СТ ПЕР ДВ ОП ПР ГЛ</t>
  </si>
  <si>
    <t>MAZDA 626 ХБ 1992-1997  СТ ЗАДН ДВ ОП ПР ГЛ</t>
  </si>
  <si>
    <t>MAZDA 626 ХБ 1992-1997  СТ ПЕР ДВ ОП ПР ЗЛ</t>
  </si>
  <si>
    <t>MAZDA 626 ХБ 1992-1997  СТ ЗАДН ДВ ОП ПР ЗЛ</t>
  </si>
  <si>
    <t>626 [USA] СД 1997-2002</t>
  </si>
  <si>
    <t>MAZDA 626 [USA] СД 1997-2002 СТ ВЕТР ЗЛ</t>
  </si>
  <si>
    <t>626 СД+ХБ 1997-2002</t>
  </si>
  <si>
    <t>MAZDA 626 СЕД+ХБ 1997-2002 СТ ВЕТР ЗЛ</t>
  </si>
  <si>
    <t>MAZDA 626 СЕД+ХБ 1997-2002 СТ ВЕТР ЗЛГЛ</t>
  </si>
  <si>
    <t>MAZDA 626 СЕД+ХБ 1997-2002 СТ ВЕТР ЗЛЗЛ</t>
  </si>
  <si>
    <t>MAZDA 626 СЕД+ХБ 1997-2002 УСТ КОМПЛ ДЛЯ СТ ВЕТР</t>
  </si>
  <si>
    <t>MAZDA 626 СЕД+ХБ 1997-2002 МОЛД  ДЛЯ СТ ВЕТР</t>
  </si>
  <si>
    <t>MAZDA 626 ХБ 1997-2002  СТ ЗАДН ЗЛ ФИТ</t>
  </si>
  <si>
    <t>MAZDA 626 СД 1997-2002  СТ ЗАДН ЗЛ+УО</t>
  </si>
  <si>
    <t>MAZDA 626 СЕД+ХБ 1997-2002  СТ ПЕР ДВ ОП ЛВ ЗЛ</t>
  </si>
  <si>
    <t>MAZDA 626 ХБ 1997-2002  СТ ЗАДН ДВ ОП ЛВ ЗЛ</t>
  </si>
  <si>
    <t>MAZDA 626 ХБ 1997-2002  СТ БОК НЕП ЛВ ЗЛ</t>
  </si>
  <si>
    <t>MAZDA 626 СЕД 1997-2002  СТ ЗАДН ДВ ОП ЛВ ЗЛ</t>
  </si>
  <si>
    <t>MAZDA 626 СЕД 1997-2002  СТ ФОРТ ЗАДН НЕП ЛВ ЗЛ</t>
  </si>
  <si>
    <t>MAZDA 626 СЕД+ХБ 1997-2002  СТ ПЕР ДВ ОП ПР ЗЛ</t>
  </si>
  <si>
    <t>MAZDA 626 ХБ 1997-2002  СТ ЗАДН ДВ ОП ПР ЗЛ</t>
  </si>
  <si>
    <t>MAZDA 626 ХБ 1997-2002  СТ БОК НЕП ПР ЗЛ</t>
  </si>
  <si>
    <t>MAZDA 626 СЕД 1997-2002  СТ ЗАДН ДВ ОП ПР ЗЛ</t>
  </si>
  <si>
    <t>MAZDA 626 СЕД 1997-2002  СТ ФОРТ ЗАДН НЕП ПР ЗЛ</t>
  </si>
  <si>
    <t>626 EST 11/1997-2002</t>
  </si>
  <si>
    <t>MAZDA 626 УН 11/1997-2002  СТ ВЕТР ЗЛ</t>
  </si>
  <si>
    <t>MAZDA 626 УН 11/1997-2002  СТ ВЕТР ЗЛГЛ</t>
  </si>
  <si>
    <t>MAZDA 626 УН 11/1997-2002  СТ ВЕТР ЗЛЗЛ</t>
  </si>
  <si>
    <t>MAZDA 626 УН 11/1997-2002 МОЛД  ДЛЯ СТ ВЕТР</t>
  </si>
  <si>
    <t>MAZDA 626 УН 11/1997-2002  СТ ЗАДН ЭО ЗЛ ФИТ</t>
  </si>
  <si>
    <t>MAZDA 626 УН 11/1997-2002  СТ ПЕР ДВ ОП ЛВ ЗЛ</t>
  </si>
  <si>
    <t>MAZDA 626 УН 11/1997-2002  СТ ЗАДН ДВ ОП ЛВ ЗЛ</t>
  </si>
  <si>
    <t>MAZDA 626 УН 11/1997-2002  СТ ФОРТ ЗАДН НЕП ЛВ ЗЛ</t>
  </si>
  <si>
    <t>MAZDA 626 УН 11/1997-2002  СТ ПЕР ДВ ОП ПР ЗЛ</t>
  </si>
  <si>
    <t>MAZDA 626 УН 11/1997-2002  СТ ЗАДН ДВ ОП ПР ЗЛ</t>
  </si>
  <si>
    <t>MAZDA 626 УН 11/1997-2002  СТ ФОРТ ЗАДН НЕП ПР ЗЛ</t>
  </si>
  <si>
    <t>929 IV СД 1987/1988-2000</t>
  </si>
  <si>
    <t>1987-2000</t>
  </si>
  <si>
    <t>MAZDA 929 IV СД 1987-2000  СТ ВЕТР ЗЛГЛ</t>
  </si>
  <si>
    <t>B2000-2200 ПИ 1985-1998</t>
  </si>
  <si>
    <t>1985-1998</t>
  </si>
  <si>
    <t>MAZDA B2000-2200 ПИКАП 1985-1998 СТ ВЕТР</t>
  </si>
  <si>
    <t>BT50 ПИКАП 2007-</t>
  </si>
  <si>
    <t>MAZDA BT50 ПИКАП 2007-  СТ ВЕТР ЗЛ/FORD RANGER 2007- СТ ВЕТР ЗЛ</t>
  </si>
  <si>
    <t>CX-7 2007-</t>
  </si>
  <si>
    <t>MAZDA CX-7 2007- СТ ВЕТР ЗЛ+ДД+УО</t>
  </si>
  <si>
    <t>DEMIO 1998-2003</t>
  </si>
  <si>
    <t>MAZDA DEMIO 1998-2003 СТ ВЕТР ЗЛ</t>
  </si>
  <si>
    <t>MAZDA DEMIO 1998-2003  СТ ВЕТР ЗЛЗЛ</t>
  </si>
  <si>
    <t>MAZDA DEMIO 1998-2003  МОЛД  ДЛЯ СТ ВЕТР</t>
  </si>
  <si>
    <t>MAZDA DEMIO МИН 1998-2003  СТ ЗАДН ЗЛ</t>
  </si>
  <si>
    <t>MAZDA DEMIO 1998-2003  СТ ПЕР ДВ ОП ЛВ ЗЛ</t>
  </si>
  <si>
    <t>MAZDA DEMIO 1998-2003  СТ ЗАДН ДВ ОП ЛВ ЗЛ</t>
  </si>
  <si>
    <t>MAZDA DEMIO 1998-2003  СТ ЗАДН ДВ НЕП ЛВ ЗЛ</t>
  </si>
  <si>
    <t>MAZDA DEMIO 1998-2003  СТ ПЕР ДВ ОП ПР ЗЛ</t>
  </si>
  <si>
    <t>MAZDA DEMIO 1998-2003  СТ ЗАДН ДВ ОП ПР ЗЛ</t>
  </si>
  <si>
    <t>MAZDA DEMIO 1998-2003  СТ ЗАДН ДВ НЕП ПР ЗЛ</t>
  </si>
  <si>
    <t>E2000 2000-</t>
  </si>
  <si>
    <t>MAZDA E2000 2000  СТ ВЕТР ЗЛ+УО</t>
  </si>
  <si>
    <t>E2000 МИН+ПИКАП 1984-1997</t>
  </si>
  <si>
    <t>1984-1997</t>
  </si>
  <si>
    <t>MAZDA E2000 МИН+ПИКАП 1984-1997  СТ ВЕТР ГЛ</t>
  </si>
  <si>
    <t>MAZDA E2000 МИН+ПИКАП 1984-1997  СТ ВЕТР ГЛГЛ</t>
  </si>
  <si>
    <t>MAZDA E2000 МИН+ПИКАП 1984-1997  СТ ВЕТР/ASIA HI TOPIC 1995-  СТ ВЕТР</t>
  </si>
  <si>
    <t>MAZDA E2000 МИН+ПИКАП 1984-1997  СТ ЗАДН ЭО</t>
  </si>
  <si>
    <t>MAZDA E2000 МИН+ПИКАП 1984-1997  СТ ПЕР ДВ ОП ЛВ</t>
  </si>
  <si>
    <t>MPV 1996-1999</t>
  </si>
  <si>
    <t>MAZDA МИН 1996-1999  СТ ВЕТР ЗЛ</t>
  </si>
  <si>
    <t>MAZDA MPV 1996-1999  НАБ КЛИПС ДЛЯ СТ ВЕТР</t>
  </si>
  <si>
    <t>MAZDA MPV 1996-1999  МОЛД  ДЛЯ СТ ВЕТР ВЕРХ</t>
  </si>
  <si>
    <t>MPV 2000-</t>
  </si>
  <si>
    <t>MAZDA МИН 2000-  СТ ВЕТР ЗЛ</t>
  </si>
  <si>
    <t>MAZDA МИН 2000-  СТ ВЕТР ЗЛГЛ</t>
  </si>
  <si>
    <t>MAZDA MPV 2000-  МОЛД  ДЛЯ СТ ВЕТР</t>
  </si>
  <si>
    <t>MAZDA MPV 2000-  СТ ПЕР ДВ ОП ЛВ ЗЛ</t>
  </si>
  <si>
    <t>MAZDA MPV 2000-  СТ ПЕР ДВ ОП ПР ЗЛ</t>
  </si>
  <si>
    <t>MAZDA MPV 2000-  СТ ЗАДН ДВ ОП ПР ЗЛ</t>
  </si>
  <si>
    <t>MX3 1991-2000</t>
  </si>
  <si>
    <t>MAZDA MX3 1991-2000  СТ ВЕТР ГЛ</t>
  </si>
  <si>
    <t>MAZDA MX3 1991-2000  СТ ВЕТР ГЛГЛ</t>
  </si>
  <si>
    <t>MAZDA MX3 1991-2000  МОЛД  ДЛЯ СТ ВЕТР</t>
  </si>
  <si>
    <t>MAZDA MX3 1991-2000  СТ ПЕР ДВ ОП ЛВ ГЛ</t>
  </si>
  <si>
    <t>MAZDA MX3 1991-2000  СТ ПЕР ДВ ОП ПР ГЛ</t>
  </si>
  <si>
    <t>MX5 TOURER 1991-2005</t>
  </si>
  <si>
    <t>1991-2005</t>
  </si>
  <si>
    <t>MAZDA MX5  1991-2005  СТ ВЕТР ГЛ</t>
  </si>
  <si>
    <t>MAZDA MX5  1991-2005  СТ ВЕТР ГЛГЛ</t>
  </si>
  <si>
    <t>MAZDA MX5  1991-2005  СТ ВЕТР ЗЛ</t>
  </si>
  <si>
    <t>MAZDA MX5  1991-2005  УСТ КОМПЛ ДЛЯ СТ ВЕТР</t>
  </si>
  <si>
    <t>MX5 1998-2006</t>
  </si>
  <si>
    <t>1998-2000</t>
  </si>
  <si>
    <t>MAZDA B SER 2Д+4Д 1998-2006  СТ ВЕТР ЗЛ/FORD RANGER PU 1999-  СТ ВЕТР ЗЛ</t>
  </si>
  <si>
    <t>MAZDA B SER ПИКАП 2Д+4Д 1998-2006  СТ ЗАДН/MAZDA BT50 PICK-UP 2007- СТ ЗАДН</t>
  </si>
  <si>
    <t>MAZDA B SER 2Д+4Д 1998-2006  СТ ПЕР ДВ ОП ЛВ ЗЛ/FORD RANGER PU 1999-  СТ ПЕР ДВ ОП ЛВ ЗЛ</t>
  </si>
  <si>
    <t>MAZDA B SER 4Д 1998-2006  СТ ЗАДН ДВ ОП ЛВ ЗЛ+УО/FORD RANGER PU 4D 99- СТ ЗАДН ДВ ОП ЛВ ЗЛ+УО</t>
  </si>
  <si>
    <t>MAZDA B SER 2Д 1998-2006  СТ ПЕР ДВ ОП ПР ЗЛ/FORD RANGER PU 1999-  СТ ПЕР ДВ ОП ПР ЗЛ</t>
  </si>
  <si>
    <t>MAZDA B SER 4Д 1998-2006  СТ ЗАДН ДВ ОП ПР ЗЛ+УО/FORD RANGER PU 4D 99- СТ ЗАДН ДВ ОП ПР ЗЛ+УО</t>
  </si>
  <si>
    <t>MX5 2005-</t>
  </si>
  <si>
    <t>MAZDA MX5 2005-  СТ ВЕТР ЗЛ</t>
  </si>
  <si>
    <t>MX6 COUPE 1992-1997</t>
  </si>
  <si>
    <t>MAZDA MX6 COUPE 1992-1997 СТ ВЕТР ГЛ</t>
  </si>
  <si>
    <t>MAZDA MX6 COUPE 1992-1997 СТ ВЕТР ГЛГЛ</t>
  </si>
  <si>
    <t>MAZDA MX6 COUPE 1992-1997 МОЛД  ДЛЯ СТ ВЕТР</t>
  </si>
  <si>
    <t>MAZDA MX6 COUPE 1992-1997  СТ ПЕР ДВ ОП ЛВ ГЛ</t>
  </si>
  <si>
    <t>MAZDA MX6 COUPE 1992-1997  СТ ПЕР ДВ ОП ПР ГЛ</t>
  </si>
  <si>
    <t>RX8 2003-</t>
  </si>
  <si>
    <t>MAZDA RX8 LHD 03-СТ ВЕТР ЗЛ+ИНК</t>
  </si>
  <si>
    <t>PREMACY 1999-2005</t>
  </si>
  <si>
    <t>MAZDA PREMACY 1999-2005  СТ ВЕТР ЗЛ</t>
  </si>
  <si>
    <t>MAZDA PREMACY 1999-2005  СТ ВЕТР ЗЛГЛ</t>
  </si>
  <si>
    <t>MAZDA PREMACY 1999-2005  СТ ВЕТР ЗЛЗЛ</t>
  </si>
  <si>
    <t>MAZDA PREMACY 1999-2005  МОЛД  ДЛЯ СТ ВЕТР</t>
  </si>
  <si>
    <t>MAZDA PREMACY 1999-2005  СТ ПЕР ДВ ОП ЛВ ЗЛ</t>
  </si>
  <si>
    <t>MAZDA PREMACY 1999-2005  СТ ЗАДН ДВ ОП ЛВ ЗЛ</t>
  </si>
  <si>
    <t>MAZDA PREMACY 1999-2005  СТ ЗАДН ДВ НЕП ЛВ ЗЛ</t>
  </si>
  <si>
    <t>MAZDA PREMACY 1999-2005  СТ ПЕР ДВ ОП ПР ЗЛ</t>
  </si>
  <si>
    <t>MAZDA PREMACY 1999-2005  СТ ЗАДН ДВ ОП ПР ЗЛ</t>
  </si>
  <si>
    <t>MAZDA PREMACY 1999-2005  СТ ЗАДН ДВ НЕП ПР ЗЛ</t>
  </si>
  <si>
    <t>TRIBUTE 2001-</t>
  </si>
  <si>
    <t>MAZDA TRIBUTE 2001  СТ ВЕТР ЗЛГЛ+VIN+УО/FORD MAVERICK 2000- СТ ВЕТР ЗЛГЛ+VIN+УО</t>
  </si>
  <si>
    <t>MAZDA TRIBUTE 2001- СТ ВЕТР ЗЛ+VIN+УО/FORD MAVERICK 2000- СТ ВЕТР ЗЛ+VIN+УО</t>
  </si>
  <si>
    <t>MAZDA TRIBUTE 2001- МОЛД  ДЛЯ СТ ВЕТР</t>
  </si>
  <si>
    <t>MAZDA TRIBUTE ВН 2001-  СТ ЗАДН ЗЛ</t>
  </si>
  <si>
    <t>MAZDA TRIBUTE 2001-  СТ ПЕР ДВ ОП ЛВ ЗЛ</t>
  </si>
  <si>
    <t>MAZDA TRIBUTE 2001-  СТ ЗАДН ДВ ОП ЛВ ЗЛ/FORD MAVERICK 2000- СТ ЗАДН ДВ ОП ЛВ ЗЛ</t>
  </si>
  <si>
    <t>MAZDA TRIBUTE 2001-  СТ ПЕР ДВ ОП ПР ЗЛ</t>
  </si>
  <si>
    <t>MAZDA TRIBUTE 2001-  СТ ЗАДН ДВ ОП ПР ЗЛ/FORD MAVERICK 2000- СТ ЗАДН ДВ ОП ПР ЗЛ</t>
  </si>
  <si>
    <t>XEDOS 6 1992-2000</t>
  </si>
  <si>
    <t>1992-2000</t>
  </si>
  <si>
    <t>MAZDA XEDOS 6 1992-2000  СТ ВЕТР ГЛ</t>
  </si>
  <si>
    <t>MAZDA XEDOS 6 1992-2000  СТ ВЕТР ГЛГЛ</t>
  </si>
  <si>
    <t>MAZDA XEDOS 6 1992-2000  СТ ВЕТР БР</t>
  </si>
  <si>
    <t>MAZDA XEDOS 6 1992-2000  СТ ВЕТР БРГЛ</t>
  </si>
  <si>
    <t>MAZDA XEDOS 6 1992-2000  СТ ВЕТР СР</t>
  </si>
  <si>
    <t>MAZDA XEDOS 6 1992-2000 МОЛД  ДЛЯ СТ ВЕТР</t>
  </si>
  <si>
    <t>XEDOS 9 1993-1996</t>
  </si>
  <si>
    <t>MAZDA XEDOS 9 (ЛВРУЛЬ) 1993-1996  СТ ВЕТР ЗЛЗЛ</t>
  </si>
  <si>
    <t>MAZDA XEDOS 9 (ЛВРУЛЬ) 1993-1996  СТ ВЕТР ЗЛЗЛ+ИЗМ КР</t>
  </si>
  <si>
    <t>MCC</t>
  </si>
  <si>
    <t>SMART 1998-2004</t>
  </si>
  <si>
    <t>MCC SMART 1998-2004  СТ ВЕТР ГЛ</t>
  </si>
  <si>
    <t>MCC SMART 1998-2004  СТ ВЕТР ЗЛ</t>
  </si>
  <si>
    <t>MCC SMART 1998-2004 3Д+2Д SOFTВЕРХ 98  МОЛД  ДЛЯ СТ ВЕТР</t>
  </si>
  <si>
    <t>MCC SMART 1998-2004  СТ ПЕР ДВ ОП ЛВ ГЛ</t>
  </si>
  <si>
    <t>MCC SMART 1998-2004  СТ ПЕР ДВ НЕП ЛВ ИНК ГЛ</t>
  </si>
  <si>
    <t>MCC SMART 1998-2004 3Д  СТ ПЕР ДВ ОП ЛВ ЗЛ</t>
  </si>
  <si>
    <t>MCC SMART 1998-2004 3Д  СТ ПЕР ДВ НЕП ЛВ ЗЛ+ИНК</t>
  </si>
  <si>
    <t>MCC SMART 1998-2004  СТ ПЕР ДВ ОП ЛВ ЗЛ</t>
  </si>
  <si>
    <t>MCC SMART 1998-2004  СТ ПЕР ДВ ЛВ НЕП ЗЛ+ИНК</t>
  </si>
  <si>
    <t>MCC SMART 1998-2004  СТ ПЕР ДВ ОП ПР ГЛ</t>
  </si>
  <si>
    <t>MCC SMART 1998-2004  СТ ПЕР ДВ НЕП ПР ИНК ГЛ</t>
  </si>
  <si>
    <t>MCC SMART 1998-2004 3Д  СТ ПЕР ДВ ОП ПР ЗЛ</t>
  </si>
  <si>
    <t>MCC SMART 1998-2004 3Д  СТ ПЕР ДВ НЕП ПР ЗЛ+ИНК</t>
  </si>
  <si>
    <t>MCC SMART 1998-2004 2Д  СТ ПЕР ДВ ОП ПР СТ ПЕР ДВ ОП ПР ЗЛ</t>
  </si>
  <si>
    <t>MCC SMART 1998-2004 2Д  СТ ПЕР ДВ НЕП ПР ЗЛ+ИНК</t>
  </si>
  <si>
    <t>SMART FOR FOUR 2004-</t>
  </si>
  <si>
    <t>MCC SMART FOR FOUR 2004-  СТ ВЕТР ГЛ+VIN</t>
  </si>
  <si>
    <t>MCC SMART FOR FOUR 2004-  СТ ВЕТР ЗЛ+ДД+VIN</t>
  </si>
  <si>
    <t>MCC SMART FOR FOUR 2004-  СТ ВЕТР ЗЛ+VIN</t>
  </si>
  <si>
    <t>MCC SMART FOR FOUR 2004- МОЛД  ДЛЯ СТ ВЕТР НИЖН</t>
  </si>
  <si>
    <t>MCC SMART FOR FOUR ХБ 2004-  СТ ЗАДН ДВ ТГЛ+УО</t>
  </si>
  <si>
    <t>MCC SMART FOR FOUR ХБ 2004-  СТ ЗАДН ЗЛ+УО</t>
  </si>
  <si>
    <t>MCC SMART FOR FOUR 2004-  СТ ЗАДН ДВ ОП ЛВ ГЛ</t>
  </si>
  <si>
    <t>MCC SMART FOR FOUR 2004-  СТ ПЕР ДВ ОП ЛВ ЗЛ</t>
  </si>
  <si>
    <t>MCC SMART FOR FOUR 2004-  СТ ЗАДН ДВ ОП ЛВ ЗЛ</t>
  </si>
  <si>
    <t>MCC SMART FOR FOUR 2004-  СТ ПЕР ДВ ОП ПР ГЛ</t>
  </si>
  <si>
    <t>MCC SMART FOR FOUR 2004-  СТ ПЕР ДВ ОП ПР ЗЛ</t>
  </si>
  <si>
    <t>MCC SMART FOR FOUR 2004-  СТ ЗАДН ДВ ОП ПР ЗЛ</t>
  </si>
  <si>
    <t>SMART FOR TWO 3Д ХБ 2007-</t>
  </si>
  <si>
    <t>MCC SMART FOR TWO 3Д ХБ 2007-  СТ ВЕТР ЗЛ+ДД+VIN</t>
  </si>
  <si>
    <t>MCC SMART FOR TWO 3Д ХБ 2007- СТ ВЕТР ЗЛ+VIN</t>
  </si>
  <si>
    <t>MCC SMART FOR TWO 3Д ХБ 2007- СТ ЗАДН ДВ ЗЛ+ОТКР+УО</t>
  </si>
  <si>
    <t>MCC SMART FOR TWO 3Д ХБ 2007- СТ ПЕР ДВ ОП ЛВ ЗЛ</t>
  </si>
  <si>
    <t>MCC SMART FOR TWO 3Д ХБ 2007- СТ ФОРТ ПЕР НЕП ЛВ ЗЛ+ИНК</t>
  </si>
  <si>
    <t>MCC SMART FOR TWO 3Д ХБ 2007- СТ ПЕР ДВ ОП ПР ЗЛ</t>
  </si>
  <si>
    <t>MCC SMART FOR TWO 3Д ХБ 2007- СТ ФОРТ ПЕР НЕП ПР ЗЛ+ИНК</t>
  </si>
  <si>
    <t>MERCEDES</t>
  </si>
  <si>
    <t>A CLASS 2004- / B CLASS 2005-</t>
  </si>
  <si>
    <t>MERCEDES A CL 2004-  / B CL 2005-  СТ ВЕТР ЗЛГЛ+ДД+VIN+ИЗМ ШЕЛК</t>
  </si>
  <si>
    <t>MERCEDES A CL 2004-  / B CL 2005-  СТ ВЕТР ЗЛГЛ+VIN</t>
  </si>
  <si>
    <t>MERCEDES A CL 2004-  / B CL 2005-  СТ ВЕТР ЗЛ+VIN</t>
  </si>
  <si>
    <t>MERCEDES A CL ХБ 2004-  СТ ЗАДН ЗЛ+СТОП</t>
  </si>
  <si>
    <t>MERCEDES A CL ХБ 2004-  СТ ЗАДН ЗЛ+СТОП+КЛЕММЫ+GPS</t>
  </si>
  <si>
    <t>MERCEDES B CL МИН 2005-  СТ ЗАДН ЗЛ</t>
  </si>
  <si>
    <t>MERCEDES B CL МИН 2005-  СТ ЗАДН ЗЛ+GPS+КЛЕММЫ</t>
  </si>
  <si>
    <t>MERCEDES A CL 3Д 2004-  СТ ПЕР ДВ ОП ЛВ ЗЛ</t>
  </si>
  <si>
    <t>MERCEDES A CL 2004-  / B CL 2005-  СТ ПЕР ДВ ОП ЛВ ЗЛ</t>
  </si>
  <si>
    <t>MERCEDES A CL 5Д 2004-  СТ ЗАДН ДВ ОП ЛВ ЗЛ</t>
  </si>
  <si>
    <t>MERCEDES B CL 2005-  СТ ЗАДН ДВ ОП ЛВ ЗЛ</t>
  </si>
  <si>
    <t>MERCEDES A CL 3Д 2004-  СТ ПЕР ДВ ОП ПР ЗЛ</t>
  </si>
  <si>
    <t>MERCEDES A CL 2004-  / B CL 2005- СТ ПЕР ДВ ОП ПР ЗЛ</t>
  </si>
  <si>
    <t>MERCEDES A CL 5Д 2004-  СТ ЗАДН ДВ ОП ПР ЗЛ</t>
  </si>
  <si>
    <t>MERCEDES B CL 2005-  СТ ЗАДН ДВ ОП ПР ЗЛ</t>
  </si>
  <si>
    <t>A CLASS 1997-2004</t>
  </si>
  <si>
    <t>MERCEDES A CL 1997-2004  СТ ВЕТР ЗЛГЛ+VIN</t>
  </si>
  <si>
    <t>MERCEDES A CL 1997-2004  СТ ВЕТР ЗЛЗЛ+VIN</t>
  </si>
  <si>
    <t>MERCEDES A CL 1997-2004  СТ ВЕТР ЗЛСР+VIN</t>
  </si>
  <si>
    <t>MERCEDES A CL 1997-2004  СТ ВЕТР ЗЛ+VIN+КР</t>
  </si>
  <si>
    <t>MERCEDES A CL 1997-2004  МОЛД  ДЛЯ СТ ВЕТР ВЕРХ</t>
  </si>
  <si>
    <t>MERCEDES A CL ХБ 1997-2004  СТ ЗАДН ЭО ЗЛ АНТ+СТОП</t>
  </si>
  <si>
    <t>MERCEDES A CL 1997-2004  СТ ПЕР ДВ ОП ЛВ ЗЛ</t>
  </si>
  <si>
    <t>MERCEDES A CL 1997-2004  СТ ФОРТ ПЕР ДВ ЛВ ЗЛ</t>
  </si>
  <si>
    <t>MERCEDES A CL 1997-2004  СТ ЗАДН ДВ ОП ЛВ ЗЛ</t>
  </si>
  <si>
    <t>MERCEDES A CL 2001-2004  СТ ЗАДН ДВ ОП ЛВ ЗЛ+ИЗМ РАЗМ</t>
  </si>
  <si>
    <t>MERCEDES A CL 1997-2004  СТ ПЕР ДВ ОП ПР ЗЛ</t>
  </si>
  <si>
    <t>MERCEDES A CL 1997-2004  СТ ФОРТ ПЕР ДВ ПР ЗЛ</t>
  </si>
  <si>
    <t>MERCEDES A CL 1997-2004  СТ ЗАДН ДВ ОП ПР ЗЛ</t>
  </si>
  <si>
    <t>MERCEDES A CL 2001-2004  СТ ЗАДН ДВ ОП ПР ЗЛ+ИЗМ РАЗМ</t>
  </si>
  <si>
    <t>CL CLASS 2006-</t>
  </si>
  <si>
    <t>MERCEDES CL CL (W216) 2006-  СТ ВЕТР+ЭО+ДД+VIN+УО</t>
  </si>
  <si>
    <t>MERCEDES CL CL (W216) 2006-  СТ ВЕТР ЭО+ДД+VIN+УО</t>
  </si>
  <si>
    <t>CPE 2009-</t>
  </si>
  <si>
    <t>MERCEDES CLK CPE 09 СТ ВЕТР ЗЛ+ДД+VIN+ДО</t>
  </si>
  <si>
    <t>MERCEDES E-CL 09-СТ ВЕТР ЗЛ+АНТ+ДД+VIN+ИНК</t>
  </si>
  <si>
    <t>MERCEDES E-CL 09-СТ ВЕТР ЗЛ+ДД+VIN+ИНК+ИЗМУО</t>
  </si>
  <si>
    <t>MERCEDES CPE 2009- СТ ПЕР ДВ ОП ЛВ ЗЛ</t>
  </si>
  <si>
    <t>MERCEDES CPE 2009- СТ ЗАДН НЕП ЛВ ЗЛ+УО</t>
  </si>
  <si>
    <t>MERCEDES CPE 2009- СТ ПЕР ДВ ОП ПР ЗЛ</t>
  </si>
  <si>
    <t>MERCEDES CPE 2009- СТ ЗАДН НЕП ПР ЗЛ+УО</t>
  </si>
  <si>
    <t>E-CLASS 4Д W212 СД 2009-</t>
  </si>
  <si>
    <t>MERCEDES E-CLASS 2010- СТ ВЕТР ЗЛ+ЭО+ДД</t>
  </si>
  <si>
    <t>MERCEDES E-CLASS 4Д W212 СД 2009- СТ ПЕР ДВ ОП ЛВ ЗЛ</t>
  </si>
  <si>
    <t>MERCEDES E-CLASS 4Д W212 СД 2009- СТ ЗАДН ДВ ОП ЛВ ЗЛ</t>
  </si>
  <si>
    <t>MERCEDES E-CLASS 4Д W212 СД 2009- СТ ПЕР ДВ ОП ПР ЗЛ</t>
  </si>
  <si>
    <t>MERCEDES E-CLASS 4Д W212 СД 2009- СТ ЗАДН ДВ ОП ПР ЗЛ</t>
  </si>
  <si>
    <t>G-MODEL RANGER (GELANDEVAGEN) 1983-2006</t>
  </si>
  <si>
    <t>1983-2006</t>
  </si>
  <si>
    <t>MERCEDES RANGER 230 300 1983-2006  СТ ВЕТР</t>
  </si>
  <si>
    <t>MERCEDES RANGER 230 300 1983-2006  СТ ВЕТР ЗЛ</t>
  </si>
  <si>
    <t>MERCEDES RANGER 230 300 09/1997-2006  СТ ВЕТР ЗЛ</t>
  </si>
  <si>
    <t>MERCEDES RANGER 230 300 1983-2006  СТ ВЕТР ЗЛГЛ</t>
  </si>
  <si>
    <t>MERCEDES RANGER 230 300 1983-2006  СТ ВЕТР ЗЛЗЛ</t>
  </si>
  <si>
    <t>MERCEDES RANGER 230 300 09/1997-2006 СТ ВЕТР ЗЛЗЛ</t>
  </si>
  <si>
    <t>MERCEDES RANGER 230 300 09/1997-2006  СТ ВЕТР ЗЛ+ЭО</t>
  </si>
  <si>
    <t>MERCEDES RANGER 230 300 09/1997-2006  РЕЗ ПРОФ ДЛЯ СТ ВЕТР</t>
  </si>
  <si>
    <t>MERCEDES RANGER 230 300 1983-2006  СТ БОК НЕП</t>
  </si>
  <si>
    <t>MERCEDES RANGER 230 300 1983-2006  СТ ПЕР ДВ ОП ЗЛ</t>
  </si>
  <si>
    <t>MERCEDES RANGER 230 300 1983-2006  СТ БОК НЕП ЗЛ</t>
  </si>
  <si>
    <t>GLK JEEP 2008-</t>
  </si>
  <si>
    <t>MERCEDES GLK JEEP 2008- СТ ЗАДН ОП ЛВ СР</t>
  </si>
  <si>
    <t>MERCEDES GLK JEEP 2008- СТ ЗАДН ДВ ОП ПР ЛВ</t>
  </si>
  <si>
    <t>MERCEDES GLK JEEP 2008- СТ ПЕР ДВ ОП ЛВ ЗЛ</t>
  </si>
  <si>
    <t>MERCEDES GLK JEEP 2008- СТ ПЕР ДВ ОП ПР ЗЛ</t>
  </si>
  <si>
    <t>MERCEDES GLK JEEP 2008- СТ ЗАДН ДВ ОП ПР ЗЛ</t>
  </si>
  <si>
    <t>MERCEDES GLK JEEP 2008- СТ ЗАДН ОП ПР СР</t>
  </si>
  <si>
    <t>M CLASS (ML) 1998-2005</t>
  </si>
  <si>
    <t>MERCEDES M CL 1999-2005  СТ ВЕТР ЗЛСР ДД+ИНК+VIN</t>
  </si>
  <si>
    <t>MERCEDES M CL 1998-2005  СТ ВЕТР ЗЛСР+VIN+ИНК</t>
  </si>
  <si>
    <t>MERCEDES M CL 1999-2005  СТ ВЕТР ЗЛСР+VIN+ИНК</t>
  </si>
  <si>
    <t>MERCEDES M CL 2000-2005  СТ ВЕТР ЗЛСР+VIN+ИНК</t>
  </si>
  <si>
    <t>MERCEDES M CL ВН 1998-2005  СТ ЗАДН ТЗЛ+АНТ+СТОП</t>
  </si>
  <si>
    <t>MERCEDES M CL ВН 1998-2005  СТ ЗАДН ЗЛ+АНТ+СТОП</t>
  </si>
  <si>
    <t>MERCEDES M CL 1998-2005  СТ ПЕР ДВ ОП ЛВ ЗЛ</t>
  </si>
  <si>
    <t>MERCEDES M CL 1998-2005  СТ ЗАДН ДВ ОП ЛВ ЗЛ</t>
  </si>
  <si>
    <t>MERCEDES M CL 1998-2005  СТ ФОРТ ЗАДН НЕП ЛВ ЗЛ</t>
  </si>
  <si>
    <t>MERCEDES M CL 1998-2005  СТ ЗАДН ДВ ОП ЛВ СР</t>
  </si>
  <si>
    <t>MERCEDES M CL 1998-2005  СТ ПЕР ДВ ОП ПР ЗЛ</t>
  </si>
  <si>
    <t>MERCEDES M CL 1998-2005  СТ ЗАДН ДВ ОП ПР ЗЛ</t>
  </si>
  <si>
    <t>MERCEDES M CL 1998-2005  СТ ФОРТ ЗАДН НЕП ПР ЗЛ</t>
  </si>
  <si>
    <t>MERCEDES M CL 1998-2005  СТ ЗАДН ДВ ОП ПР СР</t>
  </si>
  <si>
    <t>M CLASS (W164) 2005-</t>
  </si>
  <si>
    <t>MERCEDES M CL (W164) 2005-/ GL CL 2006-  СТ ВЕТР ГЛ+ДД+VIN+ИНК</t>
  </si>
  <si>
    <t>MERCEDES M CL (W164) 2005-/ GL CL 2006-  СТ ВЕТР ЗЛ+ДД+VIN+ИНК</t>
  </si>
  <si>
    <t>MERCEDES M CL (W164) 2005- / GL CL 2006-  СТ ПЕР ДВ ОП ЛВ ГЛ</t>
  </si>
  <si>
    <t>MERCEDES M CL (W164) 2005- СТ ЗАДН ДВ ОП ЛВ ГЛ</t>
  </si>
  <si>
    <t>MERCEDES M CL (W164) 2005- / GL CL 2006-  СТ ПЕР ДВ ОП ЛВ ЗЛ</t>
  </si>
  <si>
    <t>MERCEDES M CL (W164) 2005- СТ ЗАДН ДВ ОП ЛВ ЗЛ</t>
  </si>
  <si>
    <t>MERCEDES M CL (W164) 2005- СТ ЗАДН ДВ ОП ЛВ БР</t>
  </si>
  <si>
    <t>MERCEDES M CL (W164) 2005- / GL CL 2006-  СТ ПЕР ДВ ОП ПР ГЛ</t>
  </si>
  <si>
    <t>MERCEDES M CL (W164) 2005- СТ ЗАДН ДВ ОП ПР ГЛ</t>
  </si>
  <si>
    <t>MERCEDES M CL (W164) 2005- / GL CL 2006-  СТ ПЕР ДВ ОП ПР+ТРИПЛ+УО</t>
  </si>
  <si>
    <t>MERCEDES M CL (W164) 2005- / GL CL 2006-  СТ ПЕР ДВ ОП ПР ЗЛ</t>
  </si>
  <si>
    <t>MERCEDES M CL (W164) 2005- СТ ЗАДН ДВ ОП ПР ЗЛ</t>
  </si>
  <si>
    <t>MERCEDES M CL (W164) 2005- СТ ЗАДН ДВ ОП ПР БР</t>
  </si>
  <si>
    <t>R CLASS 2006-</t>
  </si>
  <si>
    <t>MERCEDES R CL 2006-  СТ ВЕТР ГЛ+ДД+VIN+ИНК</t>
  </si>
  <si>
    <t>MERCEDES R CL 2006-  СТ ВЕТР ЗЛ+ДД+VIN+ИНК</t>
  </si>
  <si>
    <t>MERCEDES R CL 2006-  СТ ПЕР ДВ ОП ЛВ ГЛ</t>
  </si>
  <si>
    <t>MERCEDES R CL 2006-  СТ ПЕР ДВ ОП ЛВ ЗЛ</t>
  </si>
  <si>
    <t>MERCEDES R CL 2006-  СТ ЗАДН ДВ ОП ЛВ СР</t>
  </si>
  <si>
    <t>MERCEDES R CL 2006-  СТ ПЕР ДВ ОП ПР ГЛ</t>
  </si>
  <si>
    <t>MERCEDES R CL 2006-  СТ ЗАДН ДВ ОП ПР ГЛ</t>
  </si>
  <si>
    <t>MERCEDES R CL 2006-  СТ ПЕР ДВ ОП ПР ЗЛ</t>
  </si>
  <si>
    <t>MERCEDES R CL 2006-  СТ ЗАДН ДВ ОП ПР ЗЛ</t>
  </si>
  <si>
    <t>MERCEDES R CL 2006-  СТ ЗАДН ДВ ОП ПР СР PR</t>
  </si>
  <si>
    <t>SL CONV 2001-2006</t>
  </si>
  <si>
    <t>MERCEDES SL CONV 2001-2006 СТ ВЕТР ЗЛ СР+АНТ+ЭО+ТВ АНТ+ДД+УО+VIN</t>
  </si>
  <si>
    <t>MERCEDES SL CONV 2001-2006 СТ ВЕТР ЗЛСР+АНТ+ТВ АНТ+МЕТК Д/Д+VIN+УО</t>
  </si>
  <si>
    <t>MERCEDES SL CONV КБ 2001-2006 СТ ЗАДН ЗЛ+УО</t>
  </si>
  <si>
    <t>MERCEDES SL CONV 2001-2006 СТ ПЕР ДВ ОП ЛВ ЗЛ</t>
  </si>
  <si>
    <t>MERCEDES SL CONV 2001-2006 СТ ПЕР ДВ ОП ПР ЗЛ</t>
  </si>
  <si>
    <t>SLK ROADSTER 1996-2004</t>
  </si>
  <si>
    <t>MERCEDES SLK ROADSTER 1996-2004  СТ ВЕТР ЗЛ+VIN</t>
  </si>
  <si>
    <t>MERCEDES SLK ROADSTER 1996-2004 МОЛД  ДЛЯ СТ ВЕТР ВЕРХ</t>
  </si>
  <si>
    <t>MERCEDES SLK ROADSTER КБ 1996-2004  СТ ЗАДН ЗЛ+ИНК</t>
  </si>
  <si>
    <t>MERCEDES SLK ROADSTER 1996-2004  СТ ПЕР ДВ ОП ЛВ ЗЛ</t>
  </si>
  <si>
    <t>MERCEDES SLK ROADSTER 1996-2004  СТ БОК НЕП ЛВ ЗЛ ОТКР</t>
  </si>
  <si>
    <t>MERCEDES SLK ROADSTER 1996-2004  СТ ПЕР ДВ ОП ПР ЗЛ</t>
  </si>
  <si>
    <t>MERCEDES SLK ROADSTER 1996-2004  СТ БОК НЕП ПР ЗЛ ОТКР</t>
  </si>
  <si>
    <t>W123, 200-300 + T/TE 1976-1986</t>
  </si>
  <si>
    <t>MERCEDES 200 300, W123 СД+УН 1976-1987  СТ ВЕТР</t>
  </si>
  <si>
    <t>MERCEDES 200 300, W123 СД+УН 1976-1987  СТ ВЕТР ЗЛ</t>
  </si>
  <si>
    <t>MERCEDES 200 300, W123 СД+УН 1976-1987  СТ ВЕТР ЗЛГЛ</t>
  </si>
  <si>
    <t>MERCEDES 200 300, W123 СД+УН 1976-1987  СТ ВЕТР ЗЛЗЛ</t>
  </si>
  <si>
    <t>MERCEDES 200 300, W123 СД+УН 1976-1987 РЕЗ ПРОФ ДЛЯ СТ ВЕТР</t>
  </si>
  <si>
    <t>1976-1986</t>
  </si>
  <si>
    <t>MERCEDES 200 300, W123 СД+УН 1976-1987  СТ ЗАДН ЭО ЗЛ</t>
  </si>
  <si>
    <t>MERCEDES 200 300, W123 СД+УН 1976-1987 РЕЗ С МОЛД ДЛЯ СТ ЗАДН</t>
  </si>
  <si>
    <t>MERCEDES 200 300, W123 СД 1976-1986 СТ ПЕР ДВ ОП ЛВ</t>
  </si>
  <si>
    <t>MERCEDES 200 300, W123 СД 1976-1986 СТ ФОРТ ЗАДН НЕП ЛВ</t>
  </si>
  <si>
    <t>MERCEDES 200 300, W123 УН 1976-1986 СТ ФОРТ ЗАДН НЕП ЛВ ЗЛ</t>
  </si>
  <si>
    <t>MERCEDES 200 300, W123 СД 1976-1986 СТ ПЕР ДВ ОП ЛВ ЗЛ</t>
  </si>
  <si>
    <t>MERCEDES 200 300, W123 СД 1976-1986 СТ ЗАДН ДВ ОП ЛВ ЗЛ</t>
  </si>
  <si>
    <t>MERCEDES 200 300, W123 СД 1976-1986 СТ ФОРТ ЗАДН НЕП ЛВ ЗЛ</t>
  </si>
  <si>
    <t>MERCEDES 200 300, W123 СД 1976-1986 СТ ПЕР ДВ ОП ПР</t>
  </si>
  <si>
    <t>MERCEDES 200 300, W123 СД 1976-1986 СТ ФОРТ ЗАДН НЕП ПР</t>
  </si>
  <si>
    <t>MERCEDES 200 300, W123 СД 1976-1986 СТ ПЕР ДВ ОП ПР ЗЛ</t>
  </si>
  <si>
    <t>MERCEDES 200 300, W123 СД 1976-1986 СТ ЗАДН ДВ ОП ПР ЗЛ</t>
  </si>
  <si>
    <t>MERCEDES 200 300, W123 СД 1976-1986 СТ ФОРТ ЗАДН НЕП ПР ЗЛ</t>
  </si>
  <si>
    <t>W123, 230-280 CE КП 1977-1987</t>
  </si>
  <si>
    <t>1977-1987</t>
  </si>
  <si>
    <t>MERCEDES 230 280 1977-1987 СТ ВЕТР ЗЛ</t>
  </si>
  <si>
    <t>W124, 200-320 КП + КБ 1987-1993</t>
  </si>
  <si>
    <t>MERCEDES W 124 КП 1987-06/1993 СТ ВЕТР ЗЛ</t>
  </si>
  <si>
    <t>MERCEDES W 124 КП 1987-06/1993 СТ ВЕТР ЗЛГЛ</t>
  </si>
  <si>
    <t>MERCEDES W 124 КП 1987-06/1993 СТ ВЕТР ЗЛЗЛ</t>
  </si>
  <si>
    <t>MERCEDES W 124 КП 1987-1993  СТ ЗАДН ЗЛ+ТРИПЛ</t>
  </si>
  <si>
    <t>MERCEDES W 124 КП 1987-1993  СТ ПЕР ДВ ОП ЛВ ЗЛ</t>
  </si>
  <si>
    <t>MERCEDES W 124 КП 1987-1993  СТ ПЕР ДВ ОП ПР ЗЛ</t>
  </si>
  <si>
    <t>W124, 200-500E СЕД УН 1985-1993</t>
  </si>
  <si>
    <t>1985-1993</t>
  </si>
  <si>
    <t>MERCEDES W124, 200-500E СЕД УН 1985-1993 СТ ВЕТР</t>
  </si>
  <si>
    <t>MERCEDES W124, 200-500E СЕД УН 1985-1993 СТ ВЕТР ЗЛ</t>
  </si>
  <si>
    <t>MERCEDES 200 300, W124 1985-06/1993 СТ ВЕТР ЗЛГЛ</t>
  </si>
  <si>
    <t>MERCEDES 200 300, W124 1985-06/1993 СТ ВЕТР ЗЛЗЛ</t>
  </si>
  <si>
    <t>MERCEDES 200 300, W124 1985-06/1993 СТ ВЕТ ЗЛЗЛ+РЕЗ+VIN</t>
  </si>
  <si>
    <t>MERCEDES 200 300, W124 1985-06/1993 СТ ВЕТР ЗЛЗЛ+УО</t>
  </si>
  <si>
    <t>MERCEDES 200 300, W124 1985-06/1993 СТ ВЕТР ЗЛ+УО</t>
  </si>
  <si>
    <t>MERCEDES 200 300, W124 1985-06/1993 МОЛД  ДЛЯ СТ ВЕТР НИЖН</t>
  </si>
  <si>
    <t>MERCEDES 200 300, W124 СД 1985-06/1993 СТ ЗАДН</t>
  </si>
  <si>
    <t>MERCEDES 200 300, W124 УН 1985-06/1993 СТ ЗАДН ЗЛ</t>
  </si>
  <si>
    <t>MERCEDES 200 300, W124 СД 1985-06/1993 СТ ЗАДН ЭО ЗЛ</t>
  </si>
  <si>
    <t>MERCEDES 200 300, W124 СЕД 1985-06/1993 СТ ПЕР ДВ ОП ЛВ</t>
  </si>
  <si>
    <t>MERCEDES 200 300, W124 СЕД 1985-06/1993 СТ ЗАДН ДВ ОП ЛВ</t>
  </si>
  <si>
    <t>MERCEDES 200 300, W124 СЕД 1985-06/1993 СТ ФОРТ ЗАДН НЕП ЛВ</t>
  </si>
  <si>
    <t>MERCEDES 200 300, W124 УН 1985-06/1993 СТ ЗАДН ДВ ОП ЛВ ЗЛ</t>
  </si>
  <si>
    <t>MERCEDES 200 300, W124 УН 1985-06/1993 СТ БОК НЕП ЛВ ЗЛ</t>
  </si>
  <si>
    <t>MERCEDES 200 300, W124 СЕД 1985-06/1993 СТ ПЕР ДВ ОП ЛВ ЗЛ</t>
  </si>
  <si>
    <t>MERCEDES 200 300, W124 СЕД 1985-06/1993 СТ ЗАДН ДВ ОП ЛВ ЗЛ</t>
  </si>
  <si>
    <t>MERCEDES 200 300, W124 СЕД 1985-06/1993 СТ БОК НЕП ЛВ ЗЛ</t>
  </si>
  <si>
    <t>MERCEDES 200 300, W124 СЕД 1985-06/1993 СТ ПЕР ДВ ОП ПР</t>
  </si>
  <si>
    <t>MERCEDES 200 300, W124 СЕД 1985-06/1993 СТ ЗАДН ДВ ОП ПР</t>
  </si>
  <si>
    <t>MERCEDES 200 300, W124 СЕД 1985-06/1993 СТ ФОРТ ЗАДН НЕП ПР</t>
  </si>
  <si>
    <t>MERCEDES 200 300, W124 УН 1985-06/1993 СТ ЗАДН ДВ ОП ПР ЗЛ</t>
  </si>
  <si>
    <t>MERCEDES 200 300, W124 УН 1985-06/1993 СТ БОК НЕП ПР ЗЛ</t>
  </si>
  <si>
    <t>MERCEDES 200 300, W124 СЕД 1985-06/1993 СТ ПЕР ДВ ОП ПР ЗЛ</t>
  </si>
  <si>
    <t>MERCEDES 200 300, W124 СЕД 1985-06/1993 СТ ЗАДН ДВ ОП ПР ЗЛ</t>
  </si>
  <si>
    <t>MERCEDES 200 300, W124 СЕД 1985-06/1993 СТ БОК НЕП ПР ЗЛ</t>
  </si>
  <si>
    <t>W126, 260-560 СЕД (LHD) 1979-1991</t>
  </si>
  <si>
    <t>1979-1991</t>
  </si>
  <si>
    <t>MERCEDES 280 500 1979-1991 СТ ВЕТР</t>
  </si>
  <si>
    <t>MERCEDES 280 500 1979-1991 СТ ВЕТР ЗЛ</t>
  </si>
  <si>
    <t>MERCEDES 280 500 1979-1991 СТ ВЕТР ЗЛЗЛ</t>
  </si>
  <si>
    <t>MERCEDES 280 500 1979-1991 СТ ПЕР ДВ ОП ЛВ ЗЛ/MERCEDES 280 500 1979-1991 СТ ПЕР ДВ ОП ЛВ ЗЛ</t>
  </si>
  <si>
    <t>MERCEDES 280 500 1979-1991 СТ ФОРТ ЗАДН НЕП ЛВ ЗЛ/MERCEDES 280 500 1979-1991 СТ ФОРТ ЗАДН НЕП ЛВ ЗЛ</t>
  </si>
  <si>
    <t>MERCEDES 280 500 1979-1991 СТ ПЕР ДВ ОП ПР ЗЛ/MERCEDES 280 500 1979-1991 СТ ПЕР ДВ ОП ПР ЗЛ</t>
  </si>
  <si>
    <t>MERCEDES 280 500 1979-1991 СТ ФОРТ ЗАДН НЕП ПР ЗЛ/MERCEDES 280 500 1979-1991 СТ ФОРТ ЗАДН НЕП ПР ЗЛ</t>
  </si>
  <si>
    <t>W126, 260-560 СЕД (RHD) 1979-1991</t>
  </si>
  <si>
    <t>W126, 380-560 СЕД КП (LHD) 1981-1992</t>
  </si>
  <si>
    <t>MERCEDES 280 500 1981-1992 СТ ВЕТР ЗЛЗЛ</t>
  </si>
  <si>
    <t>W129, 300-500 SL 280-600 1989-2001</t>
  </si>
  <si>
    <t>1989-2001</t>
  </si>
  <si>
    <t>MERCEDES 380 500 SL SPORTS 1989-2001  СТ ВЕТР ЗЛЗЛ</t>
  </si>
  <si>
    <t>MERCEDES 380 500 SL SPORTS 1989-2001  СТ ПЕР ДВ ОП ЛВ ЗЛ</t>
  </si>
  <si>
    <t>MERCEDES 380 500 SL SPORTS 1989-2001  СТ ПЕР ДВ ОП ПР ЗЛ</t>
  </si>
  <si>
    <t>W140, S CLASS 280-600 (LHD) 1991-1998</t>
  </si>
  <si>
    <t>MERCEDES S CL W140(ЛВРУЛЬ) 1991-1998  СТ ВЕТР ЗЛЗЛ</t>
  </si>
  <si>
    <t>MERCEDES S CL W140(ЛВРУЛЬ) 1991-1998  СТ ВЕТ ЗЛЗЛ+VIN</t>
  </si>
  <si>
    <t>MERCEDES S CL W140(ЛВРУЛЬ) 1991-1998  СТ ВЕТ ЗЛСР+VIN+ДД</t>
  </si>
  <si>
    <t>MERCEDES S CL W140(ЛВРУЛЬ) 1991-1998  СТ ВЕТР ЗЛСР+VIN</t>
  </si>
  <si>
    <t>MERCEDES S CL W140 СД 1991-1998  СТ ЗАДН ЗЛ+АНТ+ТРИПЛ/MERCEDES S CL W140 91  СТ ЗАДН ЗЛ+АНТ+ТРИПЛ</t>
  </si>
  <si>
    <t>MERCEDES S CL W140 1991-1998  СТ ПЕР ДВ ОП ЛВ ЗЛ ДВ/MERCEDES S CL W140 91  СТ ПЕР ДВ ОП ЛВ ЗЛ+СТ ПАКЕТ</t>
  </si>
  <si>
    <t>MERCEDES S CL W140 1991-1998  СТ ЗАДН ДВ ОП ЛВ ЗЛ ДВ/MERCEDES S CL W140 91  СТ ЗАДН ДВ ОП ЛВ ЗЛ+СТ ПАКЕТ</t>
  </si>
  <si>
    <t>MERCEDES S CL W140 1991-1998  СТ ФОРТ ЗАДН НЕП ЛВ ЗЛ ДВ/MERCEDES S CL W140 91  СТ ФОРТ ЗАДН НЕП ЛВ ЗЛ+СТ ПАКЕТ</t>
  </si>
  <si>
    <t>MERCEDES S CL W140 1991-1998  СТ ЗАДН ДВ ОП ПР ЗЛ ДВ/MERCEDES S CL W140 91  СТ ЗАДН ДВ ОП ПР ЗЛ+СТ ПАКЕТ</t>
  </si>
  <si>
    <t>W140 1991-1998</t>
  </si>
  <si>
    <t>MERCEDES S CL W140 СД 1991-1998 СТ ЗАДН ЗЛ+АНТ+ТРИПЛ/MERCEDES S CL W140 1991-1998  СТ ЗАДН ЗЛ+АНТ+ТРИПЛ</t>
  </si>
  <si>
    <t>MERCEDES S CL W140 1991-1998 СТ ПЕР ДВ ОП ЛВ ЗЛ+СТ ПАКЕТ/MERCEDES S CL W140 1991-1998  СТ ПЕР ДВ ОП ЛВ ЗЛ ДВ</t>
  </si>
  <si>
    <t>MERCEDES S CL W140 1991-1998 СТ ЗАДН ДВ ОП ЛВ ЗЛ+СТ ПАКЕТ/MERCEDES S CL W140 1991-1998  СТ ЗАДН ДВ ОП ЛВ ЗЛ ДВ</t>
  </si>
  <si>
    <t>MERCEDES S CL W140 1991-1998 СТ ФОРТ ЗАДН НЕП ЛВ ЗЛ+СТ ПАКЕТ/MERCEDES S CL W140 1991-1998  СТ ФОРТ ЗАДН НЕП ЛВ ЗЛ ДВ</t>
  </si>
  <si>
    <t>MERCEDES S CL W140 1991-1998 СТ ЗАДН ДВ ОП ПР ЗЛ+СТ ПАКЕТ/MERCEDES S CL W140 1991-1998  СТ ЗАДН ДВ ОП ПР ЗЛ ДВ</t>
  </si>
  <si>
    <t>W140, S CLASS КП 500 1992-1998</t>
  </si>
  <si>
    <t>MERCEDES 380 560 SEC/W140 (ЛВРУЛЬ) 1992-1998  СТ ВЕТР ЗЛЗЛ</t>
  </si>
  <si>
    <t>MERCEDES 380 560 SEC/W140 (ЛВРУЛЬ) 1992-1998  СТ ВЕТР ЗЛСР</t>
  </si>
  <si>
    <t>MERCEDES 380 560 SEC/W140 (ЛВРУЛЬ) 1992-1998  СТ ВЕТР ЗЛСР+ДД+VIN</t>
  </si>
  <si>
    <t>MERCEDES 380 560 SEC/W140 (ЛВРУЛЬ) 1992-1998  СТ ВЕТР ЗЛСР+ИЗМ Ш+VIN</t>
  </si>
  <si>
    <t>MERCEDES 380 560 SEC/W140 (ЛВРУЛЬ) КП 1992-1998  СТ ЗАДН ЗЛ+АНТ+ТРИПЛ</t>
  </si>
  <si>
    <t>W171, SLK 2004-</t>
  </si>
  <si>
    <t>MERCEDES SLK (W171) 2004-  СТ ВЕТР ЗЛ+ДД+VIN+УО</t>
  </si>
  <si>
    <t>MERCEDES SLK (W171) 2004-  СТ ПЕР ДВ ОП ЛВ ЗЛ</t>
  </si>
  <si>
    <t>MERCEDES SLK (W171) 2004-  СТ ПЕР ДВ ОП ПР ЗЛ</t>
  </si>
  <si>
    <t>W201, I 190/E 1982-12/1985</t>
  </si>
  <si>
    <t>1983-1985</t>
  </si>
  <si>
    <t>MERCEDES 190,W201 СД 4D 1983-1985 СТ ВЕТР</t>
  </si>
  <si>
    <t>MERCEDES 190,W201 СД 4D 1983-1985 СТ ВЕТР ЗЛ</t>
  </si>
  <si>
    <t>MERCEDES 190,W201 СД 4D 1983-1985 СТ ВЕТР ЗЛГЛ</t>
  </si>
  <si>
    <t>MERCEDES 190,W201 СД 4D 1983-1985 СТ ВЕТР ЗЛЗЛ</t>
  </si>
  <si>
    <t>MERCEDES 190,W201 СД 4D СД 1983-1985 СТ ЗАДН /MERCEDES 190,W201 1985-1993 СТ ЗАДН</t>
  </si>
  <si>
    <t>MERCEDES 190,W201 СД 4D СД 1983-1985 СТ ЗАДН ЗЛ/MERCEDES 190,W201 1985-1993 СТ ЗАДН ЗЛ</t>
  </si>
  <si>
    <t>MERCEDES 190,W201 СД 4D 1983-1985 СТ ПЕР ДВ ОП ЛВ/MERCEDES 190,W201 1985-1993 СТ ПЕР ДВ ОП ЛВ</t>
  </si>
  <si>
    <t>MERCEDES 190,W201 СД 4D 1983-1985 СТ ЗАДН ДВ ОП ЛВ/MERCEDES 190,W201 1985-1993 СТ ЗАДН ДВ ОП ЛВ</t>
  </si>
  <si>
    <t>MERCEDES 190,W201 СД 4D 1983-1985 СТ БОК НЕП ЛВ/MERCEDES 190,W201 1985-1993 СТ ФОРТ ЗАДН НЕП ЛВ</t>
  </si>
  <si>
    <t>MERCEDES 190,W201 СД 4D 1983-1985 СТ ПЕР ДВ ОП ЛВ ЗЛ/MERCEDES 190,W201 1985-1993 СТ ПЕР ДВ ОП ЛВ ЗЛ</t>
  </si>
  <si>
    <t>MERCEDES 190,W201 СД 4D 1983-1985 СТ ЗАДН ДВ ОП ЛВ ЗЛ/MERCEDES 190,W201 1985-1993 СТ ЗАДН ДВ ОП ЛВ ЗЛ</t>
  </si>
  <si>
    <t>MERCEDES 190,W201 СД 4D 1983-1985 СТ БОК НЕП ЛВ ЗЛ/MERCEDES 190,W201 1985-1993 СТ ФОРТ ЗАДН НЕП ЛВ ЗЛ</t>
  </si>
  <si>
    <t>MERCEDES 190,W201 СД 4D 1983-1985 СТ ПЕР ДВ ОП ПР/MERCEDES 190,W201 1985-1993 СТ ПЕР ДВ ОП ПР</t>
  </si>
  <si>
    <t>MERCEDES 190,W201 СД 4D 1983-1985 СТ ЗАДН ДВ ОП ПР/MERCEDES 190,W201 1985-1993 СТ ЗАДН ДВ ОП ПР</t>
  </si>
  <si>
    <t>MERCEDES 190,W201 СД 4D 1983-1985 СТ БОК НЕП ПР/MERCEDES 190,W201 1985-1993 СТ ФОРТ ЗАДН НЕП ПР</t>
  </si>
  <si>
    <t>MERCEDES 190,W201 СД 4D 1983-1985 СТ ПЕР ДВ ОП ПР ЗЛ/MERCEDES 190,W201 1985-1993 СТ ПЕР ДВ ОП ПР ЗЛ</t>
  </si>
  <si>
    <t>MERCEDES 190,W201 СД 4D 1983-1985 СТ ЗАДН ДВ ОП ПР ЗЛ/MERCEDES 190,W201 1985-1993 СТ ЗАДН ДВ ОП ПР ЗЛ</t>
  </si>
  <si>
    <t>MERCEDES 190,W201 СД 4D 1983-1985 СТ БОК НЕП ПР ЗЛ/MERCEDES 190,W201 1985-1993 СТ ФОРТ ЗАДН НЕП ПР ЗЛ</t>
  </si>
  <si>
    <t>190,W201 1985-1993</t>
  </si>
  <si>
    <t>MERCEDES 190,W201 1985-1993 СТ ВЕТР</t>
  </si>
  <si>
    <t>MERCEDES 190,W201 1985-1993 СТ ВЕТР ЗЛ</t>
  </si>
  <si>
    <t>MERCEDES 190,W201 1985-1993 СТ ВЕТР ЗЛГЛ</t>
  </si>
  <si>
    <t>MERCEDES 190,W201 1985-1993 СТ ВЕТР ЗЛЗЛ</t>
  </si>
  <si>
    <t>MERCEDES 190,W201 1985-1993 СТ ПЕР ДВ ОП ЛВ/MERCEDES 190,W201 СД 4D 1983-1985 СТ ПЕР ДВ ОП ЛВ</t>
  </si>
  <si>
    <t>MERCEDES 190,W201 1985-1993 СТ ЗАДН ДВ ОП ЛВ/MERCEDES 190,W201 СД 4D 1983-1985 СТ ЗАДН ДВ ОП ЛВ</t>
  </si>
  <si>
    <t>MERCEDES 190,W201 1985-1993 СТ ФОРТ ЗАДН НЕП ЛВ/MERCEDES 190,W201 СД 4D 1983-1985 СТ БОК НЕП ЛВ</t>
  </si>
  <si>
    <t>MERCEDES 190,W201 1985-1993 СТ ПЕР ДВ ОП ЛВ ЗЛ/MERCEDES 190,W201 СД 4D 1983-1985 СТ ПЕР ДВ ОП ЛВ ЗЛ</t>
  </si>
  <si>
    <t>MERCEDES 190,W201 1985-1993 СТ ЗАДН ДВ ОП ЛВ ЗЛ/MERCEDES 190,W201 СД 4D 1983-1985 СТ ЗАДН ДВ ОП ЛВ ЗЛ</t>
  </si>
  <si>
    <t>MERCEDES 190,W201 1985-1993 СТ ФОРТ ЗАДН НЕП ЛВ ЗЛ/MERCEDES 190,W201 СД 4D 1983-1985 СТ БОК НЕП ЛВ ЗЛ</t>
  </si>
  <si>
    <t>MERCEDES 190,W201 1985-1993 СТ ПЕР ДВ ОП ПР/MERCEDES 190,W201 СД 4D 1983-1985 СТ ПЕР ДВ ОП ПР</t>
  </si>
  <si>
    <t>MERCEDES 190,W201 1985-1993 СТ ЗАДН ДВ ОП ПР/MERCEDES 190,W201 СД 4D 1983-1985 СТ ЗАДН ДВ ОП ПР</t>
  </si>
  <si>
    <t>MERCEDES 190,W201 1985-1993 СТ ФОРТ ЗАДН НЕП ПР/MERCEDES 190,W201 СД 4D 1983-1985 СТ БОК НЕП ПР</t>
  </si>
  <si>
    <t>MERCEDES 190,W201 1985-1993 СТ ПЕР ДВ ОП ПР ЗЛ/MERCEDES 190,W201 СД 4D 1983-1985 СТ ПЕР ДВ ОП ПР ЗЛ</t>
  </si>
  <si>
    <t>MERCEDES 190,W201 1985-1993 СТ ЗАДН ДВ ОП ПР ЗЛ/MERCEDES 190,W201 СД 4D 1983-1985 СТ ЗАДН ДВ ОП ПР ЗЛ</t>
  </si>
  <si>
    <t>MERCEDES 190,W201 1985-1993 СТ ФОРТ ЗАДН НЕП ПР ЗЛ/MERCEDES 190,W201 СД 4D 1983-1985 СТ БОК НЕП ПР ЗЛ</t>
  </si>
  <si>
    <t>MERSEDES (W202) C 180-280 1993-2000</t>
  </si>
  <si>
    <t>MERCEDES C CL (W202) СД 1993-2000 /УН 1996-2000  СТ ВЕТР</t>
  </si>
  <si>
    <t>MERCEDES C CL (W202) СД 1993-2000 /УН 1996-2000  СТ ВЕТР ЗЛ</t>
  </si>
  <si>
    <t>MERCEDES C CL (W202) СД 1993-2000 /УН 1996-2000  СТ ВЕТР ЗЛГЛ</t>
  </si>
  <si>
    <t>MERCEDES C CL (W202) СД 1993-2000 /УН 1996-2000  СТ ВЕТР ЗЛЗЛ</t>
  </si>
  <si>
    <t>MERCEDES C CL (W202) СД 1993-2000 /УН 1996-2000  СТ ВЕТР ЗЛЗЛ+VIN</t>
  </si>
  <si>
    <t>MERCEDES C CL (W202) СД 1993-2000 /УН 1996-2000  СТ ВЕТР ЗЛСР+ДД+VIN</t>
  </si>
  <si>
    <t>MERCEDES C CL (W202) СД 1993-2000 /УН 1996-2000  СТ ВЕТР ЗЛСР+VIN+ИЗМ Ш</t>
  </si>
  <si>
    <t>MERCEDES C CL (W202) СД 1993-2000 /УН 1993-2000  СТ ВЕТР ЗЛСР+VIN</t>
  </si>
  <si>
    <t>MERCEDES C CL (W202) СД 1993-2000 /УН 1993-2000  МОЛД ВЕРХ ДЛЯ СТ ВЕТР ВЕРХ ПЛАСТИК</t>
  </si>
  <si>
    <t>MERCEDES C CL (W202) СД 1993-2000 МОЛД  ДЛЯ СТ ВЕТР ВЕРХ МЕТЛ</t>
  </si>
  <si>
    <t>MERCEDES C CL (W202) УН 1996-2000  СТ ЗАДН ЭО ЗЛ ОТВ</t>
  </si>
  <si>
    <t>MERCEDES C CL (W202) УН 1996-2000  СТ ЗАДН ЭО ЗЛ+АНТ+КЛЕММЫ+ОТВ</t>
  </si>
  <si>
    <t>MERCEDES C CL (W202) СД 1993-2000  СТ ЗАДН ЭО ЗЛ</t>
  </si>
  <si>
    <t>MERCEDES C CL (W202) СД 1993-2000  СТ ЗАДН ЭО ЗЛ+АНТ</t>
  </si>
  <si>
    <t>MERCEDES C CL (W202) СД 1993-2000 /УН 1996-2000  СТ ПЕР ДВ ОП ЛВ</t>
  </si>
  <si>
    <t>MERCEDES C CL (W202) СД 1993-2000  СТ ФОРТ ЗАДН НЕП ЛВ</t>
  </si>
  <si>
    <t>MERCEDES C CL (W202) УН 1996-2000  СТ ЗАДН ДВ ОП ЛВ ЗЛ</t>
  </si>
  <si>
    <t>MERCEDES C CL (W202) УН 1996-2000  СТ БОК ЛВ ЗЛ+АНТ</t>
  </si>
  <si>
    <t>MERCEDES C CL (W202) УН 1996-2000  СТ ФОРТ ЗАДН НЕП ЛВ ЗЛ</t>
  </si>
  <si>
    <t>MERCEDES C CL (W202) СД 1993-2000 /УН 1996-2000  СТ ПЕР ДВ ОП ЛВ ЗЛ</t>
  </si>
  <si>
    <t>MERCEDES C CL (W202) СД 1993-2000  СТ ЗАДН ДВ ОП ЛВ ЗЛ</t>
  </si>
  <si>
    <t>MERCEDES C CL (W202) СД 1993-2000  СТ БОК НЕП ЛВ ЗЛ</t>
  </si>
  <si>
    <t>MERCEDES C CL (W202) СД 1993-2000 /УН 1996-2000  СТ ПЕР ДВ ОП ПР</t>
  </si>
  <si>
    <t>MERCEDES C CL (W202) СД 1993-2000  СТ ЗАДН ДВ ОП ПР</t>
  </si>
  <si>
    <t>MERCEDES C CL (W202) СД 1993-2000  СТ ФОРТ ЗАДН НЕП ПР</t>
  </si>
  <si>
    <t>MERCEDES C CL (W202) УН 1996-2000  СТ ЗАДН ДВ ОП ПР ЗЛ</t>
  </si>
  <si>
    <t>MERCEDES C CL (W202) УН 1996-2000  СТ ФОРТ ЗАДН НЕП ПР ЗЛ</t>
  </si>
  <si>
    <t>MERCEDES C CL (W202) СД 1993-2000 /УН 1996-2000  СТ ПЕР ДВ ОП ПР ЗЛ</t>
  </si>
  <si>
    <t>MERCEDES C CL (W202) СД 1993-2000  СТ ЗАДН ДВ ОП ПР ЗЛ</t>
  </si>
  <si>
    <t>MERCEDES C CL (W202) СД 1993-2000  СТ БОК НЕП ПР ЗЛ</t>
  </si>
  <si>
    <t>W203, C CLASS СД УН 2000-2007</t>
  </si>
  <si>
    <t>MERCEDES W203, C CLASS СД УН 2000-2007 СТ ВЕТР ГЛСР+ДД 3ОТВ+VIN+УО</t>
  </si>
  <si>
    <t>MERCEDES W203, C CLASS СД УН 2003-2007 СТ ВЕТР ГЛСР+ДД 2ОТВ+VIN+УО</t>
  </si>
  <si>
    <t>MERCEDES W203, C CLASS СД УН 2003-2007 СТ ВЕТР ГЛСР+ДД 10ОТВ+VIN+УО</t>
  </si>
  <si>
    <t>MERCEDES W203, C CLASS СД УН 2003-2007 СТ ВЕТР ГЛСР+ИЗМ ШЕЛК+VIN+УО</t>
  </si>
  <si>
    <t>MERCEDES W203, C CLASS СД УН 2000-2007 СТ ВЕТР ГЛСР+ИЗМ ШЕЛК+VIN+УО+ИЗМ Д</t>
  </si>
  <si>
    <t>MERCEDES W203, C CLASS СД УН 2000-2007 СТ ВЕТР ГЛ+ДД 3ОТВ+VIN+УО</t>
  </si>
  <si>
    <t>MERCEDES W203, C CLASS СД УН 2003-2007 СТ ВЕТР ГЛ+ДД+VIN+УО</t>
  </si>
  <si>
    <t>MERCEDES W203, C CLASS СД УН 2003-2007 СТ ВЕТР ГЛ+ДД 10ОТВ+VIN+УО</t>
  </si>
  <si>
    <t>MERCEDES W203, C CLASS СД УН 2000-2007 СТ ВЕТР ЗЛСР+ДД 3ОТВ+VIN+УО</t>
  </si>
  <si>
    <t>MERCEDES W203, C CLASS СД УН 2003-2007 СТ ВЕТР ЗЛСР+ДД 2ОТВ+VIN+УО</t>
  </si>
  <si>
    <t>MERCEDES W203, C CLASS СД УН 2003-2007 СТ ВЕТР ЗЛСР+ДД 10ОТВ+VIN+УО</t>
  </si>
  <si>
    <t>MERCEDES W203, C CLASS СД УН 2000-2007 СТ ВЕТР ЗЛСР+ИЗМ ШЕЛК+VIN+УО</t>
  </si>
  <si>
    <t>MERCEDES W203, C CLASS СД УН 2003-2007 СТ ВЕТР ЗЛ+ДД+2ОТВ+VIN+УО</t>
  </si>
  <si>
    <t>MERCEDES W203, C CLASS СД УН 2003-2007 СТ ВЕТР ЗЛ+ДД 10 ОТВ+VIN+УО</t>
  </si>
  <si>
    <t>MERCEDES W203, C CLASS СД УН 2000-2007 МОЛД  ДЛЯ СТ ВЕТР ВЕРХ</t>
  </si>
  <si>
    <t>MERCEDES W203, C CLASS СД 2000-2007 СТ ЗАДН ГЛ+АНТ+GPS+ТВ АНТ+МОБ ТЕЛ АНТ+КЛЕММЫ</t>
  </si>
  <si>
    <t>MERCEDES W203, C CLASS УН 2001-2007 СТ ЗАДН ДВ ЗЛ+GPS+ТВ АНТ+КЛЕММЫ</t>
  </si>
  <si>
    <t>MERCEDES W203, C CLASS СД 2000-2007 СТ ЗАДН ЗЛ+АНТ+GPS+ТВ АНТ+МОБ ТЕЛ АНТ+КЛЕММЫ</t>
  </si>
  <si>
    <t>MERCEDES W203, C CLASS УН 2003-2007 СТ ЗАДН ДВ ОП ЛВ ГЛ</t>
  </si>
  <si>
    <t>MERCEDES W203, C CLASS СД 2000-2007 СТ ПЕР ДВ ОП ЛВ ГЛ</t>
  </si>
  <si>
    <t>MERCEDES W203, C CLASS СД 2000-2007 СТ ЗАДН ДВ ОП ЛВ ГЛ</t>
  </si>
  <si>
    <t>MERCEDES W203, C CLASS СД 2000-2007 СТ ФОРТ ЗАДН НЕП ЛВ ГЛ+ИНК</t>
  </si>
  <si>
    <t>MERCEDES W203, C CLASS УН 2001-2003 СТ ЗАДН ДВ ОП ЛВ ЗЛ</t>
  </si>
  <si>
    <t>MERCEDES W203, C CLASS УН 2003-2007 СТ ЗАДН ДВ ОП ЛВ ЗЛ</t>
  </si>
  <si>
    <t>MERCEDES W203, C CLASS СД 2000-2007 СТ ПЕР ДВ ОП ЛВ ЗЛ</t>
  </si>
  <si>
    <t>MERCEDES W203, C CLASS УН 2003-2007 СТ ПЕР ДВ ОП ЛВ ЗЛ</t>
  </si>
  <si>
    <t>2000-2003</t>
  </si>
  <si>
    <t>MERCEDES W203, C CLASS СД 2000-2003 СТ ЗАДН ДВ ОП ЛВ ЗЛ</t>
  </si>
  <si>
    <t>MERCEDES W203, C CLASS СД 2003-2007 СТ ЗАДН ДВ ОП ЛВ ЗЛ</t>
  </si>
  <si>
    <t>MERCEDES W203, C CLASS УН 2003-2007 СТ ЗАДН ДВ ОП ПР ГЛ</t>
  </si>
  <si>
    <t>MERCEDES W203, C CLASS СД 2000-2007 СТ ПЕР ДВ ОП ПР ГЛ</t>
  </si>
  <si>
    <t>MERCEDES W203, C CLASS СД 2000-2007 СТ ЗАДН ДВ ОП ПР ГЛ</t>
  </si>
  <si>
    <t>MERCEDES W203, C CLASS СД 2000-2007 СТ ФОРТ ЗАДН НЕП ПР ГЛ+ИНК</t>
  </si>
  <si>
    <t>MERCEDES W203, C CLASS УН 2001-2003 СТ ЗАДН ДВ ОП ПР ЗЛ</t>
  </si>
  <si>
    <t>MERCEDES W203, C CLASS УН 2003-2007 СТ ЗАДН ДВ ОП ПР ЗЛ</t>
  </si>
  <si>
    <t>MERCEDES W203, C CLASS СД 2000-2007 СТ ПЕР ДВ ОП ПР ЗЛ</t>
  </si>
  <si>
    <t>MERCEDES W203, C CLASS СД 2003-2007 СТ ПЕР ДВ ОП ПР ЗЛ</t>
  </si>
  <si>
    <t>MERCEDES W203, C CLASS СД 2000-2003 СТ ЗАДН ДВ ОП ПР ЗЛ</t>
  </si>
  <si>
    <t>MERCEDES W203, C CLASS СД 2003-2007 СТ ЗАДН ДВ ОП ПР ЗЛ</t>
  </si>
  <si>
    <t>MERCEDES W203, C CLASS СД 2000-2007 СТ ФОРТ ЗАДН НЕП ПР+ИНК</t>
  </si>
  <si>
    <t>W203, C CLASS КП 2001-</t>
  </si>
  <si>
    <t>MERCEDES C CL SPORT COUPE (W203) 2001-  СТ ВЕТР ЗЛСР+ДД+VIN+УО</t>
  </si>
  <si>
    <t>MERCEDES C CL SPORT COUPE (W203) 2003-  СТ ВЕТР ЗЛСР+ДД+VIN+УО+ИЗМ ДД</t>
  </si>
  <si>
    <t>MERCEDES C CL SPORT COUPE (W203) 2001- МОЛД ДЛЯ СТ ВЕТР</t>
  </si>
  <si>
    <t>MERCEDES C CL SPORT COUPE (W203) КП 2001-  СТ ЗАДН ЗЛ+АНТ+GPS+МОБ ТЕЛ АНТ+УО+КЛЕММЫ</t>
  </si>
  <si>
    <t>MERCEDES C CL SPORT COUPE (W203) 2001-  СТ ПЕР ДВ ОП ЛВ ЗЛ</t>
  </si>
  <si>
    <t>MERCEDES C CL SPORT COUPE (W203) 2001-  СТ ПЕР ДВ ОП ПР ЗЛ</t>
  </si>
  <si>
    <t>W204, C CLASS СД УН 2007-</t>
  </si>
  <si>
    <t>MERCEDES W204, C CLASS СД УН 2007-  СТ ВЕТР ЗЛ+ДД+VIN+ИНК</t>
  </si>
  <si>
    <t>MERCEDES W204, C CLASS УН 2007-  СТ ВЕТР ЗЛ+АНТ+ДД+VIN+ИНК</t>
  </si>
  <si>
    <t>MERCEDES C CLASS 2007 СТ ВЕТР ЗЛ+АНТ+ДД</t>
  </si>
  <si>
    <t>MERCEDES W204, C CLASS СД УН 2007- СТ ВЕТР ЗЛ+ДД+VIN+ИНК</t>
  </si>
  <si>
    <t>MERCEDES W204, C CLASS СД УН 2007- СТ ВЕТР+ДД</t>
  </si>
  <si>
    <t>MERCEDES W204, C CLASS СД УН 2007- МОЛД ДЛЯ СТ ВЕТР</t>
  </si>
  <si>
    <t>MERCEDES W204, C CLASS  УН 2007-  СТ ЗАДН ЗЛ+АНТ</t>
  </si>
  <si>
    <t>MERCEDES W204, C CLASS  УН 2007-  СТ ЗАДН ЗЛ+АНТ+ТВ АНТ+КЛЕММЫ</t>
  </si>
  <si>
    <t>MERCEDES W204, C CLASS  УН 2007-  СТ ЗАДН ЗЛ+АНТ+КЛЕММЫ</t>
  </si>
  <si>
    <t>MERCEDES W204, C CLASS  УН 2007- СТ ЗАДН ДВ СР PR</t>
  </si>
  <si>
    <t>MERCEDES W204, C CLASS  УН 2007- СТ ЗАДН ЗЛ+АНТ+GPS</t>
  </si>
  <si>
    <t>MERCEDES W204, C CLASS  УН 2007- СТ ЗАДН ДВ ОП ЛВ ЗЛ</t>
  </si>
  <si>
    <t>MERCEDES W204, C CLASS  УН 2007-  УН 5Д СТ ФОРТ ЗАДН НЕП ЗЛ ЛВ</t>
  </si>
  <si>
    <t>MERCEDES W204, C CLASS  СД 2007- СТ ПЕР ДВ ОП ЛВ ЗЛ</t>
  </si>
  <si>
    <t>MERCEDES W204, C CLASS  СД 2007- СТ ЗАДН ДВ ОП ЛВ ЗЛ</t>
  </si>
  <si>
    <t>MERCEDES W204, C CLASS  УН 2007- СТ ЗАДН ДВ ОП ПР ЗЛ</t>
  </si>
  <si>
    <t>MERCEDES W204, C CLASS  УН 2007- СТ ФОРТ ЗАДН НЕП ЗЛ ПР</t>
  </si>
  <si>
    <t>MERCEDES W204, C CLASS  СД 2007- СТ ПЕР ДВ ОП ПР ЗЛ</t>
  </si>
  <si>
    <t>MERCEDES W204, C CLASS  СД 2007- СТ ЗАДН ДВ ОП ПР ЗЛ</t>
  </si>
  <si>
    <t>W208, CLK КП+КБ 1997-2004.02</t>
  </si>
  <si>
    <t>MERCEDES W208, CLK КП+КБ 1997-2004.02  СТ ВЕТР ГЛСР+VIN</t>
  </si>
  <si>
    <t>MERCEDES W208, CLK КП+КБ 1997-2004.02  СТ ВЕТР ГЛ+ДД+VIN</t>
  </si>
  <si>
    <t>MERCEDES CLK КП 1997-2004  СТ ВЕТР ЗЛСР+VIN+ДД</t>
  </si>
  <si>
    <t>MERCEDES CLK КП 1997-2004  СТ ВЕТР ШЕЛК ДД+ИЗМ ДЕРЖ ЗЕРК</t>
  </si>
  <si>
    <t>MERCEDES CLK КП 1997-2004  СТ ВЕТР ЗЛСР+ ИЗМ ШЕЛК+VIN</t>
  </si>
  <si>
    <t>MERCEDES CLK КП 1997-2004  СТ ВЕТР ЗЛСР+VIN</t>
  </si>
  <si>
    <t>MERCEDES CLK КБ 1997-2004  СТ ВЕТР</t>
  </si>
  <si>
    <t>MERCEDES CLK КП 1997-2004  СТ ВЕТР+ДД</t>
  </si>
  <si>
    <t>MERCEDES CLK КП 1997-2004  СТ ВЕТР ЗЛ+VIN+ИЗМ ШЕЛК</t>
  </si>
  <si>
    <t>MERCEDES CLK КП 1997-2004  СТ ВЕТР ЗЛ+VIN</t>
  </si>
  <si>
    <t>MERCEDES CLK КП 1997-2002  СТ ЗАДН ЗЛ+АНТ+ИНК</t>
  </si>
  <si>
    <t>MERCEDES CLK КП 1997-2002  СТ ПЕР ДВ ОП ЛВ ЗЛ</t>
  </si>
  <si>
    <t>MERCEDES CLK КП 1997-2002  СТ БОК НЕП ЛВ ЗЛ</t>
  </si>
  <si>
    <t>MERCEDES CLK КП 1997-2002  СТ ПЕР ДВ ОП ПР ЗЛ</t>
  </si>
  <si>
    <t>MERCEDES CLK КП 1997-2002  СТ БОК НЕП ПР ЗЛ</t>
  </si>
  <si>
    <t>MERCEDES CLK КБ 1997-2002  СТ ПЕР ДВ ОП ПР ЗЛ</t>
  </si>
  <si>
    <t>W209, CLK КП 2002-</t>
  </si>
  <si>
    <t>MERCEDES W209, CLK КП 2002- СТ ВЕТР ГЛСР+ДД+VIN+УО</t>
  </si>
  <si>
    <t>MERCEDES W209, CLK КП 2002- СТ ВЕТР ГЛСР+ДД+УО</t>
  </si>
  <si>
    <t>MERCEDES W209, CLK КП 2002- СТ ВЕТР ГЛ+ДД+VIN+УО</t>
  </si>
  <si>
    <t>MERCEDES W209, CLK КП 2002- СТ ВЕТР ГЛ+ДД+УО</t>
  </si>
  <si>
    <t>MERCEDES W209, CLK КП 2002- СТ ВЕТР ЗЛГЛ+ДД+VIN+УО</t>
  </si>
  <si>
    <t>MERCEDES CLK 02-СТ ВЕТР ЗЛ+ДД+УО</t>
  </si>
  <si>
    <t>MERCEDES W209, CLK КП 2002-  СТ ЗАДН ЗЛ+АНТ+GPS+АНТ Д/ОТКР ДВ+ИНК</t>
  </si>
  <si>
    <t>MERCEDES W209, CLK КП 2002-  СТ ПЕР ДВ ОП ЛВ ГЛ</t>
  </si>
  <si>
    <t>MERCEDES W209, CLK КП 2002-  СТ ПЕР ДВ ОП ЛВ ЗЛ</t>
  </si>
  <si>
    <t>MERCEDES W209, CLK КП 2002-  СТ ПЕР ДВ ОП ПР ГЛ</t>
  </si>
  <si>
    <t>MERCEDES W209, CLK КП 2002-  СТ ПЕР ДВ ОП ПР ЗЛ</t>
  </si>
  <si>
    <t>W210, E CLASS 200-430 1995-2003</t>
  </si>
  <si>
    <t>MERCEDES W210, E CLASS 200-430 1995-2003 СТ ВЕТР ГЛСР+VIN</t>
  </si>
  <si>
    <t>MERCEDES W210, E CLASS 200-430 1995-2003 СТ ВЕТР ГЛ+ДД+VIN</t>
  </si>
  <si>
    <t>MERCEDES W210, E CLASS 200-430 1995-2003 СТ ВЕТР ГЛ+VIN</t>
  </si>
  <si>
    <t>MERCEDES W210, E CLASS 200-430 1995-2003 СТ ВЕТР ЗЛЗЛ+VIN</t>
  </si>
  <si>
    <t>MERCEDES W210, E CLASS 200-430 1995-2003 СТ ВЕТР ЗЛСР+VIN+ДД</t>
  </si>
  <si>
    <t>MERCEDES W210, E CLASS 200-430 1995-2003 СТ ВЕТР ЗЛСР+VIN+ИЗМ ШЕЛК</t>
  </si>
  <si>
    <t>MERCEDES W210, E CLASS 200-430 1995-2003 СТ ВЕТР ЗЛСР+VIN</t>
  </si>
  <si>
    <t>MERCEDES W210, E CLASS 200-430 1995-2003  МОЛД  ДЛЯ СТ ВЕТР ВЕРХ</t>
  </si>
  <si>
    <t>MERCEDES W210, E CLASS 200-430 1995-2003 УН СТ ЗАДН ДВ ГЛ+СТОП</t>
  </si>
  <si>
    <t>MERCEDES W210, E CLASS 200-430 1995-2003 СД СТ ЗАДН ГЛ+АНТ</t>
  </si>
  <si>
    <t>MERCEDES W210, E CLASS 200-430 1995-2003 УН СТ ЗАДН ДВ ЗЛ+СТОП</t>
  </si>
  <si>
    <t>MERCEDES W210, E CLASS 200-430 1995-2003 СД СТ ЗАДН ЭО ЗЛ+АНТ</t>
  </si>
  <si>
    <t>MERCEDES W210, E CLASS 200-430 1995-2003 СД СТ ЗАДН ЗЛ+АНТ+СТОП</t>
  </si>
  <si>
    <t>MERCEDES W210, E CLASS 200-430 1995-2003 СД СТ ЗАДН ЗЛ+АНТ+ТРИПЛ</t>
  </si>
  <si>
    <t>MERCEDES W210, E CLASS 200-430 1995-2003 УН   СТ ЗАДН ДВ ОП ЛВ ГЛ</t>
  </si>
  <si>
    <t>MERCEDES W210, E CLASS 200-430 1995-2003 УН СТ БОК НЕП ЛВ ГЛ+АНТ+КЛЕММЫ</t>
  </si>
  <si>
    <t>MERCEDES W210, E CLASS 200-430 1995-2003 УН СТ ФОРТ ЗАДН НЕП ЛВ ГЛ</t>
  </si>
  <si>
    <t>MERCEDES W210, E CLASS 200-430 1995-2003 СД СТ ФОРТ ЗАДН НЕП ЛВ ГЛ</t>
  </si>
  <si>
    <t>MERCEDES W210, E CLASS 200-430 1995-2003 УН СТ ЗАДН ДВ ОП ЛВ ЗЛ</t>
  </si>
  <si>
    <t>MERCEDES W210, E CLASS 200-430 1995-2003 УН СТ БОК НЕП ЛВ ЗЛ+АНТ</t>
  </si>
  <si>
    <t>MERCEDES W210, E CLASS 200-430 1995-2003 УН СТ БОК НЕП ЛВ ЗЛ+АНТ+КЛЕММЫ</t>
  </si>
  <si>
    <t>MERCEDES W210, E CLASS 200-430 1995-2003 УН СТ ФОРТ ЗАДН НЕП ЛВ ЗЛ</t>
  </si>
  <si>
    <t>MERCEDES W210, E CLASS 200-430 1995-2003 СТ ПЕР ДВ ОП ЛВ ЗЛ</t>
  </si>
  <si>
    <t>MERCEDES W210, E CLASS 200-430 1995-2003 СД СТ ЗАДН ДВ ОП ЛВ ЗЛ</t>
  </si>
  <si>
    <t>MERCEDES W210, E CLASS 200-430 1995-2003 СД СТ БОК НЕП ЛВ ЗЛ</t>
  </si>
  <si>
    <t>MERCEDES W210, E CLASS 200-430 1995-2003 УН СТ ЗАДН ДВ ОП ПР ГЛ</t>
  </si>
  <si>
    <t>MERCEDES W210, E CLASS 200-430 1995-2003 УН СТ БОК НЕП ПР ГЛ+КЛЕММЫ</t>
  </si>
  <si>
    <t>MERCEDES W210, E CLASS 200-430 1995-2003 УН СТ ФОРТ ЗАДН НЕП ПР ГЛ</t>
  </si>
  <si>
    <t>MERCEDES W210, E CLASS 200-430 1995-2003 СД СТ ЗАДН ДВ ОП ПР ГЛ</t>
  </si>
  <si>
    <t>MERCEDES W210, E CLASS 200-430 1995-2003 УН СТ ЗАДН ДВ ОП ПР ЗЛ</t>
  </si>
  <si>
    <t>MERCEDES W210, E CLASS 200-430 1995-2003 УН СТ БОК НЕП ПР ЗЛ</t>
  </si>
  <si>
    <t>MERCEDES W210, E CLASS 200-430 1995-2003 УН СТ БОК НЕП ПР ЗЛ+КЛЕММЫ</t>
  </si>
  <si>
    <t>MERCEDES W210, E CLASS 200-430 1995-2003 УН СТ ФОРТ ЗАДН НЕП ПР ЗЛ</t>
  </si>
  <si>
    <t>MERCEDES W210, E CLASS 200-430 1995-2003 СТ ПЕР ДВ ОП ПР ЗЛ</t>
  </si>
  <si>
    <t>MERCEDES W210, E CLASS 200-430 1995-2003 СД СТ ЗАДН ДВ ОП ПР ЗЛ</t>
  </si>
  <si>
    <t>MERCEDES W210, E CLASS 200-430 1995-2003 СД СТ БОК НЕП ПР ЗЛ</t>
  </si>
  <si>
    <t>W211, E CLASS (GLASS ROOF) 2002-</t>
  </si>
  <si>
    <t>MERCEDES W211, E CLASS (GLASS ROOF) 2002- СТ ВЕТР+ДД+VIN</t>
  </si>
  <si>
    <t>MERCEDES W211, E CLASS (GLASS ROOF) 2002- СТ ВЕТР ЗЛСР+ДД+VIN</t>
  </si>
  <si>
    <t>W211, E CLASS 2002-</t>
  </si>
  <si>
    <t>MERCEDES W211, E CLASS 2002- СТ ВЕТР ГЛ+ДД+VIN+УО</t>
  </si>
  <si>
    <t>MERCEDES W211, E CLASS 2002- СТ ВЕТР ЗЛ+ДД+VIN+УО</t>
  </si>
  <si>
    <t>MERCEDES W211, E CLASS 2007- СТ ВЕТР ГЛ+ДД+VIN+УО</t>
  </si>
  <si>
    <t>MERCEDES W211, E CLASS 2002- СТ ВЕТР ЗЛСР+ДД+VIN+УО</t>
  </si>
  <si>
    <t>MERCEDES W211, E CLASS 2007- СТ ВЕТР ЗЛСР+ДД+VIN+УО</t>
  </si>
  <si>
    <t>MERCEDES W211, E CLASS СД 2002- СТ ЗАДН ГЛ+АНТ+GPS+ТВ АНТ+АНТ Д/МОБ ТЕЛ+ИНК</t>
  </si>
  <si>
    <t>MERCEDES W211, E CLASS УН 2003- СТ ЗАДН ДВ ЗЛ+КЛЕММЫ+ИНК</t>
  </si>
  <si>
    <t>MERCEDES W211, E CLASS СД 2002- СТ ЗАДН ЗЛ+АНТ+GPS+ТВ АНТ+АНТ Д/МОБ ТЕЛ+ИНК</t>
  </si>
  <si>
    <t>MERCEDES W211, E CLASS 2003- СТ ЗАДН ДВ ОП ЛВ ЗЛ</t>
  </si>
  <si>
    <t>MERCEDES W211, E CLASS 2002- СТ ПЕР ДВ ОП ЛВ ЗЛ</t>
  </si>
  <si>
    <t>MERCEDES W211, E CLASS 2002- СТ ЗАДН ДВ ОП ЛВ ЗЛ</t>
  </si>
  <si>
    <t>MERCEDES W211, E CLASS 2003- СТ ЗАДН ДВ ОП ПР ЗЛ</t>
  </si>
  <si>
    <t>MERCEDES W211, E CLASS 2002- СТ ПЕР ДВ ОП ПР ЗЛ</t>
  </si>
  <si>
    <t>MERCEDES W211, E CLASS 2002- СТ ЗАДН ДВ ОП ПР ЗЛ</t>
  </si>
  <si>
    <t>W215, CL CLASS 2001-2006</t>
  </si>
  <si>
    <t>MERCEDES W215, CL CLASS 2001-2006 СТ ВЕТР ТЕПЛООТРСР ЭО+ИЗМ Ш+VIN+УО</t>
  </si>
  <si>
    <t>MERCEDES W215, CL CLASS 2001-2006 СТ ВЕТР ТЕПЛООТРСР+АНТ Д/МОБ ТЕЛ+VIN+УО</t>
  </si>
  <si>
    <t>W219, CLS 2004-</t>
  </si>
  <si>
    <t>MERCEDES W219, CLS 2004- СТ ВЕТР ГЛ+ИНК+ДД+VIN</t>
  </si>
  <si>
    <t>MERCEDES W219, CLS 2006/09- СТ ВЕТР ГЛ+ДД+VIN+ИНК</t>
  </si>
  <si>
    <t>MERCEDES W219, CLS 2006/09- СТ ВЕТР ТЕПЛООТР+ДД+VIN+ИНК</t>
  </si>
  <si>
    <t>MERCEDES W219, CLS 2004- СТ ВЕТР ЗЛ+ДД+VIN+ИНК</t>
  </si>
  <si>
    <t>MERCEDES W219, CLS 2006/09- СТ ВЕТР ЗЛ+ДД+VIN+ИНК</t>
  </si>
  <si>
    <t>MERCEDES W219, CLS 2004- СТ ПЕР ДВ ОП ЛВ ГЛ</t>
  </si>
  <si>
    <t>MERCEDES W219, CLS 2004- СТ ЗАДН ДВ ОП ЛВ ГЛ</t>
  </si>
  <si>
    <t>MERCEDES W219, CLS 2004- СТ ПЕР ДВ ОП ЛВ ЗЛ</t>
  </si>
  <si>
    <t>MERCEDES W219, CLS 2004- СТ ЗАДН ДВ ОП ЛВ ЗЛ</t>
  </si>
  <si>
    <t>MERCEDES W219, CLS 2004- СТ ПЕР ДВ ОП ПР ГЛ</t>
  </si>
  <si>
    <t>MERCEDES W219, CLS 2004- СТ ЗАДН ДВ ОП ПР ГЛ</t>
  </si>
  <si>
    <t>MERCEDES W219, CLS 2004- СТ ПЕР ДВ ОП ПР ЗЛ</t>
  </si>
  <si>
    <t>MERCEDES W219, CLS 2004- СТ ЗАДН ДВ ОП ПР ЗЛ</t>
  </si>
  <si>
    <t>W220, S CLASS 1998-2006</t>
  </si>
  <si>
    <t>MERCEDES W220, S CLASS 1998-2006 СТ ВЕТР ПРСР ЭО+ДД+VIN+УО+ИЗМ ДД</t>
  </si>
  <si>
    <t>MERCEDES W220, S CLASS 1998-2006 СТ ВЕТР ТЕПЛООТРСР ЭО+ИЗМ ШЕЛК+VIN+УО</t>
  </si>
  <si>
    <t>MERCEDES W220, S CLASS 1998-2006 СТ ВЕТР ЗЛСР+ЭО+ДД+VIN+УО+ИЗМ ДД</t>
  </si>
  <si>
    <t>MERCEDES W220, S CLASS 2003-2006 СТ ВЕТР ЗЛСР ЭО+VIN+УО+ИЗМ ДД</t>
  </si>
  <si>
    <t>MERCEDES W220, S CLASS 1998-2006 СТ ВЕТР ЗЛСР ЭО+ИЗМ ШЕЛК+VIN+УО</t>
  </si>
  <si>
    <t>MERCEDES W220, S CLASS 1998-2006 СТ ВЕТР ЗЛСР+ИЗМ ШЕЛК+VIN+УО</t>
  </si>
  <si>
    <t>MERCEDES W220, S CLASS СД 1998-2006 СТ ЗАДН ТЕПЛООТР+АНТ+СТОП+GPS+ТРИПЛ+ПОЛ</t>
  </si>
  <si>
    <t>MERCEDES W220, S CLASS СД 1998-2006 СТ ЗАДН ЗЛ+АНТ+СТОП+GPS+ТРИПЛ</t>
  </si>
  <si>
    <t>MERCEDES W220, S CLASS 1998-2006 СТ ПЕР ДВ ОП ЛВ ЗЛ+ТРИПЛ</t>
  </si>
  <si>
    <t>MERCEDES W220, S CLASS 1998-2006 СТ ЗАДН ДВ ОП ЛВ ЗЛ+ТРИПЛ</t>
  </si>
  <si>
    <t>MERCEDES W220, S CLASS 1998-2006 СТ ФОРТ ЗАДН НЕП ЛВ ЗЛ+ТРИПЛ</t>
  </si>
  <si>
    <t>MERCEDES W220, S CLASS 1998-2006 СТ ПЕР ДВ ОП ПР ЗЛ+ТРИПЛ</t>
  </si>
  <si>
    <t>MERCEDES W220, S CLASS 1998-2006 СТ ЗАДН ДВ ОП ПР ЗЛ+ТРИПЛ</t>
  </si>
  <si>
    <t>MERCEDES W220, S CLASS 1998-2006 СТ ФОРТ ЗАДН НЕП ПР ЗЛ+ТРИПЛ</t>
  </si>
  <si>
    <t>W221, S CLASS 2005-</t>
  </si>
  <si>
    <t>MERCEDES W221, S CLASS 2005- СТ ВЕТР ТЕПЛООТР ЭО+ДД+VIN+ИНК</t>
  </si>
  <si>
    <t>MERCEDES W221, S CLASS 2005- СТ ВЕТР ЗЛ ЭО+ДД+VIN+ИНК</t>
  </si>
  <si>
    <t>MS S-CLASS 05-СТ ВЕТР ПР+СИСТ.НОЧН.ВИД.+ДД+VIN+УО</t>
  </si>
  <si>
    <t>207/307-410 1977-1996</t>
  </si>
  <si>
    <t>1976-1996</t>
  </si>
  <si>
    <t>MERCEDES 207/307-410 1977-1996  СТ ВЕТР</t>
  </si>
  <si>
    <t>MERCEDES 207/307-410 1977-1996  СТ ВЕТР ЗЛЗЛ</t>
  </si>
  <si>
    <t>MERCEDES 207/307-410 1977-1996 РЕЗ ПРОФ ДЛЯ СТ ВЕТР</t>
  </si>
  <si>
    <t>MERCEDES 207/307-410 1977-1996  СТ ПЕР ДВ ОП</t>
  </si>
  <si>
    <t>MERCEDES 207/307-410 1977-1996  СТ ФОРТ ПЕР НЕП</t>
  </si>
  <si>
    <t>381 I 383/385/387 1973-1982</t>
  </si>
  <si>
    <t>1973-1982</t>
  </si>
  <si>
    <t>MERCEDES 1617 2632 1973-1982  СТ ВЕТР</t>
  </si>
  <si>
    <t>MERCEDES 1617 2632 1973-1982  СТ ВЕТР ЗЛ</t>
  </si>
  <si>
    <t>MERCEDES 1617 2632 1973-1982  СТ ВЕТР ЗЛЗЛ</t>
  </si>
  <si>
    <t>MERCEDES 1617 2632 1973-1982  РЕЗ ПРОФ ДЛЯ СТ ВЕТР</t>
  </si>
  <si>
    <t>MERCEDES 1617 2632 1973-1982  СТ ПЕР ДВ ОП</t>
  </si>
  <si>
    <t>406/408-613, HIGH VAN 1967-1985</t>
  </si>
  <si>
    <t>1967-1985</t>
  </si>
  <si>
    <t>MERCEDES 406/408-613, HIGH VAN 1967-1985 СТ ВЕТР</t>
  </si>
  <si>
    <t>MERCEDES 406/408-613, HIGH VAN 1967-1985 РЕЗ ПРОФ ДЛЯ СТ ВЕТР</t>
  </si>
  <si>
    <t>406/408-613, LOW VAN 1967-1985</t>
  </si>
  <si>
    <t>MERCEDES 406/408-613, LOW VAN 1967-1985 СТ ВЕТР</t>
  </si>
  <si>
    <t>MERCEDES 406/408-613, LOW VAN 1967-1985 РЕЗ ПРОФ ДЛЯ СТ ВЕТР</t>
  </si>
  <si>
    <t>608/808/813/913/1620 VAN 1965-1984</t>
  </si>
  <si>
    <t>MERCEDES LP 608/808/813/913/1620 VAN 1965-1984 СТ ВЕТР</t>
  </si>
  <si>
    <t>670/676/668/669 1986-</t>
  </si>
  <si>
    <t>MERCEDES T2,507 811 1986-  СТ ВЕТР</t>
  </si>
  <si>
    <t>MERCEDES T2,507 811 1986-  СТ ВЕТР ЗЛГЛ</t>
  </si>
  <si>
    <t>MERCEDES T2,507 811 1986- РЕЗ ПРОФ ДЛЯ СТ ВЕТР</t>
  </si>
  <si>
    <t>673-679 BM 1984-1997</t>
  </si>
  <si>
    <t>MERCEDES 809/814/1114 1984-1997  СТ ВЕТР</t>
  </si>
  <si>
    <t>MERCEDES 809/814/1114 1984-1997  СТ ВЕТР ЗЛЗЛ</t>
  </si>
  <si>
    <t>MERCEDES 673-679 BM 1984-1997 РЕЗ ПРОФ ДЛЯ СТ ВЕТР</t>
  </si>
  <si>
    <t>MERCEDES 809/814/1114 1984-1997  СТ ПЕР ДВ ОП</t>
  </si>
  <si>
    <t>ACTROS 1996-</t>
  </si>
  <si>
    <t>MERCEDES ACTROS 1996- СТ ВЕТР</t>
  </si>
  <si>
    <t>MERCEDES ACTROS 1996- СТ ВЕТР ЗЛ</t>
  </si>
  <si>
    <t>MERCEDES ACTROS 1996- СТ ВЕТР ЗЛЗЛ</t>
  </si>
  <si>
    <t>MERCEDES ACTROS 1996- РЕЗ ПРОФ ДЛЯ СТ ВЕТР</t>
  </si>
  <si>
    <t>MERCEDES ACTROS 1996- СТ ПЕР ДВ ОП ЛВ</t>
  </si>
  <si>
    <t>MERCEDES ACTROS 1996- СТ ПЕР ДВ ОП ЛВ ЗЛ</t>
  </si>
  <si>
    <t>MERCEDES ACTROS 1996- СТ ПЕР ДВ ОП ПР</t>
  </si>
  <si>
    <t>MERCEDES ACTROS 1996- СТ ПЕР ДВ ОП ПР ЗЛ</t>
  </si>
  <si>
    <t>MERCEDES ACTROS 1996- СТ ПЕР ДВ ОП ПР ЗЛ+УО</t>
  </si>
  <si>
    <t>ATEGO/AXOR 04/1998-</t>
  </si>
  <si>
    <t>MERCEDES ATEGO/AXOR 04/1998- СТ ВЕТР</t>
  </si>
  <si>
    <t>MERCEDES ATEGO/AXOR 04/1998- СТ ВЕТР ЗЛ</t>
  </si>
  <si>
    <t>MERCEDES ATEGO/AXOR 04/1998- СТ ВЕТР  ЗЛ</t>
  </si>
  <si>
    <t>MERCEDES ATEGO 2000- СТ ВЕТР ЗЛЗЛ</t>
  </si>
  <si>
    <t>MERCEDES ATEGO/AXOR 04/1998-  МОЛД  ДЛЯ СТ ВЕТР</t>
  </si>
  <si>
    <t>MERCEDES ATEGO 2005-  МОЛД ДЛЯ СТ ВЕТР</t>
  </si>
  <si>
    <t>MERCEDES ATEGO 04/1998- СТ ПЕР ДВ ОП ЛВ</t>
  </si>
  <si>
    <t>MERCEDES ATEGO 04/1998- СТ ПЕР ДВ ОП ЛВ ЗЛ</t>
  </si>
  <si>
    <t>MERCEDES ATEGO 04/1998- СТ ПЕР ДВ ОП ПР</t>
  </si>
  <si>
    <t>MERCEDES ATEGO 04/1998- СТ ПЕР ДВ ОП ПР ЗЛ</t>
  </si>
  <si>
    <t>MB100 1988-1996</t>
  </si>
  <si>
    <t>MERCEDES MB100 1988-1996  СТ ВЕТР</t>
  </si>
  <si>
    <t>MERCEDES MB100 1988-1996  СТ ВЕТР ЗЛЗЛ</t>
  </si>
  <si>
    <t>MERCEDES MB100 1988-1996  СТ ПЕР ДВ ОП ЛВ</t>
  </si>
  <si>
    <t>MERCEDES MB100 1988-1996  СТ ПЕР ДВ ОП ПР</t>
  </si>
  <si>
    <t>MB1630 (389 I) 1983-1998</t>
  </si>
  <si>
    <t>1983-1998</t>
  </si>
  <si>
    <t>MERCEDES 1630 1983-1998 СТ ВЕТР</t>
  </si>
  <si>
    <t>MERCEDES MB1630 (389 I) 1989-1998 РЕЗ ПРОФ ДЛЯ СТ ВЕТР</t>
  </si>
  <si>
    <t>SPRINTER (HIGH) 1994-2006</t>
  </si>
  <si>
    <t>MERCEDES SPRINTER 1994-2006  СТ ВЕТР БОЛ/VOLKSWAGEN LT HIGH 1996-  СТ ВЕТР</t>
  </si>
  <si>
    <t>MERCEDES SPRINTER высок. 1994-2006 СТ ВЕТР +КР</t>
  </si>
  <si>
    <t>MERCEDES SPRINTER высок. 1994-2006 СТ ВЕТР ЗЛ/VOLKSWAGEN LT HIGH 96  СТ ВЕТР ЗЛ</t>
  </si>
  <si>
    <t>MERCEDES SPRINTER высок. 1994-2006 СТ ВЕТР ЗЛ+КР</t>
  </si>
  <si>
    <t>MERCEDES SPRINTER 1994-2006  СТ ВЕТР БОЛ ЗЛЗЛ/VOLKSWAGEN LT HIGH 1996-  СТ ВЕТР ЗЛЗЛ</t>
  </si>
  <si>
    <t>MERCEDES SPRINTER высок. 1994-2006 СТ ВЕТР ЗЛЗЛ+КР</t>
  </si>
  <si>
    <t>MERCEDES SPRINTER высок. 1994-2006  МОЛД  ДЛЯ СТ ВЕТР</t>
  </si>
  <si>
    <t>MERCEDES SPRINTER высок. МИН 1994-2006  СТ ЗАДН ЛВ/MERCEDES SPRINTER LOW 94  СТ ЗАДН ЛВ</t>
  </si>
  <si>
    <t>MERCEDES SPRINTER высок. МИН 1994-2006  СТ ЗАДН ПР/MERCEDES SPRINTER LOW 94  СТ ЗАДН ПР</t>
  </si>
  <si>
    <t>MERCEDES SPRINTER высок. МИН 1994-2006  СТ ЗАДН ПР+Б/ЭО/MERCEDES SPRINTER LOW 94  СТ ЗАДН ПР Б/ЭО</t>
  </si>
  <si>
    <t>MERCEDES SPRINTER высок. МИН 1994-2006  СТ ЗАДН ЗЛ ЛВ/MERCEDES SPRINTER LOW 94  СТ ЗАДН ЗЛ ЛВ</t>
  </si>
  <si>
    <t>MERCEDES SPRINTER высок. МИН 1994-2006  СТ ЗАДН ЗЛ ПР/MERCEDES SPRINTER LOW 94  СТ ЗАДН ЗЛ ПР</t>
  </si>
  <si>
    <t>MERCEDES SPRINTER высок. 1994-2006  СТ ЗАДН ДВ НЕП/MERCEDES SPRINTER LOW 94  СТ БОК НЕП</t>
  </si>
  <si>
    <t>MERCEDES SPRINTER высок. 1994-2006  СТ ПЕР ДВ ОП ЛВ/MERCEDES SPRINTER 94  СТ ПЕР ДВ ОП ЛВ</t>
  </si>
  <si>
    <t>MERCEDES SPRINTER высок. 1994-2006  СТ ФОРТ ПЕР НЕП ЛВ/MERCEDES SPRINTER 94  СТ ФОРТ ПЕР ДВ ЛВ</t>
  </si>
  <si>
    <t>MERCEDES SPRINTER высок. 1994-2006  СТ ПЕР ДВ ОП ЛВ ЗЛ/MERCEDES SPRINTER LOW 94  СТ ПЕР ДВ ОП ЛВ ЗЛ</t>
  </si>
  <si>
    <t>MERCEDES SPRINTER высок. 1994-2006  СТ ФОРТ ПЕР НЕП ЛВ ЗЛ/MERCEDES SPRINTER LOW 94  СТ ФОРТ ПЕР НЕП ЛВ ЗЛ</t>
  </si>
  <si>
    <t>MERCEDES SPRINTER высок. 1994-2006  СТ ПЕР ДВ ОП ПР/MERCEDES SPRINTER 94  СТ ПЕР ДВ ОП ПР</t>
  </si>
  <si>
    <t>MERCEDES SPRINTER высок. 1994-2006  СТ ФОРТ ПЕР НЕП ПР/MERCEDES SPRINTER 94  СТ ФОРТ ПЕР ДВ ПР</t>
  </si>
  <si>
    <t>MERCEDES SPRINTER высок. 1994-2006  СТ ПЕР ДВ ОП ПР ЗЛ/MERCEDES SPRINTER LOW 94  СТ ПЕР ДВ ОП ПР ЗЛ</t>
  </si>
  <si>
    <t>MERCEDES SPRINTER высок. 1994-2006  СТ ФОРТ ПЕР НЕП ПР ЗЛ/MERCEDES SPRINTER LOW 94  СТ ФОРТ ПЕР НЕП ПР ЗЛ</t>
  </si>
  <si>
    <t>SPRINTER (LOW) 1994-2006</t>
  </si>
  <si>
    <t>MERCEDES SPRINTER 1994-2006  СТ ВЕТР МАЛ</t>
  </si>
  <si>
    <t>MERCEDES SPRINTER 1994-2006  СТ ВЕТР МАЛ+КР</t>
  </si>
  <si>
    <t>MERCEDES SPRINTER 1994-2006  СТ ВЕТР МАЛ ЗЛ</t>
  </si>
  <si>
    <t>MERCEDES SPRINTER 1994-2006  СТ ВЕТР МАЛ ЗЛ+КР</t>
  </si>
  <si>
    <t>MERCEDES SPRINTER 1994-2006  СТ ВЕТР МАЛ ЗЛЗЛ</t>
  </si>
  <si>
    <t>MERCEDES SPRINTER 1994-2006  СТ ВЕТР МАЛ ЗЛЗЛ+КР</t>
  </si>
  <si>
    <t>MERCEDES SPRINTER 1994-2006  МОЛД  ДЛЯ СТ ВЕТР</t>
  </si>
  <si>
    <t>MERCEDES SPRINTER LOW МИН 1994-2006 СТ ЗАДН ЛВ/MERCEDES SPRINT HIGH 191994-2006-2006  СТ ЗАДН ЛВ</t>
  </si>
  <si>
    <t>MERCEDES SPRINTER LOW МИН 1994-2006  СТ ЗАДН ПР/MERCEDES SPRINT HIGH 1994-2006  СТ ЗАДН ПР</t>
  </si>
  <si>
    <t>MERCEDES SPRINTER LOW МИН 1994-2006  СТ ЗАДН ПР Б/ЭО /MERCEDES SPRINT HIGH 1994-2006  СТ ЗАДН ПР+Б/ЭО</t>
  </si>
  <si>
    <t>MERCEDES SPRINTER LOW МИН 1994-2006  СТ ЗАДН ЗЛ ЛВ/MERCEDES SPRINT HIGH 1994-2006  СТ ЗАДН ЗЛ ЛВ</t>
  </si>
  <si>
    <t>MERCEDES SPRINTER МИН 1994-2006  СТ ЗАДН ПР ЛВ БЭО</t>
  </si>
  <si>
    <t>MERCEDES SPRINTER LOW МИН 1994-2006  СТ ЗАДН ЗЛ ПР/MERCEDES SPRINT HIGH 1994-2006  СТ ЗАДН ЗЛ ПР</t>
  </si>
  <si>
    <t>MERCEDES SPRINTER LOW 1994-2006  СТ БОК НЕП/MERCEDES SPRINT HIGH 1994-2006  СТ ЗАДН ДВ НЕП</t>
  </si>
  <si>
    <t>MERCEDES SPRINTER 1994-2006  СТ ПЕР ДВ ОП ЛВ/MERCEDES SPRINT HIGH 1994-2006  СТ ПЕР ДВ ОП ЛВ</t>
  </si>
  <si>
    <t>MERCEDES SPRINTER 1994-2006  СТ ФОРТ ПЕР ДВ ЛВ/MERCEDES SPRINT HIGH 1994-2006  СТ ФОРТ ПЕР НЕП ЛВ</t>
  </si>
  <si>
    <t>MERCEDES SPRINTER HIGH 1994-2006  СТ СР ЛВ</t>
  </si>
  <si>
    <t>MERCEDES SPRINTER LOW 1994-2006  СТ ПЕР ДВ ОП ЛВ ЗЛ/MERCEDES SPRINT HIGH 1994-2006  СТ ПЕР ДВ ОП ЛВ ЗЛ</t>
  </si>
  <si>
    <t>MERCEDES SPRINTER LOW 1994-2006  СТ ФОРТ ПЕР НЕП ЛВ ЗЛ/MERCEDES SPRINT HIGH 1994-2006  СТ ФОРТ ПЕР НЕП ЛВ ЗЛ</t>
  </si>
  <si>
    <t>MERCEDES SPRINTER 1994-2006  СТ ПЕР ДВ ОП ПР/MERCEDES SPRINT HIGH 1994-2006  СТ ПЕР ДВ ОП ПР</t>
  </si>
  <si>
    <t>MERCEDES SPRINTER 1994-2006  СТ ФОРТ ПЕР ДВ ПР/MERCEDES SPRINT HIGH 1994-2006  СТ ФОРТ ПЕР НЕП ПР</t>
  </si>
  <si>
    <t>MERCEDES SPRINTER 09/02  VAN 2Д СТ СР ПР</t>
  </si>
  <si>
    <t>MERCEDES SPRINTER LOW 1994-2006  СТ ПЕР ДВ ОП ПР ЗЛ/MERCEDES SPRINT HIGH 1994-2006  СТ ПЕР ДВ ОП ПР ЗЛ</t>
  </si>
  <si>
    <t>MERCEDES SPRINTER LOW 1994-2006  СТ ФОРТ ПЕР НЕП ПР ЗЛ/MERCEDES SPRINT HIGH 1994-2006  СТ ФОРТ ПЕР НЕП ПР ЗЛ</t>
  </si>
  <si>
    <t>SPRINTER 2006-</t>
  </si>
  <si>
    <t>MERCEDES SPRINTER SWB 2006- СТ ВЕТР</t>
  </si>
  <si>
    <t>MERCEDES SPRINTER SWB 2006- СТ ВЕТР ЭО</t>
  </si>
  <si>
    <t>MERCEDES SPRINTER SWB 2006- СТ ВЕТР ЭО+ДД</t>
  </si>
  <si>
    <t>MERCEDES SPRINTER SWB 2006- СТ ВЕТР+ДД</t>
  </si>
  <si>
    <t>MERCEDES SPRINTER SWB 2006- СТ ВЕТР ЗЛ/VOLKSWAGEN CRAFTER 2006-  СТ ВЕТР ЗЛ</t>
  </si>
  <si>
    <t>MERCEDES SPRINTER SWB 2006- СТ ВЕТР ЗЛГЛ/VOLKSWAGEN CRAFTER 2006-  СТ ВЕТР ЗЛГЛ</t>
  </si>
  <si>
    <t>MERCEDES SPRINTER SWB 2006- СТ ВЕТР ЗЛГЛ ЭО+ДД/VOLKSWAGEN CRAFTER 2006-  СТ ВЕТР ЗЛГЛ+ЭО+ДД</t>
  </si>
  <si>
    <t>MERCEDES SPRINTER SWB 2006- СТ ВЕТР ЗЛГЛ+ДД/VOLKSWAGEN CRAFTER 2006-  СТ ВЕТР ЗЛГЛ+ДД</t>
  </si>
  <si>
    <t>MERCEDES SPRINTER SWB 2006- МОЛД ДЛЯ СТ ВЕТР</t>
  </si>
  <si>
    <t>MERCEDES SPRINTER SWB 2006-  СТ ПЕР ДВ ОП ЛВ</t>
  </si>
  <si>
    <t>MERCEDES SPRINTER SWB 2006-  СТ ПЕР ДВ ОП ЛВ ЗЛ</t>
  </si>
  <si>
    <t>MERCEDES SPRINTER SWB 2006-  СТ ПЕР ДВ ОП ПР</t>
  </si>
  <si>
    <t>MERCEDES SPRINTER SWB 2006-  СТ ПЕР ДВ ОП ПР ЗЛ</t>
  </si>
  <si>
    <t>VANEO 2002-2003</t>
  </si>
  <si>
    <t>2002-2003</t>
  </si>
  <si>
    <t>MERCEDES VANEO 2002-2003 СТ ВЕТР ЗЛГЛ+УО</t>
  </si>
  <si>
    <t>MERCEDES VANEO МИН 2002-2003 СТ ЗАДН ЗЛ</t>
  </si>
  <si>
    <t>MERCEDES VANEO 2Д/4Д 2002-2003  СТ ПЕР ДВ ОП ЛВ ЗЛ</t>
  </si>
  <si>
    <t>MERCEDES VANEO 2002-2003  СТ ПЕР ДВ ОП ПР ЗЛ</t>
  </si>
  <si>
    <t>VITO (W638) 1996-2003</t>
  </si>
  <si>
    <t>MERCEDES V CL (W638) 1996-2003  СТ ВЕТР</t>
  </si>
  <si>
    <t>MERCEDES V CL (W638) 1996-2003  СТ ВЕТР КР</t>
  </si>
  <si>
    <t>MERCEDES V CL (W638) 1996-2003  СТ ВЕТР ЗЛ</t>
  </si>
  <si>
    <t>MERCEDES V CL (W638) 1996-2003  СТ ВЕТР ЗЛ КР</t>
  </si>
  <si>
    <t>MERCEDES V CL (W638) 1996-2003  СТ ВЕТР ЗЛГЛ</t>
  </si>
  <si>
    <t>MERCEDES V CL (W638) 1996-2003  СТ ВЕТР ЗЛГЛ+ИЗМ КР</t>
  </si>
  <si>
    <t>MERCEDES V CL (W638) 1996-2003  СТ ВЕТР ЗЛЗЛ</t>
  </si>
  <si>
    <t>MERCEDES V CL (W638) 1996-2003  СТ ВЕТР ЗЛЗЛ+ИЗМ КР</t>
  </si>
  <si>
    <t>MERCEDES V CL (W638) 1996-2003  НАБ КЛИПС ДЛЯ  СТ БОК</t>
  </si>
  <si>
    <t>MERCEDES V CL (W638) 1996-2003  МОЛД  ДЛЯ СТ ВЕТР ЛВ+ПР</t>
  </si>
  <si>
    <t>MERCEDES V CL (W638) 1996-2003  МОЛД  ДЛЯ СТ ВЕТР ВЕРХ</t>
  </si>
  <si>
    <t>MERCEDES V CL (W638) МИН 1996-2003  СТ ЗАДН</t>
  </si>
  <si>
    <t>MERCEDES V CL (W638) МИН 1996-2003  СТ ЗАДН ЛВ</t>
  </si>
  <si>
    <t>MERCEDES V CL (W638) МИН 1996-2003  СТ ЗАДН ПР</t>
  </si>
  <si>
    <t>MERCEDES V CL (W638) МИН 1996-2003  СТ ЗАДН ЗЛ</t>
  </si>
  <si>
    <t>MERCEDES V CL (W638) МИН 1996-2003  СТ ЗАДН ЗЛ+СТОП</t>
  </si>
  <si>
    <t>MERCEDES V CL (W638) МИН 1996-2003  СТ ЗАДН ЗЛ ЛВ</t>
  </si>
  <si>
    <t>MERCEDES V CL (W638) МИН 1996-2003  СТ ЗАДН ЗЛ ПР</t>
  </si>
  <si>
    <t>MERCEDES V CL (W638) 1996-2003  СТ ПЕР ДВ ОП ЛВ+ФИТ</t>
  </si>
  <si>
    <t>MERCEDES V CL (W638) 1996-2003  VAN 4Д СТ СР ЛВ</t>
  </si>
  <si>
    <t>MERCEDES V CL (W638) 1996-2003  СТ ЗАДН ДВ ОП ЛВ</t>
  </si>
  <si>
    <t>MERCEDES V CL (W638) 1996-2003  СТ БОК НЕП ЛВ</t>
  </si>
  <si>
    <t>MERCEDES V CL (W638) 1996-2003  СТ БОК НЕП ЛВ+ИНК</t>
  </si>
  <si>
    <t>MERCEDES V CL (W638) 1996-2003  СТ ПЕР ДВ ОП ЛВ ЗЛ+ФИТ</t>
  </si>
  <si>
    <t>MERCEDES V CL (W638) 1996-2003  VAN 4Д СТ СР ЛВ ЗЛ</t>
  </si>
  <si>
    <t>MERCEDES V CL (W638) 1996-2003  СТ СР ЛВ ЗЛ ОТКР+ФИТ+ИЗМ ОТВ</t>
  </si>
  <si>
    <t>MERCEDES V CL (W638) 1996-2003  СТ ЗАДН ДВ ОП ЛВ ЗЛ</t>
  </si>
  <si>
    <t>MERCEDES V CL (W638) 1996-2003  СТ БОК НЕП ЛВ ЗЛ</t>
  </si>
  <si>
    <t>MERCEDES V CL (W638) 1996-2003  СТ БОК НЕП ЛВ ЗЛ+ИНК+ИЗМ РАЗМ</t>
  </si>
  <si>
    <t>MERCEDES V CL (W638) 1996-2003  СТ ПЕР ДВ ОП ПР+ФИТ</t>
  </si>
  <si>
    <t>MERCEDES V CL (W638) 1996-2003  СТ ЗАДН ДВ ОП ПР</t>
  </si>
  <si>
    <t>MERCEDES V CL (W638) 1996-2003  СТ БОК НЕП ПР</t>
  </si>
  <si>
    <t>MERCEDES V CL (W638) 1996-2003  СТ ПЕР ДВ ОП ПР ЗЛ+УО</t>
  </si>
  <si>
    <t>MERCEDES V CL (W638) 1996-2003  СТ ЗАДН ДВ ОП ПР ЗЛ</t>
  </si>
  <si>
    <t>MERCEDES V CL (W638) 1996-2003  СТ БОК НЕП ПР ЗЛ</t>
  </si>
  <si>
    <t>VITO (W639) 2003-</t>
  </si>
  <si>
    <t>MERCEDES V CL (W639) 2003-  СТ ВЕТР ЗЛ+АНТ</t>
  </si>
  <si>
    <t>MERCEDES V CL (W639) 2003-  СТ ВЕТР ЗЛ+АНТ+ДД</t>
  </si>
  <si>
    <t>MERCEDES V CL (W639) 2003-  СТ ВЕТР ЗЛЗЛ+АНТ</t>
  </si>
  <si>
    <t>MERCEDES V CL (W639) 2003-  СТ ВЕТР ЗЛЗЛ+АНТ+ДД</t>
  </si>
  <si>
    <t>MERCEDES V CL (W639) 2003-  МОЛД  ДЛЯ СТ ВЕТР</t>
  </si>
  <si>
    <t>MERCEDES V CL (W639) МИН 2003-  СТ ЗАДН ЗЛ</t>
  </si>
  <si>
    <t>MERCEDES V CL (W639) МИН 2003-  СТ ЗАДН ЗЛ ЛВ</t>
  </si>
  <si>
    <t>MERCEDES V CL (W639) МИН 2003-  СТ ЗАДН ЗЛ ПР</t>
  </si>
  <si>
    <t>MERCEDES V CL (W639) 2003-  СТ ПЕР ДВ ОП ЛВ ЗЛ</t>
  </si>
  <si>
    <t>MERCEDES V CL (W639) 2003-  СТ СР ЗЛ ЛВ</t>
  </si>
  <si>
    <t>MERCEDES V CL (W639) 2003-  СТ ЗАДН ДВ НЕП ЛВ ЗЛ ОТКР+УО</t>
  </si>
  <si>
    <t>MERCEDES V CL ПРРУЛЬ 2003- СТ ЗАДН ДВ ОП ЛВЗЛ</t>
  </si>
  <si>
    <t>MERCEDES V CL (W639) 2003-  СТ ПЕР ДВ ОП ПР ЗЛ</t>
  </si>
  <si>
    <t>MERCEDES V CL (W639) 2003-  СТ ЗАДН ДВ ОП ПР ЗЛ</t>
  </si>
  <si>
    <t>MERCEDES V CL (W639) 2003-  СТ ЗАДН ДВ НЕП ПР ЗЛ ОТКР+УО</t>
  </si>
  <si>
    <t>SMART</t>
  </si>
  <si>
    <t>SMART ROADSTER 2003-</t>
  </si>
  <si>
    <t>SMART ROADSTER 2003-  СТ ВЕТР ЗЛ</t>
  </si>
  <si>
    <t>SMART ROADSTER 2003-  СТ ВЕТР ЗЛ ДД</t>
  </si>
  <si>
    <t>SMART ROADSTER 2003- МОЛД  ДЛЯ СТ ВЕТР</t>
  </si>
  <si>
    <t>SMART ROADSTER КП 2003-  СТ ЗАДН Б/ЭО</t>
  </si>
  <si>
    <t>SMART ROADSTER КП 2003-  СТ ЗАДН ВЕРХ</t>
  </si>
  <si>
    <t>SMART ROADSTER КБ 2003-  СТ ЗАДН ЗЛ</t>
  </si>
  <si>
    <t>SMART ROADSTER 2003-  СТ ПЕР ДВ ОП ЛВ ЗЛ</t>
  </si>
  <si>
    <t>SMART ROADSTER 2003-  СТ ПЕР ДВ ОП ПР ЗЛ</t>
  </si>
  <si>
    <t>MITSUBISHI</t>
  </si>
  <si>
    <t>3000 GT 1993-1999</t>
  </si>
  <si>
    <t>MITSUBISHI 3000 GT 1993-1999  СТ ВЕТР ЗЛГЛ</t>
  </si>
  <si>
    <t>MITSUBISHI 3000 GT 1993-1999  СТ ВЕТР СРСР</t>
  </si>
  <si>
    <t>ASX  5Д 06/2010-</t>
  </si>
  <si>
    <t>MITSUBISHI  ASX  5Д 06/2010- СТ ВЕТР ЗЛ+VIN</t>
  </si>
  <si>
    <t>MITSUBISHI ASX 2010 4W СТ ВЕТР ЗЛ+ДД+VIN</t>
  </si>
  <si>
    <t>CANTER FX VAN 1986-1996</t>
  </si>
  <si>
    <t>1986-1996</t>
  </si>
  <si>
    <t>MITSUBISHI CANTER FX VAN 1986-1996  СТ ВЕТР</t>
  </si>
  <si>
    <t>CARISMA 1995-2003</t>
  </si>
  <si>
    <t>MITSUBISHI CARISMA 5Д 1995-2003  СТ ВЕТР ЗЛ</t>
  </si>
  <si>
    <t>MITSUBISHI CARISMA 5Д 1995-2003  СТ ВЕТР ЗЛГЛ</t>
  </si>
  <si>
    <t>MITSUBISHI CARISMA 5Д 1995-2003  СТ ВЕТР ЗЛ ЗЛ</t>
  </si>
  <si>
    <t>MITSUBISHI CARISMA 5Д 1995-2003  МОЛД  ДЛЯ СТ ВЕТР ВЕРХ</t>
  </si>
  <si>
    <t>MITSUBISHI CARISMA 5Д ХБ 1995-2003  СТ ЗАДН ЭО ЗЛ</t>
  </si>
  <si>
    <t>MITSUBISHI CARISMA 5Д ХБ 2000-2003  СТ ЗАДН ЭО ГЛ+ИЗМ РАЗМ</t>
  </si>
  <si>
    <t>MITSUBISHI CARISMA 4Д СД 1995-2003  СТ ЗАДН ЭО ЗЛ</t>
  </si>
  <si>
    <t>MITSUBISHI CARISMA 5Д 1995-2003  СТ ПЕР ДВ ОП ЛВ ЗЛ</t>
  </si>
  <si>
    <t>MITSUBISHI CARISMA 5Д 1995-2003  СТ ЗАДН ДВ ОП ЛВ ЗЛ</t>
  </si>
  <si>
    <t>MITSUBISHI CARISMA 5Д 1995-2003  СТ БОК НЕП ЛВ ЗЛ</t>
  </si>
  <si>
    <t>MITSUBISHI CARISMA 4Д 1995-2003  СТ ЗАДН ДВ ОП ЛВ ЗЛ+2ОТВ</t>
  </si>
  <si>
    <t>MITSUBISHI CARISMA 4Д 1995-2003  СТ БОК НЕП ЛВ ЗЛ</t>
  </si>
  <si>
    <t>MITSUBISHI CARISMA 5Д 1995-2003  СТ ПЕР ДВ ОП ПР ЗЛ</t>
  </si>
  <si>
    <t>MITSUBISHI CARISMA 5Д 1995-2003  СТ ЗАДН ДВ ОП ПР ЗЛ</t>
  </si>
  <si>
    <t>MITSUBISHI CARISMA 5Д 1995-2003  СТ БОК НЕП ПР ЗЛ</t>
  </si>
  <si>
    <t>MITSUBISHI CARISMA 4Д 1995-2003  СТ ЗАДН ДВ ОП ПР ЗЛ</t>
  </si>
  <si>
    <t>MITSUBISHI CARISMA 4Д 1995-2003  СТ БОК НЕП ПР ЗЛ</t>
  </si>
  <si>
    <t>COLT 3Д 1988-1992</t>
  </si>
  <si>
    <t>MITSUBISHI  LANCER ХБ 1988-1992 СТ ВЕТР ГЛ</t>
  </si>
  <si>
    <t>MITSUBISHI  LANCER ХБ 1988-1992 СТ ВЕТР ГЛГЛ</t>
  </si>
  <si>
    <t>MITSUBISHI  LANCER ХБ 1988-1992  НАБ КЛИПС ДЛЯ СТ ВЕТР</t>
  </si>
  <si>
    <t>MITSUBISHI LANCER ХБK 1988-1992 МОЛД  ДЛЯ СТ ВЕТР ВЕРХ</t>
  </si>
  <si>
    <t>MITSUBISHI  LANCER ХБ 1988-1992 СТ ЗАДН ДВ ГЛ</t>
  </si>
  <si>
    <t>MITSUBISHI  LANCER ХБ 1988-1992 СТ ПЕР ДВ ОП ЛВ ГЛ</t>
  </si>
  <si>
    <t>MITSUBISHI  LANCER ХБ 1988-1992 СТ ПЕР ДВ ОП ПР</t>
  </si>
  <si>
    <t>COLT 3Д/4Д 1992-1995</t>
  </si>
  <si>
    <t>1992-1995</t>
  </si>
  <si>
    <t>MITSUBISHI  COLT 3Д CC 1992-1995 СТ ВЕТР ГЛ/PROTON PERSONA (M24)/300 95  СТ ВЕТР ГЛ</t>
  </si>
  <si>
    <t>MITSUBISHI  COLT 3Д CC 1992-1995 СТ ВЕТР ЗЛ</t>
  </si>
  <si>
    <t>MITSUBISHI  COLT 3Д CC 1992-1995 МОЛД  ДЛЯ СТ ВЕТР ВЕРХ</t>
  </si>
  <si>
    <t>MITSUBISHI  COLT 3Д CC 1992-1995 СТ ПЕР ДВ ОП ЛВ ГЛ</t>
  </si>
  <si>
    <t>MITSUBISHI  COLT 3Д CC 1992-1995 СТ ПЕР ДВ ОП ПР ГЛ</t>
  </si>
  <si>
    <t>COLT 3Д 1996-2004</t>
  </si>
  <si>
    <t>MITSUBISHI COLT 3Д 1996-2004  СТ ВЕТР ЗЛ</t>
  </si>
  <si>
    <t>MITSUBISHI COLT 3Д 1996-2004  СТ ВЕТР ЗЛГЛ</t>
  </si>
  <si>
    <t>MITSUBISHI COLT 3Д 1996-2004  СТ ВЕТР ЗЛЗЛ</t>
  </si>
  <si>
    <t>MITSUBISHI COLT 3Д 1996-2004  НАБ КЛИПС ДЛЯ СТ ВЕТР</t>
  </si>
  <si>
    <t>MITSUBISHI COLT 3Д 1996-2004 МОЛД  ДЛЯ СТ ВЕТР ВЕРХ</t>
  </si>
  <si>
    <t>MITSUBISHI COLT 3Д ХБ 1996-2004  СТ ЗАДН ЗЛ+УО</t>
  </si>
  <si>
    <t>MITSUBISHI COLT 3Д 1996-2004  СТ ПЕР ДВ ОП ЛВ ЗЛ</t>
  </si>
  <si>
    <t>MITSUBISHI COLT 3Д 1996-2004  СТ ПЕР ДВ ОП ПР ЗЛ</t>
  </si>
  <si>
    <t>COLT 3Д 2005-</t>
  </si>
  <si>
    <t>MITSUBISHI COLT 3Д 2005-  СТ ВЕТР ЗЛ</t>
  </si>
  <si>
    <t>MITSUBISHI COLT 3Д 2005-  СТ ВЕТР ЗЛГЛ</t>
  </si>
  <si>
    <t>MITSUBISHI COLT 3Д 2005-  СТ ВЕТР ЗЛ+ДД+ИЗМ ШЕЛК</t>
  </si>
  <si>
    <t>MITSUBISHI COLT 3Д 2005-  МОЛД ДЛЯ СТ ВЕТР</t>
  </si>
  <si>
    <t>MITSUBISHI COLT ХБ 3Д 2005- СТ ПЕР ДВ ОП ЛВ ЗЛ</t>
  </si>
  <si>
    <t>MITSUBISHI COLT 3Д 2005-  СТ БОК НЕП ЛВ ЗЛ+ИНК</t>
  </si>
  <si>
    <t>MITSUBISHI COLT 2005-  СТ БОК НЕП ЛВ ЗЛ+ИНК</t>
  </si>
  <si>
    <t>MITSUBISHI COLT ХБ 3Д 2005- СТ ПЕР ДВ ОП ПР ЗЛ</t>
  </si>
  <si>
    <t>MITSUBISHI COLT 3Д 2005-  СТ БОК НЕП ПР ЗЛ+ИНК</t>
  </si>
  <si>
    <t>MITSUBISHI COLT 2005-  СТ БОК НЕП ПР ЗЛ+ИНК</t>
  </si>
  <si>
    <t>COLT 5Д 2004-</t>
  </si>
  <si>
    <t>MITSUBISHI COLT 5Д 02/2007- СТ ВЕТР ЗЛ</t>
  </si>
  <si>
    <t>MITSUBISHI COLT 5Д 02/2007- СТ ВЕТР ЗЛ+ДД</t>
  </si>
  <si>
    <t>MITSUBISHI COLT 5Д 2004- СТ ВЕТР ЗЛ</t>
  </si>
  <si>
    <t>MITSUBISHI COLT 5Д 2004-  СТ ВЕТР ЗЛ</t>
  </si>
  <si>
    <t>MITSUBISHI COLT 5Д 2004-  СТ ВЕТР ЗЛГЛ</t>
  </si>
  <si>
    <t>MITSUBISHI COLT 5Д 2004-  СТ ВЕТР ЗЛ+ДД</t>
  </si>
  <si>
    <t>MITSUBISHI COLT 5Д 2004-  МОЛД  ДЛЯ СТ ВЕТР</t>
  </si>
  <si>
    <t>MITSUBISHI COLT ХБ 2004-  СТ ЗАДН ЗЛ+СТОП</t>
  </si>
  <si>
    <t>MITSUBISHI COLT 5Д ХБ 2004-  СТ ЗАДН СР PR+СТОП</t>
  </si>
  <si>
    <t>MITSUBISHI COLT 5Д 2004-  СТ ПЕР ДВ ОП ЛВ ЗЛ</t>
  </si>
  <si>
    <t>MITSUBISHI COLT 2005-  СТ БОК ПЕР НЕП ЛВ ЗЛ+ИНК/MITSUBISHI CZC CABRIO 2006- СТ БОК ПЕР НЕП ЛВ ЗЛ+И</t>
  </si>
  <si>
    <t>MITSUBISHI COLT 5Д 2004-  СТ ЗАДН ДВ ОП ЛВ ЗЛ+УО</t>
  </si>
  <si>
    <t>MITSUBISHI COLT 5Д 2004-  СТ БОК НЕП ЛВ ЗЛ+ИНК</t>
  </si>
  <si>
    <t>MITSUBISHI COLT 2004-  СТ ПЕР ДВ ОП ЛВ ЗЛ</t>
  </si>
  <si>
    <t>MITSUBISHI COLT 2004-  СТ ЗАДН ДВ ОП ЛВ ЗЛ+УО</t>
  </si>
  <si>
    <t>MITSUBISHI COLT 5Д 2004-  СТ ЗАДН ДВ ОП ЛВ СР PR+УО</t>
  </si>
  <si>
    <t>MITSUBISHI COLT 5Д 2004-  СТ БОК НЕП ЛВ СР PR+ИНК</t>
  </si>
  <si>
    <t>MITSUBISHI COLT 5Д 2004-  СТ ПЕР ДВ ОП ПР ЗЛ</t>
  </si>
  <si>
    <t>MITSUBISHI COLT 2005-  СТ БОК ПЕР НЕП ПР ЗЛ+ИНК/MITSUBISHI CZC CABRIO 2006- СТ БОК ПЕР НЕП ПР ЗЛ+ИНК</t>
  </si>
  <si>
    <t>MITSUBISHI COLT 5Д 2004-  СТ ЗАДН ДВ ОП ПР ЗЛ+УО</t>
  </si>
  <si>
    <t>MITSUBISHI COLT 5Д 2004-  СТ БОК НЕП ПР ЗЛ+ИНК</t>
  </si>
  <si>
    <t>MITSUBISHI COLT 2004-  СТ ПЕР ДВ ОП ПР ЗЛ</t>
  </si>
  <si>
    <t>MITSUBISHI COLT 2004-  СТ ЗАДН ДВ ОП ПР ЗЛ+УО</t>
  </si>
  <si>
    <t>MITSUBISHI COLT 5Д 2004-  СТ ЗАДН ДВ ОП ПР СР PR+УО</t>
  </si>
  <si>
    <t>MITSUBISHI COLT 5Д 2004-  СТ БОК НЕП ПР СР PR+ИНК</t>
  </si>
  <si>
    <t>ECLIPSE (D2) 1992-1995</t>
  </si>
  <si>
    <t>MITSUBISHI ECLIPSE 2Д КП 1992-1995 СТ ВЕТР ЗЛГЛ</t>
  </si>
  <si>
    <t>MITSUBISHI ECLIPSE 2Д КП 1992-1995 МОЛД  ДЛЯ СТ ВЕТР ВЕРХ</t>
  </si>
  <si>
    <t>MITSUBISHI ECLIPSE КП 1992-1995  СТ ПЕР ДВ ОП ЛВ ЗЛ</t>
  </si>
  <si>
    <t>ECLIPSE (D3) 1996-1999</t>
  </si>
  <si>
    <t>MITSUBISHI ECLIPSE 1996-1999  СТ ВЕТР ЗЛГЛ</t>
  </si>
  <si>
    <t>ECLIPSE КП 2006-</t>
  </si>
  <si>
    <t>MITSUBISHI ECLIPSE КП 2006- СТ ПЕР ДВ ОП ЛВ ЗЛ</t>
  </si>
  <si>
    <t>GALANT 1984-1988</t>
  </si>
  <si>
    <t>MITSUBISHI GALANT СЕД+УН 1984-1988 СТ ВЕТР ГЛ</t>
  </si>
  <si>
    <t>MITSUBISHI GALANT СЕД+УН 1984-1988 СТ ВЕТР БР</t>
  </si>
  <si>
    <t>GALANT E30 4Д СД 1988-1993</t>
  </si>
  <si>
    <t>MITSUBISHI GALANT E30 4Д СД 1988-1993 СТ ВЕТР ГЛ</t>
  </si>
  <si>
    <t>MITSUBISHI GALANT E30 СД 1988-1993 СТ ВЕТР ГЛГЛ</t>
  </si>
  <si>
    <t>MITSUBISHI GALANT E30 4Д СД 1988-1993 СТ ВЕТР БР</t>
  </si>
  <si>
    <t>MITSUBISHI GALANT E30 4Д СЕД 1988-1993 НАБ КЛИПС ДЛЯ СТ ВЕТР</t>
  </si>
  <si>
    <t>MITSUBISHI GALANT E30 4Д СД 1988-1993 СТ ЗАДН ГЛ</t>
  </si>
  <si>
    <t>MITSUBISHI GALANT E30 СД 1988-1993 СТ ПЕР ДВ ОП ЛВ ГЛ</t>
  </si>
  <si>
    <t>MITSUBISHI GALANT E30 СД 1988-1993 СТ ЗАДН ДВ ОП ЛВ ГЛ</t>
  </si>
  <si>
    <t>MITSUBISHI GALANT E30 СД 1988-1993 СТ БОК НЕП ЛВ ГЛ+ИНК</t>
  </si>
  <si>
    <t>MITSUBISHI GALANT E30 СД 1988-1993 СТ ПЕР ДВ ОП ПР ГЛ</t>
  </si>
  <si>
    <t>GALANT LTB 1990-1993</t>
  </si>
  <si>
    <t>MITSUBISHI GALANT LTB 1990-1993 СТ ВЕТР ГЛ</t>
  </si>
  <si>
    <t>MITSUBISHI GALANT LTB 1990-1993 СТ ВЕТР ГЛГЛ</t>
  </si>
  <si>
    <t>MITSUBISHI GALANT LTB 1990-1993 СТ ВЕТР БР</t>
  </si>
  <si>
    <t>MITSUBISHI GALANT LTB 1990-1993  НАБ КЛИПС ДЛЯ СТ ВЕТР</t>
  </si>
  <si>
    <t>MITSUBISHI GALANT LTB ХБ 1990-1993 СТ ЗАДН ДВ ГЛ</t>
  </si>
  <si>
    <t>GALANT СД+ХБ 1993-1997</t>
  </si>
  <si>
    <t>MITSUBISHI GALANT СД+ХБ 1993-1997 СТ ВЕТР ГЛ</t>
  </si>
  <si>
    <t>MITSUBISHI GALANT СД+ХБ 1993-1997 СТ ВЕТР ГЛГЛ</t>
  </si>
  <si>
    <t>MITSUBISHI GALANT СД+ХБ 1993-1997 СТ ВЕТР ЗЛ</t>
  </si>
  <si>
    <t>MITSUBISHI GALANT СД+ХБ 1993-1997 СТ ВЕТР ЗЛГЛ</t>
  </si>
  <si>
    <t>MITSUBISHI GALANT СД+ХБ 1993-1997 МОЛД  ДЛЯ СТ ВЕТР</t>
  </si>
  <si>
    <t>MITSUBISHI GALANT СД 1993-1997  СТ ЗАДН ГЛ</t>
  </si>
  <si>
    <t>MITSUBISHI GALANT СД+ХБ 1993-1997  СТ ПЕР ДВ ОП ПР ЗЛ</t>
  </si>
  <si>
    <t>GALANT СД+УН 1997-2005</t>
  </si>
  <si>
    <t>MITSUBISHI GALANT СД+УН 1997-2005 СТ ВЕТР ЗЛ</t>
  </si>
  <si>
    <t>MITSUBISHI GALANT СД+УН 1997-2005 СТ ВЕТР ЗЛГЛ</t>
  </si>
  <si>
    <t>MITSUBISHI GALANT СЕД+УН 1997-2005  МОЛД  ДЛЯ СТ ВЕТР ВЕРХ</t>
  </si>
  <si>
    <t>MITSUBISHI GALANT СД 1997-2005  СТ ЗАДН ЗЛ</t>
  </si>
  <si>
    <t>MITSUBISHI GALANT УН 1997-2005 СТ ЗАДН ДВ ОП ЛВ</t>
  </si>
  <si>
    <t>MITSUBISHI GALANT УН 1997-2005  СТ ФОРТ ЗАДН НЕП ЛВ ЗЛ</t>
  </si>
  <si>
    <t>MITSUBISHI GALANT СД+УН 1997-2005 СТ ПЕР ДВ ОПЛВ ЗЛ</t>
  </si>
  <si>
    <t>MITSUBISHI GALANT СД 1997-2005  СТ ЗАДН ДВ ОП ЛВ ЗЛ</t>
  </si>
  <si>
    <t>MITSUBISHI GALANT СД 1997-2005 СТ ЗАДН ДВ НЕП ЛВ ЗЛ</t>
  </si>
  <si>
    <t>MITSUBISHI GALANT УН 1997-2005  СТ ЗАДН ДВ ОП ПР ЗЛ</t>
  </si>
  <si>
    <t>MITSUBISHI GALANT УН 1997-2005  СТ ФОРТ ЗАДН НЕП ПР ЗЛ</t>
  </si>
  <si>
    <t>MITSUBISHI GALANT СД+УН 1997-2005 СТ ПЕР ДВ ОП ПР ЗЛ</t>
  </si>
  <si>
    <t>MITSUBISHI GALANT СД 1997-2005  СТ ЗАДН ДВ ОП ПР ЗЛ</t>
  </si>
  <si>
    <t>MITSUBISHI GALANT СД 1997-2005  СТ ФОРТ ЗАДН НЕП ПР ЗЛ</t>
  </si>
  <si>
    <t>GRANDIS 2004-</t>
  </si>
  <si>
    <t>MITSUBISHI GRANDIS 2004- СТ ВЕТР ЗЛ+УО</t>
  </si>
  <si>
    <t>MITSUBISHI GRANDIS 2004- МОЛД  ДЛЯ СТ ВЕТР ВЕРХ</t>
  </si>
  <si>
    <t>MITSUBISHI GRANDIS МИН 2004- СТ ЗАДН  ЗЛ</t>
  </si>
  <si>
    <t>MITSUBISHI GRANDIS 2004- СТ ПЕР ДВ ОП ЛВ ЗЛ</t>
  </si>
  <si>
    <t>MITSUBISHI GRANDIS 2004- СТ ЗАДН ДВ ОП ЛВ ЗЛ</t>
  </si>
  <si>
    <t>MITSUBISHI GRANDIS 2004- СТ ПЕР ДВ ОП ПР ЗЛ</t>
  </si>
  <si>
    <t>MITSUBISHI GRANDIS 2004- СТ ЗАДН ДВ ОП ПР ЗЛ</t>
  </si>
  <si>
    <t>L200 VAN, K SERIES 1987-1996</t>
  </si>
  <si>
    <t>MITSUBISHI L200 VAN, K SERIES 1987-1996 СТ ВЕТР ГЛ</t>
  </si>
  <si>
    <t>MITSUBISHI L200 VAN, K SERIES 1987-1996  СТ ВЕТР</t>
  </si>
  <si>
    <t>MITSUBISHI L200 VAN, K SERIES 1987-1996 НАБ КЛИПС ДЛЯ СТ ВЕТР</t>
  </si>
  <si>
    <t>MITSUBISHI  L200 VAN, K SERIES 1987-1996 СТ ПЕР ДВ ОП ПР ГЛ</t>
  </si>
  <si>
    <t>MITSUBISHI  L200 VAN, K SERIES 1987-1996 СТ ПЕР ДВ ОП ПР</t>
  </si>
  <si>
    <t>L200 1996- /PAJERO SPORT 1999-</t>
  </si>
  <si>
    <t>1996-2006</t>
  </si>
  <si>
    <t>MITSUBISHI L200 1996-2006  СТ ВЕТР ГЛ</t>
  </si>
  <si>
    <t>MITSUBISHI L200 1996-2006  СТ ВЕТР ЗЛ</t>
  </si>
  <si>
    <t>MITSUBISHI PAJERO SPORT 1999-2006 СТ ВЕТР ЗЛ</t>
  </si>
  <si>
    <t>MITSUBISHI L200 2003-2006 СТ ВЕТР ЗЛ+КР</t>
  </si>
  <si>
    <t>MITSUBISHI PAJERO SPORT 2003-2006 СТ ВЕТР ЗЛ+ИЗМ КР</t>
  </si>
  <si>
    <t>MITSUBISHI L200 1996-2006  СТ ВЕТР ЗЛГЛ</t>
  </si>
  <si>
    <t>MITSUBISHI PAJERO SPORT 1999-2006  СТ ВЕТР ЗЛ+ЭО+ИЗМ КР</t>
  </si>
  <si>
    <t>MITSUBISHI L200 2000-2003  СТ ВЕТР ЗЛ+ЭО+ИЗМ КР</t>
  </si>
  <si>
    <t>MITSUBISHI L200 1996-2006 МОЛД  ДЛЯ СТ ВЕТР</t>
  </si>
  <si>
    <t>MITSUBISHI L200 1996-2006 МОЛД  ДЛЯ СТ ВЕТР ХРОМ</t>
  </si>
  <si>
    <t>MITSUBISHI PAJERO SPORT 1999-2006  МОЛД  ДЛЯ СТ ВЕТР</t>
  </si>
  <si>
    <t>MITSUBISHI L200 ПИКАП 1996-2006  СТ ЗАДН ЗЛ</t>
  </si>
  <si>
    <t>MITSUBISHI L200 1996-2006  СТ ПЕР ДВ ОП ЛВ ЗЛ</t>
  </si>
  <si>
    <t>MITSUBISHI PAJERO SPORT 1999-2006  СТ ПЕР ДВ ОП ЛВ ЗЛ</t>
  </si>
  <si>
    <t>MITSUBISHI PAJERO SPORT 1999-2006  СТ ЗАДН ДВ ОП ЛВ ЗЛ</t>
  </si>
  <si>
    <t>MITSUBISHI PAJERO SPORT 1999-2006  СТ ФОРТ ЗАДН НЕП ЛВ ЗЛ</t>
  </si>
  <si>
    <t>MITSUBISHI L200 1996-2006  СТ ПЕР ДВ ОП ПР ЗЛ</t>
  </si>
  <si>
    <t>MITSUBISHI L200 1996-2006  СТ ЗАДН ДВ ОП ПР ЗЛ</t>
  </si>
  <si>
    <t>MITSUBISHI PAJERO SPORT 1999-2006  СТ ПЕР ДВ ОП ПР ЗЛ</t>
  </si>
  <si>
    <t>MITSUBISHI PAJERO SPORT 1999-2006  СТ ЗАДН ДВ ОП ПР ЗЛ</t>
  </si>
  <si>
    <t>MITSUBISHI PAJERO SPORT 1999-2006  СТ ФОРТ ЗАДН НЕП ПР ЗЛ</t>
  </si>
  <si>
    <t>L200 2006-</t>
  </si>
  <si>
    <t>MITSUBISHI L200 2006-  СТ ВЕТР ЗЛ</t>
  </si>
  <si>
    <t>L300 VAN 1980-1986</t>
  </si>
  <si>
    <t>1980-1986</t>
  </si>
  <si>
    <t>MITSUBISHI  L300 VAN 1980-1986 СТ ВЕТР</t>
  </si>
  <si>
    <t>MITSUBISHI  L300 VAN 1980-1986 РЕЗ ПРОФ ДЛЯ СТ ВЕТР</t>
  </si>
  <si>
    <t>MITSUBISHI  L300 VAN МИН 1980-1986 СТ ЗАДН</t>
  </si>
  <si>
    <t>L300 VAN, PZ SERIES 1987-1997</t>
  </si>
  <si>
    <t>MITSUBISHI  L300 VAN, PZ SERIES 1987-1997 СТ ВЕТР ГЛ</t>
  </si>
  <si>
    <t>MITSUBISHI  L300 VAN, PZ SERIES 1987-1997 СТ ВЕТР ГЛГЛ/HYUNDAI GRACE H100 94- СТ ВЕТР ГЛГЛ</t>
  </si>
  <si>
    <t>MITSUBISHI  L300 VAN, PZ SERIES 1987-1997 СТ ВЕТР БР</t>
  </si>
  <si>
    <t>MITSUBISHI  L300 VAN, PZ SERIES 1987-1997 СТ ВЕТР/HYUNDAI GRACE H100 1994-2000  СТ ВЕТР</t>
  </si>
  <si>
    <t>MITSUBISHI  L300 VAN, PZ SERIES 1987-1997 НАБ КЛИПС ДЛЯ СТ ВЕТР</t>
  </si>
  <si>
    <t>MITSUBISHI  L300 VAN, PZ SERIES МИН 1987-1997 СТ ЗАДН ЭО ГЛ</t>
  </si>
  <si>
    <t>MITSUBISHI  L300 VAN, PZ SERIES МИН 1987-1997 СТ ЗАДН ЭО</t>
  </si>
  <si>
    <t>MITSUBISHI  L300 VAN, PZ SERIES 1987-1997 СТ ПЕР ДВ ОП ЛВ ГЛ</t>
  </si>
  <si>
    <t>MITSUBISHI  L300 VAN, PZ SERIES 1987-1997 СТ ПЕР ДВ ОП ЛВ</t>
  </si>
  <si>
    <t>MITSUBISHI  L300 VAN, PZ SERIES 1987-1997 СТ ПЕР ДВ ОП ПР ГЛ</t>
  </si>
  <si>
    <t>MITSUBISHI  L300 VAN, PZ SERIES 1987-1997 СТ ПЕР ДВ ОП ПР</t>
  </si>
  <si>
    <t>LANCER 1984-1988 (MIRAGE)</t>
  </si>
  <si>
    <t>MITSUBISHI  LANCER 1984-1988 (MIRAGE) СТ ВЕТР ГЛ/PROTON MPI 4Д+5Д AEROBACK 89  СТ ВЕТР ГЛ</t>
  </si>
  <si>
    <t>MITSUBISHI  LANCER 1984-1988 (MIRAGE) УСТ КОМПЛ ДЛЯ СТ ВЕТР</t>
  </si>
  <si>
    <t>MITSUBISHI  LANCER 1984-1988 (MIRAGE) УСТ КОМПЛ ДЛЯ СТ ВЕТР ХРОМ</t>
  </si>
  <si>
    <t>MITSUBISHI  LANCER ХБ 1984-1988 (MIRAGE) СТ ЗАДН ГЛ</t>
  </si>
  <si>
    <t>MITSUBISHI  LANCER 1984-1988 (MIRAGE) СТ ПЕР ДВ ОП ЛВ ГЛ/PROTON MPI + AEROBACK 89  СТ ПЕР ДВ ОП ЛВ ГЛ</t>
  </si>
  <si>
    <t>MITSUBISHI  LANCER 1984-1988 (MIRAGE) СТ ПЕР ДВ ОП ПР ГЛ/PROTON MPI + AEROBACK 89  СТ ПЕР ДВ ОП ПР ГЛ</t>
  </si>
  <si>
    <t>LANCER 1988-1993</t>
  </si>
  <si>
    <t>MITSUBISHI  LANCER СЕД/ХБ 1988-1993 СТ ВЕТР ГЛ</t>
  </si>
  <si>
    <t>MITSUBISHI  LANCER СЕД/ХБ 1988-1993  СТ ВЕТР ГЛГЛ</t>
  </si>
  <si>
    <t>MITSUBISHI  LANCER ХБ 1988-1993  УСТ КОМПЛ ДЛЯ СТ ВЕТР</t>
  </si>
  <si>
    <t>MITSUBISHI  LANCER ХБ 1988-1993  МОЛД ДЛЯ СТ ВЕТР ВЕРХ ХРОМ</t>
  </si>
  <si>
    <t>MITSUBISHI  LANCER СД 1988-1993  СТ ЗАДН ГЛ</t>
  </si>
  <si>
    <t>MITSUBISHI  LANCER СД 1988-1993  СТ ЗАДН</t>
  </si>
  <si>
    <t>MITSUBISHI  LANCER СЕД/ХБ 1988-1993  СТ ПЕР ДВ ОП ЛВ ГЛ</t>
  </si>
  <si>
    <t>MITSUBISHI  LANCER СЕД 1988-1993  СТ ЗАДН ДВ ОП ЛВ ГЛ</t>
  </si>
  <si>
    <t>MITSUBISHI  LANCER СЕД 1988-1993  СТ ФОРТ ЗАДН НЕП ЛВ ГЛ</t>
  </si>
  <si>
    <t>MITSUBISHI  LANCER СЕД/ХБ 1988-1993  СТ ПЕР ДВ ОП ПР ГЛ</t>
  </si>
  <si>
    <t>MITSUBISHI  LANCER СЕД 1988-1993  СТ ЗАДН ДВ ОП ПР ГЛ</t>
  </si>
  <si>
    <t>MITSUBISHI  LANCER СЕД 1988-1993  СТ ФОРТ ЗАДН НЕП ПР ГЛ</t>
  </si>
  <si>
    <t>LANCER 1993-1996</t>
  </si>
  <si>
    <t>MITSUBISHI LANCER 1993-1996 СТ ВЕТР ГЛ</t>
  </si>
  <si>
    <t>MITSUBISHI LANCER 1993-1996 СТ ВЕТР ГЛГЛ</t>
  </si>
  <si>
    <t>MITSUBISHI LANCER 1993-1996 СТ ВЕТР ЗЛ/PROTON JUMBUCK 2Д PU 03  СТ ВЕТР ЗЛ</t>
  </si>
  <si>
    <t>MITSUBISHI LANCER 1993-1996 МОЛД  ДЛЯ СТ ВЕТР ВЕРХ</t>
  </si>
  <si>
    <t>MITSUBISHI LANCER СД 4Д 1993-1996  СТ ЗАДН ЗЛ</t>
  </si>
  <si>
    <t>MITSUBISHI LANCER СЕД 1993-1996  СТ ПЕР ДВ ОП ЛВ ГЛ</t>
  </si>
  <si>
    <t>MITSUBISHI LANCER СЕД 1993-1996  СТ ФОРТ ЗАДН НЕП ЛВ ГЛ</t>
  </si>
  <si>
    <t>MITSUBISHI LANCER СЕД 4Д 1993-1996  СТ ПЕР ДВ ОП ЛВ ЗЛ</t>
  </si>
  <si>
    <t>MITSUBISHI LANCER СЕД 4Д 1993-1996 СТ ЗАДН ДВ ОП ЛВ ЗЛ</t>
  </si>
  <si>
    <t>MITSUBISHI LANCER СЕД 1993-1996  СТ ФОРТ ЗАДН НЕП ЛВ ЗЛ</t>
  </si>
  <si>
    <t>MITSUBISHI LANCER СЕД 1993-1996  СТ ПЕР ДВ ОП ПР ГЛ</t>
  </si>
  <si>
    <t>MITSUBISHI LANCER СЕД 1993-1996  СТ ФОРТ ЗАДН НЕП ПР ГЛ</t>
  </si>
  <si>
    <t>MITSUBISHI LANCER СЕД 1993-1996  СТ ПЕР ДВ ОП ПР ЗЛ</t>
  </si>
  <si>
    <t>MITSUBISHI LANCER СЕД 1993-1996  СТ ЗАДН ДВ ОП ПР ЗЛ</t>
  </si>
  <si>
    <t>MITSUBISHI LANCER СЕД 1993-1996  СТ ФОРТ ЗАДН НЕП ПР ЗЛ</t>
  </si>
  <si>
    <t>LANCER 1996-2003</t>
  </si>
  <si>
    <t>MITSUBISHI LANCER 1996-2003  СТ ВЕТР ЗЛ</t>
  </si>
  <si>
    <t>MITSUBISHI LANCER 1996-2003  СТ ВЕТР ЗЛГЛ К</t>
  </si>
  <si>
    <t>MITSUBISHI LANCER СД 1996-2003  СТ ЗАДН ЗЛ</t>
  </si>
  <si>
    <t>MITSUBISHI LANCER 1996-2003  СТ ПЕР ДВ ОП ЛВ ЗЛ+2ОТВ</t>
  </si>
  <si>
    <t>MITSUBISHI LANCER 1996-2003  СТ ЗАДН ДВ ОП ЛВ ЗЛ</t>
  </si>
  <si>
    <t>MITSUBISHI LANCER 1996-2003  СТ ФОРТ ЗАДН НЕП ЛВ ЗЛ</t>
  </si>
  <si>
    <t>MITSUBISHI LANCER 1996-2003  СТ ПЕР ДВ ОП ПР ЗЛ+2ОТВ</t>
  </si>
  <si>
    <t>MITSUBISHI LANCER 1996-2003  СТ ЗАДН ДВ ОП ПР ЗЛ</t>
  </si>
  <si>
    <t>MITSUBISHI LANCER 1996-2003  СТ ФОРТ ЗАДН НЕП ПР ЗЛ</t>
  </si>
  <si>
    <t>LANCER 9 2003-2007</t>
  </si>
  <si>
    <t>MITSUBISHI  LANCER 9 СД+УН 2003-2007  СТ ВЕТР ЗЛ/MITSUBISHI EVO VII / CEDIA LHD 2002- СТ ВЕТР ЗЛ</t>
  </si>
  <si>
    <t>MITSUBISHI  LANCER 9 СД+УН 2003-2007  СТ ВЕТР ЗЛГЛ</t>
  </si>
  <si>
    <t>MITSUBISHI  LANCER 9 СД+УН 2003-2007  МОЛД  ДЛЯ СТ ВЕТР ВЕРХ</t>
  </si>
  <si>
    <t>MITSUBISHI  LANCER 9 УН 2003-2007  СТ ЗАДН ДВ ОП ЛВ ЗЛ+УО</t>
  </si>
  <si>
    <t>MITSUBISHI  LANCER 9 УН 2003-2007  СТ ФОРТ ЗАДН НЕП ЛВ</t>
  </si>
  <si>
    <t>MITSUBISHI  LANCER 9 СД+УН 2003-2007  СТ ПЕР ДВ ОП ЛВ ЗЛ+УО</t>
  </si>
  <si>
    <t>MITSUBISHI  LANCER 9 СЕД 2003-2007  СТ ЗАДН ДВ ОП ЛВ ЗЛ+УО/MITSUBISHI EVO VII / CEDIA 2002- СТ ЗАДН ДВ ОП ЛВ ЗЛ+УО</t>
  </si>
  <si>
    <t>MITSUBISHI  LANCER 9 СЕД 2003-2007  СТ ФОРТ ЗАДН НЕП ЛВ ЗЛ/MITSUBISHI EVO VII / CEDIA 2002- СТ ФОРТ ЗАДН НЕП ЛВ ЗЛ</t>
  </si>
  <si>
    <t>MITSUBISHI  LANCER 9 УН 2003-2007  СТ ЗАДН ДВ ОП ПР/MITSUBISHI EVO VII / CEDIA 2002- СТ ЗАДН ДВ ОП ПР</t>
  </si>
  <si>
    <t>MITSUBISHI  LANCER 9 УН 2003-2007  СТ ФОРТ ЗАДН НЕП ПР</t>
  </si>
  <si>
    <t>MITSUBISHI  LANCER 9 СД+УН 2003-2007  СТ ПЕР ДВ ОП ПР ЗЛ+УО</t>
  </si>
  <si>
    <t>MITSUBISHI  LANCER 9 СЕД 2003-2007  СТ ЗАДН ДВ ОП ПР ЗЛ+УО/MITSUBISHI EVO VII / CEDIA 2002- СТ ЗАДН ДВ ОП ПР ЗЛ+УО</t>
  </si>
  <si>
    <t>MITSUBISHI  LANCER 9 СЕД 2003-2007  СТ ФОРТ ЗАДН НЕП ПР ЗЛ/MITSUBISHI EVO VII / CEDIA 2002- СТ ФОРТ ЗАДН НЕП ПР ЗЛ</t>
  </si>
  <si>
    <t>LANCER 10 2007-</t>
  </si>
  <si>
    <t>MITSUBISHI LANCER 10 2007- СТ ВЕТР ЗЛ</t>
  </si>
  <si>
    <t>MITSUBISHI LANCER 10 2007- СТ ВЕТР ЗЛГЛ</t>
  </si>
  <si>
    <t>MITSUBISHI LANCER 10 2007- СТ ВЕТР ЗЛ+ДД</t>
  </si>
  <si>
    <t>MITSUBISHI LANCER 10 СД+ХБ 2007- МОЛД ДЛЯ СТ ВЕТР</t>
  </si>
  <si>
    <t>MITSUBISHI LANCER СД 07-СТ ЗАДН ДВ ОП ЛВ ЗЛ УО</t>
  </si>
  <si>
    <t>MITSUBISHI LANCER СД 07- СТ ЗАДН ЗЛ</t>
  </si>
  <si>
    <t>MITSUBISHI LANCER СД 07-СТ ЗАДН ДВ ОП ПР ЗЛ УО</t>
  </si>
  <si>
    <t>MITSUBISHI LANCER СД 07-СТ ПЕР ДВ ОП ПР ЗЛ УО</t>
  </si>
  <si>
    <t>MITSUBISHI LANCER СД 07-СТ ПЕР ДВ ОП ЛВ ЗЛ УО</t>
  </si>
  <si>
    <t>OUTLANDER 2003-2007</t>
  </si>
  <si>
    <t>MITSUBISHI OUTLANDER 2003-2007  СТ ВЕТР ЗЛ</t>
  </si>
  <si>
    <t>MITSUBISHI OUTLANDER 2003-2007  СТ ВЕТР ЗЛ ЭО</t>
  </si>
  <si>
    <t>MITSUBISHI OUTLANDER 2003-2007 МОЛД  ДЛЯ СТ ВЕТР ВЕРХ</t>
  </si>
  <si>
    <t>MITSUBISHI OUTLANDER 2003-2007  СТ ПЕР ДВ ОП ЛВ ЗЛ+УО</t>
  </si>
  <si>
    <t>MITSUBISHI OUTLANDER 2003-2007  СТ ЗАДН ДВ ОП ЛВ ЗЛ+УО</t>
  </si>
  <si>
    <t>MITSUBISHI OUTLANDER 2003-2007  СТ ПЕР ДВ ОП ПР ЗЛ+УО</t>
  </si>
  <si>
    <t>MITSUBISHI OUTLANDER 2003-2007  СТ ЗАДН ДВ ОП ПР ЗЛ+УО</t>
  </si>
  <si>
    <t>OUTLANDER 2007-</t>
  </si>
  <si>
    <t>MITSUBISHI OUTLANDER 07- СТ ВЕТР ЗЛ+ЭО+ДД</t>
  </si>
  <si>
    <t>MITSUBISHI OUTLANDER 2007- СТ ВЕТР ЗЛ /CITROEN C-CROSSER LHD 2007- СТ ВЕТР ЗЛ</t>
  </si>
  <si>
    <t>MITSUBISHI OUTLANDER 2007- СТ ВЕТР ЗЛ+ЭО+КР/PEUGEOT 4007 07  СТ ВЕТР ЗЛ+ЭО/CITROEN C-CROSSER LHD 2007-СТ ВЕТР ЗЛ+ЭО</t>
  </si>
  <si>
    <t>MITSUBISHI OUTLANDER 2007- МОЛД ДЛЯ СТ ВЕТР ВЕРХ</t>
  </si>
  <si>
    <t>MITSUBISHI OUTLANDER 2007- СТ ПЕР ДВ ОП ЛВ ЗЛ+УО/CITROEN C-CROSSER 2007- СТ ПЕР ДВ ОП ЛВ ЗЛ+УО</t>
  </si>
  <si>
    <t>MITSUBISHI OUTLANDER 2007- СТ ЗАДН ДВ ОП ЛВ ЗЛ+УО/CITROEN C-CROSSER 2007- СТ ЗАДН ДВ ОП ЛВ ЗЛ+УО</t>
  </si>
  <si>
    <t>MITSUBISHI OUTLANDER 2007- СТ ПЕР ДВ ОП ПР ЗЛ+УО/CITROEN C-CROSSER 2007- СТ ПЕР ДВ ОП ПР ЗЛ+УО</t>
  </si>
  <si>
    <t>MITSUBISHI OUTLANDER 2007- СТ ЗАДН ДВ ОП ПР ЗЛ+УО/CITROEN C-CROSSER 2007- СТ ЗАДН ДВ ОП ПР ЗЛ+УО</t>
  </si>
  <si>
    <t>MITSUBISHI OUTLANDER 07-СТ ЗАДН ДВ ОП ЛВ СР УО</t>
  </si>
  <si>
    <t>MITSUBISHI OUTLANDER 07-СТ ЗАДН ДВ ОП ПР СР УО</t>
  </si>
  <si>
    <t>PAJERO PININ 2000-</t>
  </si>
  <si>
    <t>MITSUBISHI PAJERO PININ 2000- СТ ВЕТР ЗЛГЛ</t>
  </si>
  <si>
    <t>MITSUBISHI PAJERO PININ 2000- СТ ВЕТР ЗЛ+УО</t>
  </si>
  <si>
    <t>MITSUBISHI PAJERO PININ 2000- МОЛД  ДЛЯ СТ ВЕТР НИЖН</t>
  </si>
  <si>
    <t>MITSUBISHI PAJERO PININ 2000- МОЛД  ДЛЯ СТ ВЕТР ВЕРХ</t>
  </si>
  <si>
    <t>MITSUBISHI PAJERO PININ ВН 2000-  СТ ЗАДН ЗЛ ИНК</t>
  </si>
  <si>
    <t>MITSUBISHI PAJERO PININ 2000-  СТ ПЕР ДВ ОП ЛВ ЗЛ УО</t>
  </si>
  <si>
    <t>MITSUBISHI PAJERO PININ 2000-  СТ БОК ЛВ ЗЛ УО</t>
  </si>
  <si>
    <t>MITSUBISHI PAJERO PININ 5Д 2000-  СТ ПЕР ДВ ОП ЛВ ЗЛ+УО</t>
  </si>
  <si>
    <t>MITSUBISHI PAJERO PININ 5Д 2000-  СТ ЗАДН ДВ ОП ЛВ ЗЛ+УО</t>
  </si>
  <si>
    <t>MITSUBISHI PAJERO PININ 5Д 2000-  СТ БОК ЛВ ЗЛ+ИНК</t>
  </si>
  <si>
    <t>MITSUBISHI PAJERO PININ 5Д 2000-  СТ ЗАДН ДВ НЕП ЛВ ЗЛ</t>
  </si>
  <si>
    <t>MITSUBISHI PAJERO PININ 2000-  СТ ПЕР ДВ ОП ПР ЗЛ УО</t>
  </si>
  <si>
    <t>MITSUBISHI PAJERO PININ 2000-  СТ БОК ПР ЗЛ УО</t>
  </si>
  <si>
    <t>MITSUBISHI PAJERO PININ 5Д 2000-  СТ ПЕР ДВ ОП ПР ЗЛ+УО</t>
  </si>
  <si>
    <t>MITSUBISHI PAJERO PININ 5Д 2000-  СТ ЗАДН ДВ ОП ПР ЗЛ+УО</t>
  </si>
  <si>
    <t>MITSUBISHI PAJERO PININ 5Д 2000-  СТ БОК ПР ЗЛ+ИНК</t>
  </si>
  <si>
    <t>MITSUBISHI PAJERO PININ 5Д 2000-  СТ ЗАДН ДВ НЕП ПР ЗЛ</t>
  </si>
  <si>
    <t>PAJERO/SHOGUN I 1983-1991</t>
  </si>
  <si>
    <t>MITSUBISHI SHOGUN 1983-1991 СТ ВЕТР ГЛ/HYUNDAI GALLOPER 3Д 1999-  СТ ВЕТР ГЛ</t>
  </si>
  <si>
    <t>MITSUBISHI SHOGUN 1983-1991 СТ ВЕТР ГЛГЛ/HYUNDAI GALLOPER 3Д 1999-  СТ ВЕТР ГЛГЛ</t>
  </si>
  <si>
    <t>MITSUBISHI PAJERO/SHOGUN 1983-1991 СТ ВЕТР БР</t>
  </si>
  <si>
    <t>MITSUBISHI PAJERO/SHOGUN 1983-1991 СТ ВЕТР ЗЛГЛ</t>
  </si>
  <si>
    <t>MITSUBISHI SHOGUN 1983-1991 РЕЗ ПРОФ ДЛЯ СТ ВЕТР</t>
  </si>
  <si>
    <t>MITSUBISHI PAJERO/SHOGUN 1983-1991 РЕЗ ПРОФ ДЛЯ СТ ВЕТР</t>
  </si>
  <si>
    <t>MITSUBISHI SHOGUN ВН 1983-1991 СТ ЗАДН ЭО ГЛ</t>
  </si>
  <si>
    <t>MITSUBISHI PAJERO/SHOGUN 1983-1991СТ ЗАДН ДВ ОП ЛВ ГЛ</t>
  </si>
  <si>
    <t>MITSUBISHI PAJERO/SHOGUN 1983-1991 СТ ПЕР ДВ ОП ПР ГЛ</t>
  </si>
  <si>
    <t>MITSUBISHI PAJERO/SHOGUN 1983-1991 СТ ЗАДН ДВ ОП ПР ГЛ</t>
  </si>
  <si>
    <t>PAJERO/SHOGUN II 1991-2000</t>
  </si>
  <si>
    <t>MITSUBISHI SHOGUN 3Д+5Д 1991-2000-СТ ВЕТР</t>
  </si>
  <si>
    <t>MITSUBISHI SHOGUN 3Д+5Д 1991-2000-СТ ВЕТР БР</t>
  </si>
  <si>
    <t>MITSUBISHI SHOGUN 3Д+5Д 1991-2000 СТ ВЕТР ГЛ</t>
  </si>
  <si>
    <t>MITSUBISHI SHOGUN 3Д+5Д 1991-2000 СТ ВЕТР ГЛГЛ</t>
  </si>
  <si>
    <t>MITSUBISHI SHOGUN 3Д+5Д 1991-2000 СТ ВЕТР ЗЛ</t>
  </si>
  <si>
    <t>MITSUBISHI PAJERO 1991-2000 СТ ВЕТР</t>
  </si>
  <si>
    <t>MITSUBISHI SHOGUN 3Д+5Д 1991-2000   НАБ КЛИПС ДЛЯ СТ ВЕТР</t>
  </si>
  <si>
    <t>MITSUBISHI SHOGUN 3Д+5Д 1991-2000  МОЛД  ДЛЯ СТ ВЕТР НИЗ</t>
  </si>
  <si>
    <t>MITSUBISHI SHOGUN 3Д+5Д 1991-2000  МОЛД  ДЛЯ СТ ВЕТР ВЕРХ</t>
  </si>
  <si>
    <t>MITSUBISHI SHOGUN 3Д+5Д ВН 1991-2000 СТ ЗАДН ЭО ГЛ</t>
  </si>
  <si>
    <t>MITSUBISHI SHOGUN 3Д+5Д ВН 1991-2000СТ ЗАДН ЗЛ</t>
  </si>
  <si>
    <t>MITSUBISHI SHOGUN 3Д+5Д ВН 1991-2000  СТ ЗАДН СР</t>
  </si>
  <si>
    <t>MITSUBISHI SHOGUN 3Д+5Д 1991-2000 СТ ПЕР ДВ ОП ЛВ ГЛ</t>
  </si>
  <si>
    <t>MITSUBISHI PAJERO/SHOGUN 1991-2000  СТ ЗАДН ДВ ОП ЛВ ГЛ</t>
  </si>
  <si>
    <t>MITSUBISHI PAJERO/SHOGUN 1991-2000  СТ ФОРТ ЗАДН НЕП ЛВ ГЛ</t>
  </si>
  <si>
    <t>MITSUBISHI PAJERO/SHOGUN 1991-2000  СТ ЗАДН ДВ ОП ЛВ БР</t>
  </si>
  <si>
    <t>MITSUBISHI SHOGUN 3Д+5Д 1991-2000 СТ ПЕР ДВ ОП ЛВ ЗЛ</t>
  </si>
  <si>
    <t>MITSUBISHI PAJERO/SHOGUN 5Д 1991-2000 СТ ЗАДН ДВ НЕП ЛВ ЗЛ</t>
  </si>
  <si>
    <t>MITSUBISHI PAJERO/SHOGUN 1991-2000  СТ ФОРТ ЗАДН НЕП ЛВ СР</t>
  </si>
  <si>
    <t>MITSUBISHI SHOGUN 3Д+5Д 1991-2000 СТ ПЕР ДВ ОП ПР ГЛ</t>
  </si>
  <si>
    <t>MITSUBISHI PAJERO/SHOGUN 1991-2000  СТ ЗАДН ДВ ОП ПР ГЛ</t>
  </si>
  <si>
    <t>MITSUBISHI PAJERO/SHOGUN 1991-2000  СТ ЗАДН ДВ ОП ПР БР</t>
  </si>
  <si>
    <t>MITSUBISHI SHOGUN 3Д+5Д 1991-2000  СТ ПЕР ДВ ОП ПР</t>
  </si>
  <si>
    <t>MITSUBISHI PAJERO/SHOGUN 1991-2000  СТ ЗАДН ДВ НЕП ПР ЗЛ+ФИТ</t>
  </si>
  <si>
    <t>PAJERO/SHOGUN III 2000-</t>
  </si>
  <si>
    <t>MITSUBISHI SHOGUN/PAJERO 3Д 5Д 2000- СТ ВЕТР ЗЛ</t>
  </si>
  <si>
    <t>MITSUBISHI SHOGUN/PAJERO III-IV 3Д-5Д 2000-2003 СТ ВЕТР ЗЛГЛ</t>
  </si>
  <si>
    <t>MITSUBISHI SHOGUN/PAJERO 3Д-5Д 2004- СТ ВЕТР ЗЛГЛ+ИЗМ КР</t>
  </si>
  <si>
    <t>MITSUBISHI SHOGUN/PAJERO 3Д 5Д 2000- СТ ВЕТР ЗЛГЛ ЭО+КР</t>
  </si>
  <si>
    <t>MITSUBISHI SHOGUN/PAJERO HB 03/2004- СТ ВЕТР ЗЛГЛ+ЭО+ИЗМ КР</t>
  </si>
  <si>
    <t>MITSUBISHI SHOGUN/PAJERO 2000-  СТ ВЕТР ЗЛ ЭО</t>
  </si>
  <si>
    <t>MITSUBISHI SHOGUN/PAJERO 2000- СТ ВЕТР ЗЛГЛ+ЭО+ДД+АКУСТ</t>
  </si>
  <si>
    <t>MITSUBISHI SHOGUN/PAJERO 2000- МОЛД  ДЛЯ СТ ВЕТР</t>
  </si>
  <si>
    <t>MITSUBISHI SHOGUN/PAJERO 3Д+5Д ВН 2000- СТ ЗАДН ЗЛ</t>
  </si>
  <si>
    <t>MITSUBISHI SHOGUN/PAJERO 2000-  СТ ПЕР ДВ ОП ЛВ ЗЛ</t>
  </si>
  <si>
    <t>MITSUBISHI PAJERO 5T 2000-  СТ ПЕР ДВ ОП ЛВ ЗЛ</t>
  </si>
  <si>
    <t>MITSUBISHI SHOGUN/PAJERO 2000-  СТ ЗАДН ДВ ОП ЛВ ЗЛ</t>
  </si>
  <si>
    <t>MITSUBISHI SHOGUN/PAJERO 2000-  СТ ФОРТ ЗАДН НЕП ЛВ ЗЛ</t>
  </si>
  <si>
    <t>MITSUBISHI SHOGUN/PAJERO 2000-  СТ ПЕР ДВ ОП ПР ЗЛ</t>
  </si>
  <si>
    <t>MITSUBISHI SHOGUN/PAJERO 2000-  СТ ЗАДН ДВ ОП ПР ГЛ</t>
  </si>
  <si>
    <t>MITSUBISHI SHOGUN/PAJERO 2000-  СТ ФОРТ ПР ЗАДН НЕП ЗЛ</t>
  </si>
  <si>
    <t>SIGMA 4Д LIM 1991-2000</t>
  </si>
  <si>
    <t>MITSUBISHI SIGMA СЕД 1991-2000  СТ ВЕТР ГЛГЛ</t>
  </si>
  <si>
    <t>SPACE GEAR/DELICA L400 1995-2003</t>
  </si>
  <si>
    <t>MITSUBISHI DELICA L400/SPACE GEAR 1995-2003  СТ ВЕТР ГЛ</t>
  </si>
  <si>
    <t>MITSUBISHI DELICA L400/SPACE GEAR 1995-2003  СТ ВЕТР ЗЛ</t>
  </si>
  <si>
    <t>MITSUBISHI DELICA L400/SPACE GEAR 1995-2003  СТ ВЕТР  ЗЛГЛ</t>
  </si>
  <si>
    <t>MITSUBISHI DELICA L400/SPACE GEAR 1995-2003 МОЛД  ДЛЯ СТ ВЕТР</t>
  </si>
  <si>
    <t>MITSUBISHI DELICA L400/SPACE GEAR МИН 1995-2003  СТ ЗАДН ЗЛ</t>
  </si>
  <si>
    <t>MITSUBISHI DELICA L400/SPACE GEAR 1995-2003  СТ ПЕР ДВ ОП  ЛВ ГЛ</t>
  </si>
  <si>
    <t>MITSUBISHI DELICA L400/SPACE GEAR 1995-2003  СТ ПЕР ДВ ОП ЛВ ЗЛ</t>
  </si>
  <si>
    <t>MITSUBISHI DELICA L400/SPACE GEAR 1995-2003  СТ ПЕР ДВ ОП ПР ЗЛ</t>
  </si>
  <si>
    <t>MITSUBISHI DELICA L400/SPACE GEAR 1995-2003  СТ ПЕР ДВ ОП ПР ГЛ</t>
  </si>
  <si>
    <t>SPACE RUNNER 1991-1999</t>
  </si>
  <si>
    <t>MITSUBISHI SPACE RUNNER 1991-1999 СТ ВЕТР ГЛ</t>
  </si>
  <si>
    <t>MITSUBISHI SPACE RUNNER 1991-1999 СТ ВЕТР ЗЛ</t>
  </si>
  <si>
    <t>MITSUBISHI SPACE RUNNER 1991-1999 МОЛД  ДЛЯ СТ ВЕТР</t>
  </si>
  <si>
    <t>SPACE RUNNER 2000-</t>
  </si>
  <si>
    <t>MITSUBISHI SPACE RUNNER 2000-  СТ ВЕТР ЗЛ</t>
  </si>
  <si>
    <t>SPACE STAR 1998-</t>
  </si>
  <si>
    <t>MITSUBISHI SPACE STAR 1998-  СТ ВЕТР ЗЛ</t>
  </si>
  <si>
    <t>MITSUBISHI SPACE STAR 1998-  СТ ВЕТР ЗЛЗЛ</t>
  </si>
  <si>
    <t>MITSUBISHI SPACE STAR 1998- МОЛД  ДЛЯ СТ ВЕТР ВЕРХ</t>
  </si>
  <si>
    <t>MITSUBISHI SPACE STAR МИН 1998-  СТ ЗАДН ЭО ЗЛ ФИТ</t>
  </si>
  <si>
    <t>MITSUBISHI SPACE STAR 1998-  СТ ПЕР ДВ ОП ЛВ ЗЛ</t>
  </si>
  <si>
    <t>MITSUBISHI SPACE STAR 1998-  СТ ЗАДН ДВ ОП ЛВ ЗЛ</t>
  </si>
  <si>
    <t>MITSUBISHI SPACE STAR 1998-  СТ БОК НЕП ЛВ ЗЛ+ИНК</t>
  </si>
  <si>
    <t>MITSUBISHI SPACE STAR 1998-  СТ ПЕР ДВ ОП ПР ЗЛ</t>
  </si>
  <si>
    <t>MITSUBISHI SPACE STAR 1998-  СТ ЗАДН ДВ ОП ПР ЗЛ</t>
  </si>
  <si>
    <t>MITSUBISHI SPACE STAR 1998-  СТ БОК НЕП ПР ЗЛ+ИНК</t>
  </si>
  <si>
    <t>SPACEWAGON 1984-1990</t>
  </si>
  <si>
    <t>MITSUBISHI SPACE WAGON 1984-1990 СТ ВЕТР ГЛ</t>
  </si>
  <si>
    <t>MITSUBISHI SPACE WAGON 1984-1990 УСТ КОМПЛ ДЛЯ СТ ВЕТР</t>
  </si>
  <si>
    <t>SPACEWAGON 1991-1999</t>
  </si>
  <si>
    <t>MITSUBISHI SPACE WAGON 1991-1999 СТ ВЕТР ГЛ</t>
  </si>
  <si>
    <t>MITSUBISHI SPACE WAGON 1991-1999 СТ ВЕТР ЗЛ</t>
  </si>
  <si>
    <t>MITSUBISHI SPACE WAGON МИН 1991-1999 СТ ЗАДН ЭО ГЛ</t>
  </si>
  <si>
    <t>MITSUBISHI SPACE WAGON 1991-1999 СТ ПЕР ДВ ОП ЛВ ГЛ</t>
  </si>
  <si>
    <t>MITSUBISHI SPACE WAGON 1991-1999 СТ ПЕР ДВ ОП ЛВ ЗЛ</t>
  </si>
  <si>
    <t>MITSUBISHI SPACE WAGON 1991-1999 СТ ПЕР ДВ ОП ПР ГЛ</t>
  </si>
  <si>
    <t>MITSUBISHI SPACE WAGON 1991-1999 СТ ПЕР ДВ ОП ПР ЗЛ</t>
  </si>
  <si>
    <t>SPACEWAGON 1999-2003</t>
  </si>
  <si>
    <t>MITSUBISHI SPACE WAGON 1999-2003 СТ ВЕТР ЗЛ</t>
  </si>
  <si>
    <t>MITSUBISHI SPACE WAGON 1999-2003 СТ ВЕТР ЗЛГЛ/HYUNDAI SANTAMO МИН  СТ ВЕТР ЗЛГЛ</t>
  </si>
  <si>
    <t>MITSUBISHI SPACE WAGON 1999-2003 МОЛД  ДЛЯ СТ ВЕТР ВЕРХ</t>
  </si>
  <si>
    <t>MITSUBISHI SPACE WAGON 1999-2003 СТ ПЕР ДВ ОП ЛВ ЗЛ/MITSUBISHI SPACE WAGON MITSUBISHI SPACE WAGON 1999-2003 СТ ПЕР ДВ ОП ЛВ ЗЛ</t>
  </si>
  <si>
    <t>MITSUBISHI SPACE WAGON 1999-2003 СТ ПЕР ДВ ОП ПР ЗЛ/MITSUBISHI SPACE WAGON MITSUBISHI SPACE WAGON 1999-2003 СТ ПЕР ДВ ОП ПР ЗЛ</t>
  </si>
  <si>
    <t>MITSUBISHI SPACE WAGON 1999-2003 СТ ЗАДН ДВ ОП ПР ЗЛ/MITSUBISHI SPACE WAGON MITSUBISHI SPACE WAGON 1999-2003 СТ ЗАДН ДВ ОП ПР ЗЛ</t>
  </si>
  <si>
    <t>INFINITI G35 СД 2003-</t>
  </si>
  <si>
    <t>INFINITI G35 СД 2003- СТ ВЕТР ЗЛ</t>
  </si>
  <si>
    <t>INFINITI M45/M35 06-</t>
  </si>
  <si>
    <t>INFINITI M45/M35 06-СТ ВЕТР ЗЛ ГП+VIN+ДО</t>
  </si>
  <si>
    <t>NISSAN</t>
  </si>
  <si>
    <t>100 NX КП 1991-1994</t>
  </si>
  <si>
    <t>NISSAN 100 NX КП 1991-1994 СТ ВЕТР ГЛ</t>
  </si>
  <si>
    <t>NISSAN 100NX КБ 1991-1994 МОЛД  ДЛЯ СТ ВЕТР ВЕРХ</t>
  </si>
  <si>
    <t>200 SX 1985-1989</t>
  </si>
  <si>
    <t>NISSAN 200 SX 1985-1989 СТ ВЕТР ГЛ</t>
  </si>
  <si>
    <t>200 SX 1989-1994</t>
  </si>
  <si>
    <t>NISSAN 200 SX 1989-1994 СТ ВЕТР ГЛ</t>
  </si>
  <si>
    <t>ALMERA (N15) СД/ХБ 1995-2000</t>
  </si>
  <si>
    <t>NISSAN ALMERA СД+ХБ 1995-2000  СТ ВЕТР СЗЛ</t>
  </si>
  <si>
    <t>NISSAN ALMERA СД+ХБ 1995-2000  СТ ВЕТР СЗЛГЛ</t>
  </si>
  <si>
    <t>NISSAN ALMERA СД+ХБ 1995-2000  СТ ВЕТР СЗЛСР</t>
  </si>
  <si>
    <t>NISSAN ALMERA СД+ХБ 1995-2000  НАБ МОЛД ДЛЯ СТ ВЕТР ВЕРХ</t>
  </si>
  <si>
    <t>NISSAN ALMERA СД+ХБ 1995-2000 УСТ КОМПЛ ДЛЯ СТ ВЕТР ДЛЯ СТ ВЕТР</t>
  </si>
  <si>
    <t>NISSAN ALMERA 3Д+5Д ХБ 1995-2000  СТ ЗАДН ЭО СЗЛ</t>
  </si>
  <si>
    <t>NISSAN ALMERA СД 1995-2000  СТ ЗАДН СЗЛ</t>
  </si>
  <si>
    <t>NISSAN ALMERA СД ХБ 1995-2000  СТ ПЕР ДВ ОП ЛВ СЗЛ ФИТ</t>
  </si>
  <si>
    <t>NISSAN ALMERA СД ХБ 1995-2000 СТ ПЕР ДВ ОП ЛВ СЗЛ</t>
  </si>
  <si>
    <t>NISSAN ALMERA 5Д ХБ+СД 1995-2000 СТ ПЕР ДВ ОП ЛВ СЗЛ+УО</t>
  </si>
  <si>
    <t>NISSAN ALMERA 5Д ХБ+СД 1995-2000  СТ БОК НЕП ЛВ СЗЛ</t>
  </si>
  <si>
    <t>NISSAN ALMERA 3Д ХБ 1995-2000 СТ ПЕР ДВ ОП ПР СЗЛ ФИТ</t>
  </si>
  <si>
    <t>NISSAN ALMERA 5Д ХБ+СД 1995-2000 СТ ПЕР ДВ ОП ПР СЗЛ+УО</t>
  </si>
  <si>
    <t>NISSAN ALMERA 3Д ХБ 1995-2000 ХБ 5Д СТ ЗАДН ДВ ОП ПР СЗЛ</t>
  </si>
  <si>
    <t>NISSAN ALMERA 5Д ХБ +СД 1995-2000 СТ БОК НЕП ПР СЗЛ</t>
  </si>
  <si>
    <t>ALMERA (N16) 3/5Д ХБ 00- СД 03.01-</t>
  </si>
  <si>
    <t>NISSAN ALMERA 4Д 2000- СТ ВЕТР ЗЛ</t>
  </si>
  <si>
    <t>NISSAN ALMERA 4Д 2000-  СТ ВЕТР ЗЛ ИЗМ КР</t>
  </si>
  <si>
    <t>NISSAN ALMERA 4Д 2000-  МОЛД  ДЛЯ СТ ВЕТР ВЕРХ</t>
  </si>
  <si>
    <t>NISSAN ALMERA 4Д СД 2000-  СТ ЗАДН ЗЛ+СТОП</t>
  </si>
  <si>
    <t>NISSAN ALMERA 4Д 2000- СТ ПЕР ДВ ОП ЛВ ЗЛ+УО</t>
  </si>
  <si>
    <t>NISSAN ALMERA (N16) СЕД 2000- СТ ЗАДН ДВ ОП ЛВ</t>
  </si>
  <si>
    <t>NISSAN ALMERA 4Д 2000- СТ ФОРТ НЕП ЗАДН ЗЛ ЛВ</t>
  </si>
  <si>
    <t>NISSAN ALMERA (N16) СЕД 2000- СТ ЗАДН ДВ ОП ПР ЗЛ+УО</t>
  </si>
  <si>
    <t>NISSAN ALMERA 4Д 2000-  СТ ФОРТ ЗАДН НЕП ПР ЗЛ</t>
  </si>
  <si>
    <t>ALMERA CLASSIC 2006-/ ALMERA ХБ 2000-</t>
  </si>
  <si>
    <t>NISSAN ALMERA CLASSIC 2006- СТ ВЕТР ЗЛГЛ+ЭО</t>
  </si>
  <si>
    <t>NISSAN ALMERA 2000-  СТ ВЕТР ЗЛ</t>
  </si>
  <si>
    <t>NISSAN ALMERA 2000-  СТ ВЕТР ЗЛГЛ</t>
  </si>
  <si>
    <t>NISSAN ALMERA 2000- МОЛД  ДЛЯ СТ ВЕТР ВЕРХ</t>
  </si>
  <si>
    <t>NISSAN ALMERA ХБ 2000-  СТ ЗАДН ДВ ЗЛ</t>
  </si>
  <si>
    <t>NISSAN ALMERA 5Д 2000- СТ ПЕР ДВ ОП ПР ЗЛ+УО</t>
  </si>
  <si>
    <t>NISSAN ALMERA 5Д ХБ СТ ЗАДН ДВ ОП ПР ЗЛ+УО</t>
  </si>
  <si>
    <t>NISSAN ALMERA 5Д 2000-  СТ ПЕР ДВ ОП ЛВ+УО</t>
  </si>
  <si>
    <t>NISSAN ALMERA 5Д ХБ СТ ЗАДН ДВ ОП ЛВ ЗЛ+УО</t>
  </si>
  <si>
    <t>NISSAN ALMERA СЕД 2000-  СТ ФОРТ ЗАДН НЕП ЛВ</t>
  </si>
  <si>
    <t>NISSAN ALMERA 2000-  СТ ФОРТ ЗАДН НЕП ПР ЗЛ</t>
  </si>
  <si>
    <t>ALMERA TINO 2000-</t>
  </si>
  <si>
    <t>NISSAN ALMERA TINO 2000- СТ ВЕТР ЗЛ</t>
  </si>
  <si>
    <t>NISSAN ALMERA TINO 2000- МОЛД  ДЛЯ СТ ВЕТР ВЕРХ</t>
  </si>
  <si>
    <t>NISSAN ALMERA TINO ХБ 2000- СТ ЗАДН ДВ ЗЛ+СТОП+ИНК</t>
  </si>
  <si>
    <t>NISSAN ALMERA TINO 2000- СТ ПЕР ДВ ОП ЛВ ЗЛ+УО</t>
  </si>
  <si>
    <t>NISSAN ALMERA TINO 2000- СТ ЗАДН ДВ ОП ЛВ ЗЛ+УО</t>
  </si>
  <si>
    <t>NISSAN ALMERA TINO 2000- СТ ПЕР ДВ ОП ПР ЗЛ+УО</t>
  </si>
  <si>
    <t>NISSAN ALMERA TINO 2000- СТ ЗАДН ДВ ОП ПР ЗЛ+УО</t>
  </si>
  <si>
    <t>BLUEBIRD (T12) 1986-1990</t>
  </si>
  <si>
    <t>NISSAN BLUEBIRD T12 СЕД+ХБ 1986-1990 СТ ВЕТР ГЛ</t>
  </si>
  <si>
    <t>NISSAN BLUEBIRD T12 СЕД+ХБ 1986-1990 СТ ВЕТР БР</t>
  </si>
  <si>
    <t>NISSAN BLUEBIRD T12 СЕД+ХБ 1986-1990 УСТ КОМПЛ ДЛЯ СТ ВЕТР</t>
  </si>
  <si>
    <t>NISSAN BLUEBIRD T12 СЕД+ХБ 1986-1990 СТ ПЕР ДВ ОП ЛВ ГЛ+УО</t>
  </si>
  <si>
    <t>NISSAN BLUEBIRD T12 СЕД+ХБ 1986-1990 СТ ПЕР ДВ ПР ГЛ+УО</t>
  </si>
  <si>
    <t>NISSAN BLUEBIRD T12 СЕД+ХБ 1986-1990 СТ ЗАДН ДВ ОП ПР ГЛ+УО</t>
  </si>
  <si>
    <t>BLUEBIRD 180B, B910 СД+УН 1980-1984</t>
  </si>
  <si>
    <t>1980-1984</t>
  </si>
  <si>
    <t>NISSAN BLUEBIRD 180B, B910 СД+УН 1980-1984 СТ ВЕТР ГЛ</t>
  </si>
  <si>
    <t>BLUEBIRD B830/U11 УН 1984-1986</t>
  </si>
  <si>
    <t>1984-1986</t>
  </si>
  <si>
    <t>NISSAN BLUEBIRD B830/U11 СЕД+УН 1984-1986 СТ ВЕТР ГЛ</t>
  </si>
  <si>
    <t>CHERRY (N12) 1983-1988</t>
  </si>
  <si>
    <t>NISSAN CHERRY N12 1983-1988 СТ ВЕТР ГЛ</t>
  </si>
  <si>
    <t>NP300 PICK-UP (D22) 08-</t>
  </si>
  <si>
    <t>NISSAN NP300 PICK-UP  (D22) 08- СТ ВЕТР ЗЛ</t>
  </si>
  <si>
    <t>INTERSTAR X70 2003-</t>
  </si>
  <si>
    <t>NISSAN INTERSTAR X70 2003- СТ ВЕТР ТЕПЛООТР/RENAULT MASTER 1997-  СТ ВЕТР ТЕПЛООТР</t>
  </si>
  <si>
    <t>NISSAN INTERSTAR X70 2003- СТ ВЕТР ЗЛ/RENAULT MASTER 1997-  СТ ВЕТР ЗЛ</t>
  </si>
  <si>
    <t>NISSAN INTERSTAR X70 2003- СТ ВЕТР ЗЛ+ЭО/RENAULT MASTER 1997-  СТ ВЕТР ЭО ЗЛ КР</t>
  </si>
  <si>
    <t>NISSAN INTERSTAR X70 МИН 2003- СТ ЗАДН ЗЛ ЛВ+ИЗМ РАЗМ /RENAULT MASTER 12/1999- СТ ЗАДН ЗЛ ЛВ+ИЗМ РАЗМ</t>
  </si>
  <si>
    <t>NISSAN INTERSTAR X70 МИН 2003- СТ ЗАДН ЗЛ ЛВ Б/ЭО+ИЗМ РАЗМ /RENAULT MASTER 12/1999- СТ ЗАДН ЗЛ ЛВ Б/ЭО+ИЗМ РАЗМ</t>
  </si>
  <si>
    <t>NISSAN INTERSTAR X70 МИН 2003- СТ ЗАДН ЗЛ ПР+ИЗМ РАЗМ/RENAULT MASTER 12/1999- СТ ЗАДН ЗЛ ПР+ИЗМ РАЗМ</t>
  </si>
  <si>
    <t>NISSAN INTERSTAR X70 МИН 2003- СТ ЗАДН ЗЛ ПР Б/ЭО+ИЗМ РАЗМ /RENAULT MASTER 12/1999- СТ ЗАДН ЗЛ ПР Б/ЭО+ИЗМ РАЗМ</t>
  </si>
  <si>
    <t>JUKE 10-</t>
  </si>
  <si>
    <t>NISSAN JUKE 10-СТ ВЕТР ЗЛ+VIN+УО</t>
  </si>
  <si>
    <t>NISSAN JUKE 10-СТ ВЕТР ЗЛ+ДД+VIN+УО+ИЗМ КР</t>
  </si>
  <si>
    <t>NISSAN JUKE 2010-СТ ВЕТР ЗЛАК+ДД+VIN+ДО</t>
  </si>
  <si>
    <t>NISSAN JUKE 2010-СТ ВЕТР ЗЛАК+VIN+ДО</t>
  </si>
  <si>
    <t>Nissan JUKE 10 4W СТ ЗАДН ДВ ОП ПР ЗЛ+ДО</t>
  </si>
  <si>
    <t>Nissan JUKE 10 4W СТ ЗАДН ДВ ОП ЛВ ЗЛ+ДО</t>
  </si>
  <si>
    <t>Nissan JUKE 10 4W СТ ПЕР ДВ ОП ЛВ ЗЛ+ДО</t>
  </si>
  <si>
    <t>KUBISTAR 2003-</t>
  </si>
  <si>
    <t>NISSAN KUBISTAR 2003- СТ ВЕТР ТЕПЛООТР/RENAULT KANGOO 11/2001-  СТ ВЕТР ТЕПЛООТР</t>
  </si>
  <si>
    <t>NISSAN KUBISTAR 2003- СТ ВЕТР ЗЛ/RENAULT KANGOO 11/2001-  СТ ВЕТР ЗЛ ИЗМ РАЗМ</t>
  </si>
  <si>
    <t>NISSAN KUBISTAR МИН 2003- СТ ЗАДН ЗЛ+VIN/RENAULT KANGOO 1999-  СТ ЗАДН ЗЛ</t>
  </si>
  <si>
    <t>NISSAN KUBISTAR МИН 2003- СТ ЗАДН ЗЛ ЛВ/RENAULT KANGOO 1997-  СТ ЗАДН ЭО ЛВ ЗЛ</t>
  </si>
  <si>
    <t>NISSAN KUBISTAR МИН 2003- СТ ЗАДН ЗЛ ПР+Б/ЭО/RENAULT KANGOO 1997-  СТ ЗАДН ЗЛ ПР Б/ЭО</t>
  </si>
  <si>
    <t>NISSAN KUBISTAR 2003- СТ ПЕР ДВ ОП ЛВ ЗЛ/RENAULT KANGOO 1997-  СТ ПЕР ДВ ОП ЛВ ЗЛ</t>
  </si>
  <si>
    <t>NISSAN KUBISTAR 2003- СТ ПЕР ДВ ОП ПР ЗЛ/RENAULT KANGOO 1997-  СТ ПЕР ДВ ОП ПР ЗЛ</t>
  </si>
  <si>
    <t>NISSAN KUBISTAR 2003- СТ ЗАДН ДВ ОП ПР ЗЛ/RENAULT KANGOO 1997-  СТ ЗАДН ДВ ОП ПР ЗЛ</t>
  </si>
  <si>
    <t>NISSAN KUBISTAR 2003- СТ ЗАДН НЕП ПР ЗЛ+ОТКР/RENAULT KANGOO 1997-  СТ БОК ПР ЗЛ</t>
  </si>
  <si>
    <t>LAUREL (C32) 1985-1989</t>
  </si>
  <si>
    <t>NISSAN LAUREL (C32) 1985-1989  СТ ВЕТР ГЛ</t>
  </si>
  <si>
    <t>MAXIMA (J30) 4D 1989-1995</t>
  </si>
  <si>
    <t>NISSAN MAXIMA 4Д 1989-1995 СТ ВЕТР ГЛ</t>
  </si>
  <si>
    <t>NISSAN MAXIMA 4Д 1989-1995 СТ ВЕТР ГЛГЛ</t>
  </si>
  <si>
    <t>NISSAN MAXIMA 4Д 1989-1995 УСТ КОМПЛ ДЛЯ СТ ВЕТР</t>
  </si>
  <si>
    <t>NISSAN MAXIMA 4Д СД 1989-1995 СТ ЗАДН ГЛ+АНТ</t>
  </si>
  <si>
    <t>NISSAN MAXIMA 4Д 1989-1995 СТ ПЕР ДВ ОП ЛВ ГЛ+ФИТ</t>
  </si>
  <si>
    <t>NISSAN MAXIMA 4Д 1989-1995 СТ ПЕР ДВ ОП ПР ГЛ+ФИТ</t>
  </si>
  <si>
    <t>MAXIMA (A32) QX СД 1995-2000</t>
  </si>
  <si>
    <t>NISSAN MAXIMA QX СД 1995-2000  СТ ВЕТР ЗЛ</t>
  </si>
  <si>
    <t>NISSAN MAXIMA QX СД 1995-2000  СТ ВЕТР ЗЛГЛ</t>
  </si>
  <si>
    <t>NISSAN MAXIMA QX СД 1995-2000  СТ ВЕТР ЗЛСР</t>
  </si>
  <si>
    <t>NISSAN MAXIMA QX СД 1995-2000  УСТ КОМПЛ ДЛЯ СТ ВЕТР</t>
  </si>
  <si>
    <t>NISSAN MAXIMA QX СД 1995-2000  СТ ЗАДН ЗЛ+АНТ</t>
  </si>
  <si>
    <t>NISSAN MAXIMA QX СД 1995-2000  СТ ПЕР ДВ ОП ЛВ ЗЛ+ФИТ</t>
  </si>
  <si>
    <t>NISSAN MAXIMA QX СД 1995-2000  СТ ФОРТ ЗАДН НЕП ЛВ ЗЛ</t>
  </si>
  <si>
    <t>NISSAN MAXIMA QX СД 1995-2000  СТ ПЕР ДВ ОП ПР ЗЛ ФИТ</t>
  </si>
  <si>
    <t>NISSAN MAXIMA QX СД 1995-2000  СТ ЗАДН ДВ ОП ПР ЗЛ+ФИТ</t>
  </si>
  <si>
    <t>MAXIMA (A33) 01/2000-08/2000, 08/2000-2004</t>
  </si>
  <si>
    <t>NISSAN MAXIMA QX (A33) 07/2000-2004  СТ ВЕТР ЗЛГЛ</t>
  </si>
  <si>
    <t>NISSAN MAXIMA QX (A33) 2000-2004  СТ ВЕТР ЗЛГН+УО</t>
  </si>
  <si>
    <t>NISSAN MAXIMA QX (A33) 2000-2004  УСТ КОМПЛ ДЛЯ СТ ВЕТР</t>
  </si>
  <si>
    <t>NISSAN MAXIMA QX (A33) 2000-2004 МОЛД ДЛЯ СТ ВЕТР ВЕРХ</t>
  </si>
  <si>
    <t>NISSAN MAXIMA QX (A33) 2000-2004  СТ ПЕР ДВ ОП ЗЛ+УО</t>
  </si>
  <si>
    <t>NISSAN MAXIMA QX (A33) 2000-2004  СТ ЗАДН ДВ ОП ЛВ ЗЛ+УО</t>
  </si>
  <si>
    <t>NISSAN MAXIMA QX (A33) 2000-2004  СТ ПЕР ДВ ОП ПР ЗЛ+УО</t>
  </si>
  <si>
    <t>NISSAN MAXIMA QX (A33) 2000-2004  СТ ЗАДН ДВ ОП ЗЛ+УО</t>
  </si>
  <si>
    <t>MICRA (K10) 1983-1992</t>
  </si>
  <si>
    <t>NISSAN MICRA K10 3Д+5Д 1983-1992 СТ ВЕТР ГЛ</t>
  </si>
  <si>
    <t>NISSAN MICRA K10 3Д+5Д 1983-1992 СТ ВЕТР ГЛГЛ</t>
  </si>
  <si>
    <t>NISSAN MICRA K10 3Д+5Д 1983-1992 СТ ВЕТР</t>
  </si>
  <si>
    <t>NISSAN MICRA K10 3Д+5Д 1983-1992 РЕЗ ПРОФ ДЛЯ СТ ВЕТР</t>
  </si>
  <si>
    <t>NISSAN MICRA K10 3Д+5Д ХБ 1983-1992 СТ ЗАДН ГЛ</t>
  </si>
  <si>
    <t>NISSAN MICRA K10 3Д+5Д ХБ 1983-1992 СТ ЗАДН</t>
  </si>
  <si>
    <t>NISSAN MICRA K10 3Д 1983-1992 СТ БОК ПОД ЛВ ОТКР</t>
  </si>
  <si>
    <t>NISSAN MICRA K10 3Д 1983-1992 СТ БОК ПОД ПР ОТКР</t>
  </si>
  <si>
    <t>MICRA (K11) 1992-2000</t>
  </si>
  <si>
    <t>NISSAN MICRA 1992-2000  СТ ВЕТР ГЛ</t>
  </si>
  <si>
    <t>NISSAN MICRA 1997-2000  СТ ВЕТР ГЛГЛ</t>
  </si>
  <si>
    <t>NISSAN MICRA 1992-2000  СТ ВЕТР</t>
  </si>
  <si>
    <t>NISSAN MICRA 1992-2000  СТ ВЕТР ЗЛ</t>
  </si>
  <si>
    <t>NISSAN MICRA 1992-2000  СТ ВЕТР ЗЛ КР</t>
  </si>
  <si>
    <t>NISSAN MICRA 1992-2000  СТ ВЕТР ЗЛГЛ</t>
  </si>
  <si>
    <t>NISSAN MICRA 1992-2000  СТ ВЕТР ЗЛГЛ КР</t>
  </si>
  <si>
    <t>NISSAN MICRA 1992-2000  УСТ КОМПЛ ДЛЯ СТ ВЕТР ДЛЯ СТ ВЕТР</t>
  </si>
  <si>
    <t>NISSAN MICRA 1992-2000  САМОКЛ ПОЛОС ДЛЯ  СТ ВЕТР</t>
  </si>
  <si>
    <t>NISSAN MICRA ХБ 1992-2000 СТ ЗАДН ЭО ЗЛ ОТВ</t>
  </si>
  <si>
    <t>NISSAN MICRA ХБ 1992-2000  СТ ЗАДН ЗЛ+СТОП</t>
  </si>
  <si>
    <t>NISSAN MICRA 3Д 1992-2000  СТ ПЕР ДВ ОП ЛВ ФИТ</t>
  </si>
  <si>
    <t>NISSAN MICRA 5Д 1992-2000  СТ ПЕР ДВ ОП ЛВ ФИТ</t>
  </si>
  <si>
    <t>NISSAN MICRA 5Д 1992-2000  СТ ЗАДН ДВ ОП ЛВ+УО</t>
  </si>
  <si>
    <t>NISSAN MICRA 5Д 1992-2000  СТ ЗАДН ДВ НЕП ЛВ</t>
  </si>
  <si>
    <t>NISSAN MICRA 3Д 1992-2000  СТ ПЕР ДВ ОП ЛВ ЗЛ ФИТ</t>
  </si>
  <si>
    <t>NISSAN MICRA 5Д 1992-2000  СТ ПЕР ДВ ОП ЛВ ЗЛ ФИТ</t>
  </si>
  <si>
    <t>NISSAN MICRA 5Д 1992-2000  СТ ЗАДН ДВ ОП ЛВ ЗЛ+УО</t>
  </si>
  <si>
    <t>NISSAN MICRA 5Д 1992-2000  СТ ПЕР ДВ ОП ПР ГЛ+ФИТ</t>
  </si>
  <si>
    <t>NISSAN MICRA 3Д 1992-2000  СТ ПЕР ДВ ОП ПР ФИТ</t>
  </si>
  <si>
    <t>NISSAN MICRA 5Д 1992-2000  СТ ПЕР ДВ ОП ПР ФИТ</t>
  </si>
  <si>
    <t>NISSAN MICRA 5Д 1992-2000  СТ ЗАДН ДВ ОП ПР+УО</t>
  </si>
  <si>
    <t>NISSAN MICRA 5Д 1992-2000  СТ ЗАДН ДВ НЕП ПР</t>
  </si>
  <si>
    <t>NISSAN MICRA 3Д 1992-2000  СТ ПЕР ДВ ОП ПР ЗЛ ФИТ</t>
  </si>
  <si>
    <t>NISSAN MICRA 5Д 1992-2000  СТ ПЕР ДВ ОП ПР ЗЛ ФИТ</t>
  </si>
  <si>
    <t>MICRA 3Д+5Д 2003-</t>
  </si>
  <si>
    <t>NISSAN MICRA 2003- СТ ВЕТР ЗЛ+ДД+VIN</t>
  </si>
  <si>
    <t>NISSAN MICRA 3Д+5Д 2003-  СТ ВЕТР ЗЛ VIN+УО</t>
  </si>
  <si>
    <t>NISSAN MICRA 2003-  МОЛД ДЛЯ СТ ВЕТР</t>
  </si>
  <si>
    <t>NISSAN MICRA ХБ 2003- СТ ЗАДН ДВ ЗЛ+СТОП+УО</t>
  </si>
  <si>
    <t>NISSAN MICRA ХБ 2003- СТ ЗАДН ЗЛ+СТОП+УО</t>
  </si>
  <si>
    <t>NISSAN MICRA 2003- СТ ПЕР ДВ ОП ЛВ ЗЛ+ФИТ</t>
  </si>
  <si>
    <t>NISSAN MICRA СД 2003- СТ БОК НЕП ЛВ ЗЛ</t>
  </si>
  <si>
    <t>NISSAN MICRA 2003- СТ ЗАДН ДВ ОП ЛВ ЗЛ+ФИТ</t>
  </si>
  <si>
    <t>NISSAN MICRA ХБ 2003- СТ ФОРТ НЕП ЛВ ЗЛ</t>
  </si>
  <si>
    <t>NISSAN MICRA 2003- СТ ПЕР ДВ ОП ПР ЗЛ+ФИТ</t>
  </si>
  <si>
    <t>NISSAN MICRA СД 2003- СТ БОК НЕП ПР ЗЛ</t>
  </si>
  <si>
    <t>NISSAN MICRA 2003- СТ ЗАДН ДВ ОП ПР ЗЛ+ФИТ</t>
  </si>
  <si>
    <t>NISSAN MICRA 5Д 2003- СТ ФОРТ НЕП ПР ЗЛ</t>
  </si>
  <si>
    <t>MICRA КБ 2005/10-</t>
  </si>
  <si>
    <t>NISSAN MICRA CABRIO 2005- СТ ПЕР ДВ ОП ЛВ ЗЛ</t>
  </si>
  <si>
    <t>MICRA 2011-</t>
  </si>
  <si>
    <t>NISSAN MICRA 2011- СТ ВЕТР ЗЛ+ДД+VIN</t>
  </si>
  <si>
    <t>NISSAN MICRA LHD 2011-СТ ВЕТР ЗЛ+VIN</t>
  </si>
  <si>
    <t>MURANO 2004-</t>
  </si>
  <si>
    <t>NISSAN MURANO 5Д 2004- СТ ВЕТР ЗЛГЛ+VIN+ИНК</t>
  </si>
  <si>
    <t>NISSAN MURANO 5Д 2004- СТ ВЕТР ЗЛГЛ+ИНК</t>
  </si>
  <si>
    <t>NISSAN MURANO 5Д 2004- СТ ПЕР ДВ ОП ЛВ+УО</t>
  </si>
  <si>
    <t>NISSAN MURANO 5Д 2004- СТ ПЕР ДВ ОП ПР ЗЛ+УО</t>
  </si>
  <si>
    <t>MURANO 2008-</t>
  </si>
  <si>
    <t>NISSAN MURANO 2008- СТ ВЕТР ЗЛГЛ+ДД+УО+ИНК</t>
  </si>
  <si>
    <t>NOTE 5Д ХБ 2006-</t>
  </si>
  <si>
    <t>NISSAN NOTE 5Д ХБ 2006- СТ ВЕТР ЗЛ+ДД+VIN</t>
  </si>
  <si>
    <t>NISSAN NOTE 5Д ХБ 2006- СТ ВЕТР ЗЛ+VIN</t>
  </si>
  <si>
    <t>NISSAN NOTE 5Д ХБ 2006- МОЛД  ДЛЯ СТ ВЕТР</t>
  </si>
  <si>
    <t>NISSAN NOTE 5Д ХБ 2006- СТ ЗАДН ДВ ЗЛ УО</t>
  </si>
  <si>
    <t>NISSAN NOTE 5Д ХБ 2006- СТ ЗАДН ДВ СР PR+УО</t>
  </si>
  <si>
    <t>NISSAN NOTE 5Д ХБ 2006- СТ ПЕР ДВ ОП ЛВ ЗЛ+УО</t>
  </si>
  <si>
    <t>NISSAN NOTE 5Д ХБ 2006- СТ ЗАДН ДВ ОП ЛВ ЗЛ+УО</t>
  </si>
  <si>
    <t>NISSAN NOTE 5Д ХБ 2006- СТ БОК ЗАДН НЕПОД ЛВ ЗЛ+УО</t>
  </si>
  <si>
    <t>NISSAN NOTE 5Д ХБ 2006- СТ ЗАДН ДВ ОП ЛВ СР PR+УО</t>
  </si>
  <si>
    <t>NISSAN NOTE 5Д ХБ 2006- СТ ПЕР ДВ ОП ПР ЗЛ+УО</t>
  </si>
  <si>
    <t>NISSAN NOTE 5Д ХБ 2006- СТ ЗАДН ДВ ОП ПР ЗЛ+УО</t>
  </si>
  <si>
    <t>NISSAN NOTE 5Д ХБ 2006- СТ БОК ЗАДН НЕПОД ПР ЗЛ+УО</t>
  </si>
  <si>
    <t>NISSAN NOTE 5Д ХБ 2006- СТ ЗАДН ДВ ОП ПР СР PR+УО</t>
  </si>
  <si>
    <t>PATHFINDER R50/IFINITY QX4 1997-2005</t>
  </si>
  <si>
    <t>NISSAN PATHFINDER 1997-2005  СТ ВЕТР ЗЛ</t>
  </si>
  <si>
    <t>NISSAN PATHFINDER 1997-2005  СТ ВЕТР ЗЛГЛ+АНТ</t>
  </si>
  <si>
    <t>NISSAN PATHFINDER 1997-2005  МОЛД ДЛЯ СТ ВЕТР ВЕРХ</t>
  </si>
  <si>
    <t>NISSAN PATHFINDER ВН 1997-2005  СТ ЗАДН ЗЛ</t>
  </si>
  <si>
    <t>NISSAN PATHFINDER 1997-2005  СТ ПЕР ДВ ОП ЛВ ЗЛ+ФИТ</t>
  </si>
  <si>
    <t>NISSAN PATHFINDER 1997-2005  СТ ФОРТ ЗАДН НЕП ЛВ ЗЛ</t>
  </si>
  <si>
    <t>NISSAN PATHFINDER 1997-2005  СТ ПЕР ДВ ОП ПР ЗЛ+ФИТ</t>
  </si>
  <si>
    <t>NISSAN PATHFINDER 1997-2005  СТ ФОРТ ЗАДН НЕП ПР ЗЛ</t>
  </si>
  <si>
    <t>PATHFINDER/NAVARA 2005-</t>
  </si>
  <si>
    <t>NISSAN PATHFINDER 2005-  СТ ВЕТР ЗЛГЛ+ДД+VIN+ВЕРХН МОЛД</t>
  </si>
  <si>
    <t>NISSAN PATHFINDER /NAVARA 2005-  СТ ВЕТР ЗЛГЛ+VIN+ИНК</t>
  </si>
  <si>
    <t>NISSAN PATHFINDER 2005- МОЛД ДЛЯ СТ ВЕТР 2800mm</t>
  </si>
  <si>
    <t>NISSAN PATHFINDER /NAVARA ПИКАП 2005- СТ ЗАДН ЗЛ</t>
  </si>
  <si>
    <t>NISSAN PATHFINDER ВН 2005- СТ ЗАДН ЗЛ+УО</t>
  </si>
  <si>
    <t>NISSAN PATHFINDER ВН 2005- СТ ЗАДН СР+УО</t>
  </si>
  <si>
    <t>NISSAN PATHFINDER 2005-  СТ ЗАДН ДВ ОП ЛВ ЗЛ+УО</t>
  </si>
  <si>
    <t>NISSAN PATHFINDER /NAVARA 2005-  СТ ПЕР ДВ ОП ЛВ ЗЛ+УО</t>
  </si>
  <si>
    <t>NISSAN PATHFINDER 2005-  СТ ЗАДН ДВ ОП ЛВ ТСР+УО</t>
  </si>
  <si>
    <t>NISSAN PATHFINDER 2005-  СТ ЗАДН ДВ ОП ПР ЗЛ+УО</t>
  </si>
  <si>
    <t>NISSAN PATHFINDER 2005-  СТ ПЕР ДВ ОП ПР ЗЛ+УО</t>
  </si>
  <si>
    <t>NISSAN PATHFINDER 2005-  СТ ЗАДН ДВ ОП ПР ТСР+УО</t>
  </si>
  <si>
    <t>NISSAN PATHFINDER 2005-  СТ ФОРТ ЗАДН НЕП ПР ТСР</t>
  </si>
  <si>
    <t>PATROL 1983-1998</t>
  </si>
  <si>
    <t>NISSAN PATROL 3Д+5Д 1983-1989  СТ ВЕТР ГЛ</t>
  </si>
  <si>
    <t>NISSAN PATROL 3Д+5Д 1983-1989  СТ ВЕТР ГЛГЛ</t>
  </si>
  <si>
    <t>NISSAN PATROL 3Д+5Д 1983-1989  РЕЗ ПРОФ ДЛЯ СТ ВЕТР</t>
  </si>
  <si>
    <t>NISSAN PATROL 3Д+5Д 1983-1989  СТ ПЕР ДВ ОП ЛВ ГЛ</t>
  </si>
  <si>
    <t>NISSAN PATROL 3Д+5Д 1983-1989  СТ ПЕР ДВ ОП ПР ГЛ</t>
  </si>
  <si>
    <t>PATROL GR (Y61) 3Д+5Д 1998-</t>
  </si>
  <si>
    <t>NISSAN PATROL GR (Y61) 3Д+5Д 1998- СТ ВЕТР ЗЛ</t>
  </si>
  <si>
    <t>NISSAN PATROL GR (Y61) 3Д+5Д 1998- СТ ВЕТР ЗЛГЛ</t>
  </si>
  <si>
    <t>NISSAN PATROL GR (Y61) 3Д+5Д 1998- СТ ВЕТР ЗЛ ЭО</t>
  </si>
  <si>
    <t>NISSAN PATROL GR (Y61) 3Д+5Д 1998- МОЛД  ДЛЯ СТ ВЕТР</t>
  </si>
  <si>
    <t>NISSAN PATROL GR (Y61) 3Д+5Д 1998- СТ ПЕР ДВ ОП ЛВ ЗЛ+УО</t>
  </si>
  <si>
    <t>NISSAN PATROL GR (Y61) 3Д+5Д 1998- СТ ФОРТ ЗАДН НЕП ЛВ ЗЛ</t>
  </si>
  <si>
    <t>NISSAN PATROL GR (Y61) 3Д+5Д 1998- СТ ПЕР ДВ ОП ПР ЗЛ+УО</t>
  </si>
  <si>
    <t>NISSAN PATROL GR (Y61) 3Д+5Д 1998- СТ ФОРТ ЗАДН НЕП ПР ЗЛ</t>
  </si>
  <si>
    <t>PRAIRIE 1984-1989</t>
  </si>
  <si>
    <t>NISSAN PRAIRIE 1984-1989 СТ ВЕТР ГЛ</t>
  </si>
  <si>
    <t>PRAIRIE 1989-1996</t>
  </si>
  <si>
    <t>1989-1996</t>
  </si>
  <si>
    <t>NISSAN PRAIRIE 1989-1996  СТ ВЕТР ГЛ</t>
  </si>
  <si>
    <t>NISSAN PRAIRIE 1989-1996 5Д  СТ ПЕР ДВ ОП ЛВ ГЛ</t>
  </si>
  <si>
    <t>PRIMASTAR X83 2003-</t>
  </si>
  <si>
    <t>NISSAN PRIMASTAR X83 2003-  СТ ВЕТР ТЕПЛООТР+VIN/RENAULT TRAFIC 01  СТ ВЕТР ТЕПЛООТР+VIN</t>
  </si>
  <si>
    <t>NISSAN PRIMASTAR X83 2003-  СТ ВЕТР ЗЛ+VIN/RENAULT TRAFIC 2001-  СТ ВЕТР ЗЛ+VIN</t>
  </si>
  <si>
    <t>NISSAN PRIMASTAR X83 2003-  СТ ВЕТР ЗЛ+VIN+ПОЯВ КР/RENAULT TRAFIC 2001-  СТ ВЕТР БЕЗ КР ЗЛ+VIN</t>
  </si>
  <si>
    <t>NISSAN PRIMASTAR X83 2003-  СТ ВЕТР ЗЛ+VIN+ИЗМ КР/RENAULT TRAFIC 2001- СТ ВЕТР ЗЛ+VIN</t>
  </si>
  <si>
    <t>NISSAN PRIMASTAR X83 МИН 2003-  СТ ЗАДН ЗЛ ЛВ/RENAULT TRAFIC 2001-  СТ ЗАДН ЛВ ЭО</t>
  </si>
  <si>
    <t>NISSAN PRIMASTAR X83 МИН 2003-  СТ ЗАДН ЗЛ ПР/RENAULT TRAFIC 2001-  СТ ЗАДН ПР ЭО ЗЛ</t>
  </si>
  <si>
    <t>PRIMERA I (P10) 06/1990-05/1996</t>
  </si>
  <si>
    <t>1990-1996</t>
  </si>
  <si>
    <t>NISSAN PRIMERA СД+ХБ 1990-1995 СТ ВЕТР ГЛ</t>
  </si>
  <si>
    <t>NISSAN PRIMERA 1990-1995 СТ ВЕТР ГЛГЛ</t>
  </si>
  <si>
    <t>NISSAN PRIMERA СД+ХБ 1990-1995 СТ ВЕТР ЗЛ</t>
  </si>
  <si>
    <t>NISSAN PRIMERA СД+ХБ 1990-1995 СТ ВЕТР ЗЛГЛ</t>
  </si>
  <si>
    <t>NISSAN PRIMERA СД+ХБ 1990-1995 СТ ВЕТР ЗЛЗЛ</t>
  </si>
  <si>
    <t>NISSAN PRIMERA 1990-1996 УСТ КОМПЛ ДЛЯ СТ ВЕТР</t>
  </si>
  <si>
    <t>NISSAN PRIMERA СД ХБK 1990-1996 МОЛД  ДЛЯ СТ ВЕТР ВЕРХ</t>
  </si>
  <si>
    <t>NISSAN PRIMERA СД 1990-1995  СТ ЗАДН ЭО ЗЛ</t>
  </si>
  <si>
    <t>NISSAN PRIMERA 4Д СД+5Д ХБ 1990-1995  СТ ПЕР ДВ ОП ЛВ ЗЛ+ФИТ</t>
  </si>
  <si>
    <t>NISSAN PRIMERA СД+ ХБ 1990-1995  СТ ЗАДН ОП ЛВ ЗЛ+УО</t>
  </si>
  <si>
    <t>NISSAN PRIMERA 4Д СД+5Д ХБ 1990-1995  СТ БОК НЕП ЛВ ЗЛ</t>
  </si>
  <si>
    <t>NISSAN PRIMERA 4Д СД+5Д ХБ 1990-1995  СТ ПЕР ДВ ОП ПР ЗЛ</t>
  </si>
  <si>
    <t>NISSAN PRIMERA 4D СД+5Д ХБ 1990-1995  СТ ПЕР ДВ ОП ПР ЗЛ+ФИТ</t>
  </si>
  <si>
    <t>NISSAN PRIMERA 4D СД+5Д ХБ 1990-1995  СТ БОК НЕП ПР ЗЛ</t>
  </si>
  <si>
    <t>PRIMERA I (W10) EST 1990-1995</t>
  </si>
  <si>
    <t>NISSAN PRIMERA I (W10) УН 1990-1995  СТ ВЕТР ГЛ</t>
  </si>
  <si>
    <t>NISSAN PRIMERA I (W10) УН 1990-1995  СТ ВЕТР ГЛГЛ</t>
  </si>
  <si>
    <t>NISSAN PRIMERA I (W10) УН 1990-1995  СТ ВЕТР БР</t>
  </si>
  <si>
    <t>NISSAN PRIMERA I (W10) УН 1990-1995  СТ ВЕТР БРГЛ+КР</t>
  </si>
  <si>
    <t>NISSAN PRIMERA I (W10) УН 1990-1995  СТ ВЕТР ЗЛ</t>
  </si>
  <si>
    <t>NISSAN PRIMERA I (W10) УН 1990-1995  УСТ КОМПЛ ДЛЯ СТ ВЕТР ДЛЯ СТ ВЕТР ВЕРХ</t>
  </si>
  <si>
    <t>PRIMERA II (P11) 06/1996-2002</t>
  </si>
  <si>
    <t>NISSAN PRIMERA II СД+ХБ+УН 1996-2002  СТ ВЕТР ЗЛ</t>
  </si>
  <si>
    <t>NISSAN PRIMERA II СД+ХБ+УН 1996-2002  СТ ВЕТР ЗЛГЛ</t>
  </si>
  <si>
    <t>NISSAN PRIMERA II СД+ХБ+УН 1996-2002  СТ ВЕТР ЗЛЗЛ</t>
  </si>
  <si>
    <t>NISSAN PRIMERA II СД+ХБ+УН 1996-2002  НАБ КЛИПС СТ ВЕТР ДЛЯ ВЕРХ МОЛД</t>
  </si>
  <si>
    <t>NISSAN PRIMERA II СД+ХБ+УН 1996-2002  В/С НАКР МОЛД+КЛИПС</t>
  </si>
  <si>
    <t>NISSAN PRIMERA II УН 1996-2002  СТ ЗАДН ДВ ЗЛ+АНТ+СТОП+ИНК</t>
  </si>
  <si>
    <t>NISSAN PRIMERA II ХБ 1996-2002  СТ ЗАДН ЭО ЗЛ+СТОП+ИНК</t>
  </si>
  <si>
    <t>NISSAN PRIMERA II СД 1996-2002  СТ ЗАДН ЭО ЗЛ</t>
  </si>
  <si>
    <t>NISSAN PRIMERA II СД 1996-2002  СТ ЗАДН ЗЛ+1ОТВ</t>
  </si>
  <si>
    <t>NISSAN PRIMERA II УН 1996-2002  СТ БОК НЕП ЛВ ЗЛ</t>
  </si>
  <si>
    <t>NISSAN PRIMERA II СД+ХБ+УН 1996-2002 СТ ПЕР ДВ ОП ЛВ ЗЛ ФИТ</t>
  </si>
  <si>
    <t>NISSAN PRIMERA II СД+ХБ 1996-2002  СТ ЗАДН ДВ ОП ЛВ ЗЛ+УО</t>
  </si>
  <si>
    <t>NISSAN PRIMERA II СД+ХБ 1996-2002  СТ БОК НЕП ЛВ ЗЛ</t>
  </si>
  <si>
    <t>NISSAN PRIMERA II УН 1996-2002  СТ ЗАДН ДВ ОП ПР ЗЛ+УО</t>
  </si>
  <si>
    <t>NISSAN PRIMERA II УН 1996-2002  СТ БОК ПР ЗЛ+ИНК</t>
  </si>
  <si>
    <t>NISSAN PRIMERA II УН 1996-2002  СТ ФОРТ ЗАДН НЕП ПР ЗЛ</t>
  </si>
  <si>
    <t>NISSAN PRIMERA II СД+ХБ+УН 1996-2002 СТ ПЕР ДВ ОП ПР ЗЛ ФИТ</t>
  </si>
  <si>
    <t>NISSAN PRIMERA II СД+ХБ 1996-2002 СТ ЗАДН ДВ ОП ПР ЗЛ ФИТ</t>
  </si>
  <si>
    <t>NISSAN PRIMERA II СД+ХБ 1996-2002 СТ БОК НЕП ПР ЗЛ</t>
  </si>
  <si>
    <t>PRIMERA III (P12) 2002-</t>
  </si>
  <si>
    <t>NISSAN PRIMERA III (P12) 2002- СТ ВЕТР ЗЛ</t>
  </si>
  <si>
    <t>NISSAN PRIMERA III (P12) 2002- ПРРУЛЬ  СТ ВЕТР  ЗЛ+СТОП+ДД+VIN</t>
  </si>
  <si>
    <t>NISSAN PRIMERA III (P12) 2002- ПРРУЛЬ  СТ ВЕТР ЗЛ+СТОП+VIN</t>
  </si>
  <si>
    <t>NISSAN PRIMERA III (P12) 2002- ЛВРУЛЬ  СТ ВЕТР ЛВ  ЗЛ ДД+ИЗМ ШЕЛК</t>
  </si>
  <si>
    <t>NISSAN PRIMERA III (P12) 2002- МОЛД  ДЛЯ СТ ВЕТР</t>
  </si>
  <si>
    <t>NISSAN PRIMERA УН III (P12) 2002- СТ ЗАДН ДВ ЗЛ+СТОП+УО</t>
  </si>
  <si>
    <t>NISSAN PRIMERA ХБ III (P12) 2002- СТ ЗАДН ДВ ЗЛ+СТОП+ИНК</t>
  </si>
  <si>
    <t>NISSAN PRIMERA СД III (P12) 2002- СТ ЗАДН ЗЛ+ИНК</t>
  </si>
  <si>
    <t>NISSAN PRIMERA УН III (P12) 2002-  СТ ЗАДН ДВ ОП ЛВ ЗЛ+УО</t>
  </si>
  <si>
    <t>NISSAN PRIMERA III (P12) 2002- СТ ПЕР ДВ ОП ЛВ ЗЛ+ФИТ</t>
  </si>
  <si>
    <t>NISSAN PRIMERA СД III (P12) 2002-  СТ ЗАДН ДВ ОП ЛВ ЗЛ+УО</t>
  </si>
  <si>
    <t>NISSAN PRIMERA III (P12) 2002- СТ ФОРТ ЗАДН ЗЛ ЛВ+ИНК</t>
  </si>
  <si>
    <t>NISSAN PRIMERA III (P12) 2002- СТ ЗАДН НЕП ЛВ ЗЛ</t>
  </si>
  <si>
    <t>NISSAN PRIMERA УН III (P12) 2002- СТ ЗАДН ДВ ОП ПР ЗЛ+УО</t>
  </si>
  <si>
    <t>NISSAN PRIMERA III (P12) 2002- СТ ПЕР ДВ ОП ПР ЗЛ+ФИТ</t>
  </si>
  <si>
    <t>NISSAN PRIMERA СД III (P12) 2002- СТ ЗАДН ДВ ОП ПР ЗЛ+УО</t>
  </si>
  <si>
    <t>NISSAN PRIMERA III (P12) 2002- СТ ФОРТ ЗАДН ЗЛ ПР+ИНК</t>
  </si>
  <si>
    <t>NISSAN PRIMERA III (P12) 2002- СТ ЗАДН НЕП ПР ЗЛ</t>
  </si>
  <si>
    <t>QASHQAI ( P32L) 2006-</t>
  </si>
  <si>
    <t>NISSAN QASHQAI ( P32L) 2006- СТ ВЕТР ЗЛ+ДД+VIN</t>
  </si>
  <si>
    <t>NISSAN QASHQAI ( P32L) 2006- СТ ВЕТР ЗЛ+VIN</t>
  </si>
  <si>
    <t>NISSAN QASHQAI ( P32L) 2006- МОЛД ДЛЯ СТ ВЕТР</t>
  </si>
  <si>
    <t>NISSAN QASHQAI ( P32L) CROSS ВН 2007- СТ ЗАДН ЗЛ+УО</t>
  </si>
  <si>
    <t>NISSAN QASHQAI ( P32L) CROSS ВН 2007- СТ ЗАДН СР PR+ТВ АНТ+УО</t>
  </si>
  <si>
    <t>NISSAN QASHQAI ( P32L) CROSS ВН 2007- СТ ЗАДН СР PR+УО</t>
  </si>
  <si>
    <t>NISSAN GRAND QASHQAI ВН 2008-  СТ ЗАДН СР+УО+ИЗМ РАЗМ</t>
  </si>
  <si>
    <t>NISSAN QASHQAI ( P32L) CROSS 2007- СТ ПЕР ДВ ОП ЛВ  ЗЛ+УО</t>
  </si>
  <si>
    <t>NISSAN GRAND QASHQAI 2008- СТ ПЕР ДВ ОП ЛВ ЗЛ</t>
  </si>
  <si>
    <t>NISSAN QASHQAI ( P32L) CROSS 2007- СТ ЗАДН ДВ ОП ЛВ ЗЛ</t>
  </si>
  <si>
    <t>NISSAN QASHQAI ( P32L) CROSS 2007- СТ ЗАДН ДВ НЕП ЛВ ЗЛ</t>
  </si>
  <si>
    <t>NISSAN QASHQAI ( P32L) CROSS 2007- СТ ЗАДН ДВ ОП ЛВ ТСР</t>
  </si>
  <si>
    <t>NISSAN QASHQAI ( P32L) CROSS 2007- СТ ЗАДН ДВ НЕП ЛВ ТСР</t>
  </si>
  <si>
    <t>NISSAN GRAND QASHQAI 2008- СТ ЗАДН ДВ НЕП ЛВ ТСР</t>
  </si>
  <si>
    <t>NISSAN QASHQAI ( P32L) CROSS 2007- СТ ПЕР ДВ ОП ПР ЗЛ+УО</t>
  </si>
  <si>
    <t>NISSAN GRAND QASHQAI 2008- СТ ПЕР ДВ ОП ПР</t>
  </si>
  <si>
    <t>NISSAN QASHQAI ( P32L) CROSS 2007- СТ ЗАДН ДВ ОП ПР ЗЛ+УО</t>
  </si>
  <si>
    <t>NISSAN QASHQAI ( P32L) CROSS 2007- СТ ЗАДН ДВ НЕП ПР ЗЛ</t>
  </si>
  <si>
    <t>NISSAN QASHQAI ( P32L) CROSS 2007- СТ ЗАДН ДВ ОП ПР ТСР+УО</t>
  </si>
  <si>
    <t>NISSAN QASHQAI ( P32L) CROSS 2007- СТ ЗАДН НЕП ПР ТСР</t>
  </si>
  <si>
    <t>SERENA 1993-2001/VANETTE/CARGO</t>
  </si>
  <si>
    <t>NISSAN SERENA (ЛВРУЛЬ) 1993-2001 VANET CARG СТ ВЕТР БР</t>
  </si>
  <si>
    <t>NISSAN SERENA (ЛВРУЛЬ) 1993-2001 VANET CARG СТ ВЕТР</t>
  </si>
  <si>
    <t>NISSAN SERENA (ЛВРУЛЬ) 1993-2001 VANET CARG СТ ВЕТР ЗЛ</t>
  </si>
  <si>
    <t>NISSAN SERENA (ЛВРУЛЬ) 1993-2001 VANET CARG СТ ВЕТР ЗЛГЛ</t>
  </si>
  <si>
    <t>NISSAN SERENA (ЛВРУЛЬ) 1993-2001 VANET CARG УСТ КОМПЛ ДЛЯ СТ ВЕТР</t>
  </si>
  <si>
    <t>NISSAN SERENA (ЛВРУЛЬ) МИН 1993-2001 VANET CARG УСТ СТ ЗАДН ЛВ</t>
  </si>
  <si>
    <t>NISSAN SERENA (ЛВРУЛЬ) МИН 1993-2001 VANET CARG  СТ ЗАДН ЗЛ ЛВ</t>
  </si>
  <si>
    <t>NISSAN SERENA (ЛВРУЛЬ) 1993-2001 VANET CARG СТ ПЕР ДВ ОП ЛВ ЗЛ+УО/NISSAN SERENA 3D+5D 92- СТ ПЕР ДВ ОП ЛВ ЗЛ+УО</t>
  </si>
  <si>
    <t>NISSAN SERENA (ЛВРУЛЬ) 1993-2001 VANET CARG СТ ПЕР ДВ ОП ПР ЗЛ+УО</t>
  </si>
  <si>
    <t>SUNNY (B11) КП 1982-1987</t>
  </si>
  <si>
    <t>1982-1987</t>
  </si>
  <si>
    <t>NISSAN SUNNY KB11 КП 1982-1987 СТ ВЕТР ГЛ</t>
  </si>
  <si>
    <t>SUNNY (B11) СД+VTB11 УН 1982-1987</t>
  </si>
  <si>
    <t>NISSAN SUNNY B11 СД+VTB11 УН 1982-1987 СТ ВЕТР ГЛ</t>
  </si>
  <si>
    <t>SUNNY (B12) СД+УН 1986-1992</t>
  </si>
  <si>
    <t>NISSAN SUNNY B12 СД+УН 1986-1992 СТ ВЕТР ГЛ</t>
  </si>
  <si>
    <t>NISSAN SUNNY B12 СД 1986-1992 УСТ КОМПЛ ДЛЯ СТ ВЕТР</t>
  </si>
  <si>
    <t>SUNNY (N13) 1986-1991</t>
  </si>
  <si>
    <t>NISSAN SUNNY N13 СД+ХБ 1986-1991 СТ ВЕТР ГЛГЛ</t>
  </si>
  <si>
    <t>NISSAN SUNNY N13 СД+ХБ 1986-1991 СТ ВЕТР</t>
  </si>
  <si>
    <t>NISSAN SUNNY N13 СД+ХБ 1986-1991 УСТ КОМПЛ ДЛЯ СТ ВЕТР</t>
  </si>
  <si>
    <t>NISSAN SUNNY N13 СД+ ХБ 1986-1991 СТ ПЕР ДВ ОП ЛВ ГЛ+УО</t>
  </si>
  <si>
    <t>NISSAN SUNNY N13 СД+ХБ 1986-1991 СТ ЗАДН ДВ ОП ЛВ ГЛ</t>
  </si>
  <si>
    <t>NISSAN SUNNY N13 ХБ 1986-1991 СТ ФОРТ ЗАДН НЕП ЛВ ГЛ</t>
  </si>
  <si>
    <t>NISSAN SUNNY N13 СД 1986-1991 СТ БОК НЕП ЛВ ГЛ</t>
  </si>
  <si>
    <t>NISSAN SUNNY N13 СД+ ХБ 1986-1991 СТ ПЕР ДВ ОП ПР ГЛ+УО</t>
  </si>
  <si>
    <t>NISSAN SUNNY N13 СД+ХБ 1986-1991 СТ ЗАДН ДВ ОП ПР ГЛ</t>
  </si>
  <si>
    <t>NISSAN SUNNY N13 ХБ 1986-1991 СТ ФОРТ ЗАДН НЕП ПР ГЛ</t>
  </si>
  <si>
    <t>SUNNY (N14) 3, 4, 5Д ХБ 1991-1996</t>
  </si>
  <si>
    <t>NISSAN SUNNY (N14) 3, 4, 5Д ХБ 1991-1996  СТ ВЕТР ГЛ</t>
  </si>
  <si>
    <t>NISSAN SUNNY (N14) 3, 4, 5Д ХБ 1991-1996  СТ ВЕТР ГЛГЛ</t>
  </si>
  <si>
    <t>NISSAN SUNNY (N14) 3, 4, 5Д ХБ 1991-1996  СТ ВЕТР</t>
  </si>
  <si>
    <t>NISSAN SUNNY (N14) 3, 4, 5Д ХБ 1991-1996  УСТ КОМПЛ ДЛЯ СТ ВЕТР</t>
  </si>
  <si>
    <t>NISSAN SUNNY N14 СД 1991-1996 СТ ЗАДН ГЛ</t>
  </si>
  <si>
    <t>NISSAN SUNNY N14 5Д ХБ 1991-1996 СТ ЗАДН ГЛ+ИЗМ РАЗМ</t>
  </si>
  <si>
    <t>NISSAN SUNNY N14 ХБ 1991-1996  СТ ПЕР ДВ ОП ЛВ ГЛ+УО</t>
  </si>
  <si>
    <t>NISSAN SUNNY N14 5Д ХБ+СД 1991-1996 СТ ПЕР ДВ ОП ЛВ ГЛ+ФИТ</t>
  </si>
  <si>
    <t>NISSAN SUNNY N14 5Д ХБ+СД 1991-1996 СТ БОК НЕП ЛВ ГЛ</t>
  </si>
  <si>
    <t>NISSAN SUNNY N14 ХБ 1991-1996  СТ ПЕР ДВ ОП ПР ГЛ+УО</t>
  </si>
  <si>
    <t>NISSAN SUNNY N14 5Д ХБ+СД 1991-1996 СТ ПЕР ДВ ОП ПР ГЛ+ФИТ</t>
  </si>
  <si>
    <t>NISSAN SUNNY N14 ХБ+ СД 1991-1996  СТ ЗАДН ДВ ОП ПР ГЛ</t>
  </si>
  <si>
    <t>NISSAN SUNNY N14 5Д ХБ+СД 1991-1996 СТ БОК НЕП ПР ГЛ</t>
  </si>
  <si>
    <t>SUNNY (Y10) УН 1992-07/1995</t>
  </si>
  <si>
    <t>NISSAN SUNNY УН 1992-07/1995 СТ ВЕТР ГЛ</t>
  </si>
  <si>
    <t>NISSAN SUNNY УН 1992-07/1995 СТ ВЕТР ГЛГЛ</t>
  </si>
  <si>
    <t>NISSAN SUNNY УН 1992-07/1995 МОЛД  ДЛЯ СТ ВЕТР</t>
  </si>
  <si>
    <t>TEANA I 2003-2009</t>
  </si>
  <si>
    <t>NISSAN TEANA I 2003-2009 СТ ВЕТР ЗЛГЛ</t>
  </si>
  <si>
    <t>TEANA II 2008</t>
  </si>
  <si>
    <t>NISSAN TEANA II 2008 СТ ВЕТР ЗЛГЛ</t>
  </si>
  <si>
    <t>TERRANO (WD21) 1986-</t>
  </si>
  <si>
    <t>NISSAN TERRANO (WD21) 1986-1993 СТ ВЕТР ГЛ</t>
  </si>
  <si>
    <t>NISSAN TERRANO (WD21) 1986-1993 СТ ВЕТР ГЛГЛ</t>
  </si>
  <si>
    <t>NISSAN TERRANO (WD21) 1986-1993 СТ ВЕТР</t>
  </si>
  <si>
    <t>NISSAN TERRANO (WD21) 1998-  СТ ВЕТР ЗЛ</t>
  </si>
  <si>
    <t>NISSAN TERRANO (WD21) 1986-1993 СТ ВЕТР ЗЛЗЛ</t>
  </si>
  <si>
    <t>NISSAN TERRANO (WD21) ПИКАП 1986-1993 СТ ЗАДН ГЛ</t>
  </si>
  <si>
    <t>NISSAN TERRANO (WD21) ВН 1998- СТ ЗАДН ГЛ</t>
  </si>
  <si>
    <t>NISSAN TERRANO (WD21) 1986-1993 СТ ПЕР ДВ ОП ЛВ ГЛ</t>
  </si>
  <si>
    <t>NISSAN TERRANO (WD21) 1986-1993 СТ ПЕР ДВ ОП ПР ГЛ</t>
  </si>
  <si>
    <t>TERRANO II (R20) 1993-2004</t>
  </si>
  <si>
    <t>1993-2004</t>
  </si>
  <si>
    <t>NISSAN TERRANO MK2 3Д+5Д 1993-2004  СТ ВЕТР ЗЛ/FORD MAVERICK 3Д+5Д 1993-1999  СТ ВЕТР ЗЛ</t>
  </si>
  <si>
    <t>NISSAN TERRANO MK2 3Д+5Д 1993-2004  СТ ВЕТР ЗЛ ШЕЛК ИЗМ/FORD MAVERICK 3Д 1993-1999  СТ ВЕТР ЗЛ+ИЗМ Ш</t>
  </si>
  <si>
    <t>NISSAN TERRANO MK2 3Д+5Д 1993-2004  СТ ВЕТР ЗЛГЛ/FORD MAVERICK 3Д+5Д 1993-1999  СТ ВЕТР ЗЛГЛ</t>
  </si>
  <si>
    <t>NISSAN TERRANO MK2 3Д+5Д 1993-2004  СТ ВЕТР ЗЛГЛ  ШЕЛК ИЗМ/FORD MAVERICK 3Д 1993-1999  СТ ВЕТР ЗЛГЛ+ИЗМ Ш</t>
  </si>
  <si>
    <t>NISSAN TERRANO MK2 3Д+5Д 1993-2004  СТ ВЕТР ЗЛЗЛ</t>
  </si>
  <si>
    <t>NISSAN TERRANO II 1993-2004  МОЛД  ДЛЯ СТ ВЕТР ВЕРХ</t>
  </si>
  <si>
    <t>NISSAN TERRANO MK2 1993-2004  СТ ПЕР ДВ ОП ЛВ ЗЛ+УО/FORD MAVERICK + 1993-1999  СТ ПЕР ДВ ОП ЛВ ЗЛ+УО</t>
  </si>
  <si>
    <t>NISSAN TERRANO MK2 5Д 1993-2004  СТ ЗАДН ДВ ОП ЛВ ЗЛ+УО/FORD MAVERICK 1993-1999  СТ ЗАДН ДВ ОП ЛВ ЗЛ+УО</t>
  </si>
  <si>
    <t>NISSAN TERRANO MK2 1993-2004  СТ ПЕР ДВ ОП ПР ЗЛ+УО/FORD MAVERICK + 1993-1999  СТ ПЕР ДВ ОП ПР ЗЛ+УО</t>
  </si>
  <si>
    <t>NISSAN TERRANO MK2 1993-2004  СТ ЗАДН ДВ ОП ПР ЗЛ+УО/FORD MAVERICK 1993-1999  СТ ЗАДН ДВ ОП ПР ЗЛ+УО</t>
  </si>
  <si>
    <t>NISSAN TERRANO MK2 5Д 1993-2004  СТ БОК НЕП ПР ЗЛ/FORD MAVERICK 5D 1993-2004- СТ БОК НЕП ПР ЗЛ</t>
  </si>
  <si>
    <t>TIIDA 2004-</t>
  </si>
  <si>
    <t>NISSAN TIIDA ХБ СД 2004- СТ ВЕТР ЗЛ+VIN</t>
  </si>
  <si>
    <t>NISSAN TIIDA ХБ СД 06/2007- СТ ВЕТР ЗЛ+ДД</t>
  </si>
  <si>
    <t>NISSAN TIIDA ХБ СД 2004- СТ ВЕТР ЗЛ+ДД+VIN</t>
  </si>
  <si>
    <t>NISSAN TIIDA ХБ 5Д 06/2007- СТ ЗАДН ЗЛ+УО</t>
  </si>
  <si>
    <t>NISSAN TIIDA ХБ СД 06/2007- СТ ЗАДН  ЗЛ+УО</t>
  </si>
  <si>
    <t>NISSAN TIIDA ХБ СД 06/2007- СТ ПЕР ДВ ОП ЛВ ЗЛ+УО</t>
  </si>
  <si>
    <t>NISSAN TIIDA ХБ СД 06/2007- СТ ЗАДН ДВ ОП ЛВ ЗЛ+УО</t>
  </si>
  <si>
    <t>NISSAN TIIDA ХБ СД 06/2007- СТ ПЕР ДВ ОП ПР  ЗЛ+УО</t>
  </si>
  <si>
    <t>NISSAN TIIDA ХБ СД 06/2007- СТ ЗАДН ДВ ОП ПР ЗЛ+УО</t>
  </si>
  <si>
    <t>URVAN (E23) 1981-1987</t>
  </si>
  <si>
    <t>1981-1987</t>
  </si>
  <si>
    <t>NISSAN URVAN (E23) 1981-1987 СТ ВЕТР</t>
  </si>
  <si>
    <t>NISSAN URVAN (E23) 1981-1987 РЕЗ ПРОФ ДЛЯ СТ ВЕТР</t>
  </si>
  <si>
    <t>URVAN (E24) 1987-</t>
  </si>
  <si>
    <t>NISSAN URVAN (E24) 1987- СТ ВЕТР ГЛ</t>
  </si>
  <si>
    <t>NISSAN URVAN (E24) 1987- СТ ВЕТР</t>
  </si>
  <si>
    <t>NISSAN URVAN (E24) 1987- СТ ПЕР ДВ ОП ЛВ</t>
  </si>
  <si>
    <t>NISSAN URVAN (E24) 1987- СТ ПЕР ДВ ОП ПР</t>
  </si>
  <si>
    <t>VANETTA HIGH ROOF 1984-1987</t>
  </si>
  <si>
    <t>NISSAN VANETTA HIGH ROOF 1984-1987 СТ ВЕТР</t>
  </si>
  <si>
    <t>VANETTE C220 1987-1995</t>
  </si>
  <si>
    <t>1987-1995</t>
  </si>
  <si>
    <t>NISSAN VANETTE C220 1987-1995 СТ ВЕТР</t>
  </si>
  <si>
    <t>X-TRAIL 2001-2007</t>
  </si>
  <si>
    <t>NISSAN X-TRAIL 2001-2007 СТ ВЕТР ЗЛ</t>
  </si>
  <si>
    <t>NISSAN X-TRAIL 2001-2007 СТ ВЕТР ЗЛСР</t>
  </si>
  <si>
    <t>NISSAN X-TRAIL 2001-2007 СТ ВЕТР ЗЛГЛ</t>
  </si>
  <si>
    <t>NISSAN X-TRAIL 2001-2007 МОЛД  ДЛЯ СТ ВЕТР</t>
  </si>
  <si>
    <t>NISSAN X-TRAIL 2001-2007 СТ ПЕР ДВ ОП ЛВ ЗЛ+УО/NISSAN X TRAIL 2001-2007  СТ ПЕР ДВ ОП ЛВ ЗЛ+УО</t>
  </si>
  <si>
    <t>NISSAN X-TRAIL 2001-2007 СТ ЗАДН ДВ ОП ЛВ+УО</t>
  </si>
  <si>
    <t>NISSAN X-TRAIL 2001-2007 СТ ПЕР ДВ ОП ПР ЗЛ+УО/NISSAN X TRAIL 2001-2007  СТ ПЕР ДВ ОП ПР ЗЛ+УО</t>
  </si>
  <si>
    <t>NISSAN X-TRAIL 2001-2007 СТ ЗАДН ДВ ОП ПР ЗЛ+УО</t>
  </si>
  <si>
    <t>X-TRAIL 2007-</t>
  </si>
  <si>
    <t>NISSAN X-TRAIL 2007- СТ ВЕТР ЗЛ АКУСТИК+ДД</t>
  </si>
  <si>
    <t>NISSAN X-TRAIL 2007- СТ ВЕТР ЗЛ+ДД</t>
  </si>
  <si>
    <t>NISSAN  X-TRAIL 07 СТ ВЕТР  ЗЛ АКУСТИК  ДД</t>
  </si>
  <si>
    <t>NISSAN X-TRAIL 07 ВН 5ДВ СТ ПЕР ДВ ОП ПР ЗЛ</t>
  </si>
  <si>
    <t>NISSAN X-TRAIL 07 ВН 5ДВ СТ ПЕР ДВ ОП ЛВ ЗЛ</t>
  </si>
  <si>
    <t>NISSAN X-TRAIL 07 ВН 5ДВ СТ ЗАДН ДВ ОП ПР ЗЛ</t>
  </si>
  <si>
    <t>NISSAN X-TRAIL 07 ВН 5ДВ СТ ЗАДН ДВ ОП ЛВ ЗЛ</t>
  </si>
  <si>
    <t>NISSAN X-TRAIL 07 ВН 5ДВ СТ ЗАДН ДВ ОП ПР СР</t>
  </si>
  <si>
    <t>NISSAN X-TRAIL 07 ВН 5ДВ СТ ЗАДН ДВ ОП ЛВ СР</t>
  </si>
  <si>
    <t>NISSAN X-TRAIL 2007- СТ ВЕТР ЗЛ</t>
  </si>
  <si>
    <t>NISSAN X-TRAIL 2007- Молдинг ветрового стекла</t>
  </si>
  <si>
    <t>NISSAN X-TRAIL ВН 07- СТ ЗАДН ЗЛ</t>
  </si>
  <si>
    <t>OPEL</t>
  </si>
  <si>
    <t>AGILA / SUZUKI WAGON R+1999-</t>
  </si>
  <si>
    <t>OPEL AGILA /SUZUKI WAGON R+1999- СТ ВЕТР/SUZUKI WAGON R+ 2000-  СТ ВЕТР</t>
  </si>
  <si>
    <t>OPEL AGILA /SUZUKI WAGON R+1999- СТ ВЕТР ЗЛ/SUZUKI WAGON R+ 2000-  СТ ВЕТР ЗЛ</t>
  </si>
  <si>
    <t>OPEL AGILA 07/2003- СТ ВЕТР ЗЛ+ВОЗН ШЕЛК</t>
  </si>
  <si>
    <t>OPEL AGILA 2000-  МОЛД  ДЛЯ СТ ВЕТР</t>
  </si>
  <si>
    <t>OPEL AGILA /SUZUKI WAGON R+ МИН 1999- СТ ЗАДН ЭО УО/SUZUKI WAGON  R+ 2000-  СТ ЗАДН+VIN+УО</t>
  </si>
  <si>
    <t>OPEL AGILA /SUZUKI WAGON R+ МИН 1999- СТ ЗАДН ЭО ЗЛ УО/SUZUKI WAGON  R+ 2000-  СТ ЗАДН ЗЛ+VIN+УО</t>
  </si>
  <si>
    <t>OPEL AGILA /SUZUKI WAGON R+1999- СТ ПЕР ДВ ОП ЛВ УО/SUZUKI WAGON  R+ 2000-  СТ ПЕР ДВ ОП ЛВ+ФИТ</t>
  </si>
  <si>
    <t>OPEL AGILA /SUZUKI WAGON R+1999- СТ ПЕР ДВ НЕП ЛВ/SUZUKI WAGON  R+ 2000-  СТ ФОРТ ПЕР НЕП ЛВ</t>
  </si>
  <si>
    <t>OPEL AGILA /SUZUKI WAGON R+1999- СТ ЗАДН ДВ ОП ЛВ УО/SUZUKI WAGON  R+ 2000-  СТ ЗАДН ДВ ОП ЛВ+ФИТ</t>
  </si>
  <si>
    <t>OPEL AGILA /SUZUKI WAGON R+1999- СТ БОК НЕП ЛВ+ИНК/SUZUKI WAGON  R+ 2000-  СТ БОК НЕП ЛВ +ИНК</t>
  </si>
  <si>
    <t>OPEL AGILA /SUZUKI WAGON R+1999- СТ ПЕР ДВ ОП ЛВ ЗЛ УО/SUZUKI WAGON  R+ 2000-  СТ ПЕР ДВ ОП ЛВ ЗЛ+УО</t>
  </si>
  <si>
    <t>OPEL AGILA /SUZUKI WAGON R+1999- СТ ПЕР ДВ НЕП ЛВ ЗЛ/SUZUKI WAGON  R+ 2000-  СТ ФОРТ ПЕР НЕП ЛВ ЗЛ</t>
  </si>
  <si>
    <t>OPEL AGILA /SUZUKI WAGON R+1999- СТ ЗАДН ДВ ОП ЛВ ЗЛ+УО/SUZUKI WAGON  R+ 2000-  СТ ЗАДН ДВ ОП ЛВ ЗЛ+УО</t>
  </si>
  <si>
    <t>OPEL AGILA /SUZUKI WAGON R+1999- СТ БОК НЕП ЛВ ЗЛ+ИНК/SUZUKI WAGON  R+ 2000-  СТ БОК НЕП ЛВ ЗЛ+ИНК</t>
  </si>
  <si>
    <t>OPEL AGILA /SUZUKI WAGON R+1999- СТ ПЕР ДВ ОП ПР УО/SUZUKI WAGON  R+ 2000-  СТ ПЕР ДВ ОП ПР+ФИТ</t>
  </si>
  <si>
    <t>OPEL AGILA /SUZUKI WAGON R+1999- СТ ПЕР ДВ НЕП ПР/SUZUKI WAGON  R+ 2000- СТ ФОРТ ПЕР ДВ НЕП ПР</t>
  </si>
  <si>
    <t>OPEL AGILA /SUZUKI WAGON R+1999- СТ ЗАДН ДВ ОП ПР УО/SUZUKI WAGON  R+ 2000- СТ ЗАДН ДВ ОП ПР+ФИТ</t>
  </si>
  <si>
    <t>OPEL AGILA /SUZUKI WAGON R+1999- СТ БОК НЕП ПР+ИНК/SUZUKI WAGON  R+ 2000- СТ БОК НЕП ПР +ИНК</t>
  </si>
  <si>
    <t>OPEL AGILA /SUZUKI WAGON R+1999- СТ ПЕР ДВ ОП ПР ЗЛ УО/SUZUKI WAGON  R+ 2000- СТ ПЕР ДВ ОП ПР ЗЛ+УО</t>
  </si>
  <si>
    <t>OPEL AGILA /SUZUKI WAGON R+1999- СТ ПЕР ДВ НЕП ПР ЗЛ/SUZUKI WAGON  R+ 2000- СТ ФОРТ ПЕР НЕП ПР ЗЛ</t>
  </si>
  <si>
    <t>OPEL AGILA /SUZUKI WAGON R+1999- СТ ЗАДН ДВ ОП ПР ЗЛ УО/SUZUKI WAGON  R+ 2000- СТ ЗАДН ДВ ОП ПР ЗЛ+УО</t>
  </si>
  <si>
    <t>OPEL AGILA /SUZUKI WAGON R+1999- СТ БОК НЕП ПР ЗЛ+ИНК/SUZUKI WAGON  R+ 2000- СТ БОК НЕП ПР ЗЛ+ИНК</t>
  </si>
  <si>
    <t>AGILA 2008-</t>
  </si>
  <si>
    <t>OPEL AGILA ХБ 2008- СТ ЗАДН ДВ ТЗЛ+УО+1 ОТВ</t>
  </si>
  <si>
    <t>OPEL AGILA ХБ 2008- СТ ЗАДН ДВ ЗЛ+УО</t>
  </si>
  <si>
    <t>ANTARA 2007-</t>
  </si>
  <si>
    <t>OPEL ANTARA 2007-  СТ ВЕТР ЗЛГЛ+ЭО+ДД+VIN</t>
  </si>
  <si>
    <t>OPEL ANTARA 2007-  СТ ВЕТР ЗЛГЛ+ДД+VIN</t>
  </si>
  <si>
    <t>OPEL ANTARA 2007-  МОЛД ДЛЯ СТ ВЕТР</t>
  </si>
  <si>
    <t>ARENA УН 1997-</t>
  </si>
  <si>
    <t>OPEL ARENA УН 1997- СТ ФОРТ ПЕР НЕП ЛВ/RENAULT TRAFIC VAN2D 81 СТ ФОР ПЕР ДВ ЛВ</t>
  </si>
  <si>
    <t>OPEL ARENA УН 1997- СТ ФОРТ ПЕР НЕП ПР/RENAULT TRAFIC VAN 2D 81  СТ ФОРТ ПЕР ДВ ПР</t>
  </si>
  <si>
    <t>ASCONA B / CAVALIER C 1981-1988</t>
  </si>
  <si>
    <t>1981-1988</t>
  </si>
  <si>
    <t>OPEL CAVALIER 1981-1988 СТ ВЕТР</t>
  </si>
  <si>
    <t>OPEL CAVALIER 1981-1988 СТ ВЕТР ЗЛГЛ</t>
  </si>
  <si>
    <t>OPEL CAVALIER 1981-1988 РЕЗ ПРОФ ДЛЯ СТ ВЕТР</t>
  </si>
  <si>
    <t>OPEL CAVALIER ХБ 1981-1988 СТ ЗАДН</t>
  </si>
  <si>
    <t>OPEL CAVALIER 1981-1988 СТ ПЕР ДВ ОП ЛВ</t>
  </si>
  <si>
    <t>OPEL CAVALIER 1981-1988 СТ ПЕР ДВ ОП ЛВ ЗЛ</t>
  </si>
  <si>
    <t>OPEL CAVALIER 1981-1988 СТ ФОРТ ЗАДН НЕП ПР</t>
  </si>
  <si>
    <t>OPEL CAVALIER 1981-1988 СТ ПЕР ДВ ОП ПР</t>
  </si>
  <si>
    <t>OPEL CAVALIER 1981-1988 СТ БОК НЕП ПР</t>
  </si>
  <si>
    <t>ASTRA 1991-1997</t>
  </si>
  <si>
    <t>OPEL ASTRA 1991-1995  СТ ВЕТР+КР</t>
  </si>
  <si>
    <t>OPEL ASTRA 03/1995-1997  СТ ВЕТР+ИЗМ КР+УО+ИЗМ КР</t>
  </si>
  <si>
    <t>OPEL ASTRA 1991-1995 СТ ВЕТР ЗЛГЛ+КР+УО</t>
  </si>
  <si>
    <t>OPEL ASTRA 03/1995-1997 СТ ВЕТР ЗЛГЛ+ИЗМ КР+УО+ИЗМ КР</t>
  </si>
  <si>
    <t>OPEL ASTRA 1991-1997  МОЛД  ДЛЯ СТ ВЕТР</t>
  </si>
  <si>
    <t>OPEL ASTRA УН 5Д 1991-1997  СТ ЗАДН ЭО</t>
  </si>
  <si>
    <t>OPEL ASTRA ХБ 1991-1997  СТ ЗАДН ЭО</t>
  </si>
  <si>
    <t>OPEL ASTRA УН 5Д 1991-1997  СТ ЗАДН ЭО ЗЛ</t>
  </si>
  <si>
    <t>OPEL ASTRA ХБ 1991-1997  СТ ЗАДН ЭО ЗЛ</t>
  </si>
  <si>
    <t>OPEL ASTRA СД 1991-1997  СТ ЗАДН ЭО ЗЛ</t>
  </si>
  <si>
    <t>OPEL ASTRA УН 1991-1997 МОЛД  ДЛЯ СТ ЗАДН</t>
  </si>
  <si>
    <t>OPEL ASTRA ХБ 1991-1997 МОЛД  ДЛЯ СТ ЗАДН</t>
  </si>
  <si>
    <t>OPEL ASTRA УН 5Д 1991-1997  СТ ЗАДН ДВ ОП ЛВ</t>
  </si>
  <si>
    <t>OPEL ASTRA УН 5Д 1991-1997  СТ ФОРТ ЗАДН НЕП ЛВ</t>
  </si>
  <si>
    <t>OPEL ASTRA ХБ СД 1991-1997  СТ ПЕР ДВ ОП ЛВ</t>
  </si>
  <si>
    <t>OPEL ASTRA ХБ+СД+УН 1991-1997  СТ ПЕР ДВ ОП ЛВ</t>
  </si>
  <si>
    <t>OPEL ASTRA УН 5Д 1991-1997  СТ ЗАДН ДВ ОП ЛВ ЗЛ</t>
  </si>
  <si>
    <t>OPEL ASTRA УН 1991-1997  СТ БОК НЕП ЛВ ЗЛ+ИНК</t>
  </si>
  <si>
    <t>OPEL ASTRA УН 5Д 1991-1997  СТ БОК НЕП ЛВ ЗЛ</t>
  </si>
  <si>
    <t>OPEL ASTRA ХБ СД 1991-1997  СТ ПЕР ДВ ОП ЛВ ЗЛ</t>
  </si>
  <si>
    <t>OPEL ASTRA ХБ+СД+УН 1991-1997 СТ ПЕР ДВ ОП ЛВ ЗЛ</t>
  </si>
  <si>
    <t>OPEL ASTRA ХБ+СД 1991-1997  СТ ЗАДН ДВ ОП ЛВ ЗЛ</t>
  </si>
  <si>
    <t>OPEL ASTRA УН 5Д 1991-1997  СТ ЗАДН ДВ ОП ПР</t>
  </si>
  <si>
    <t>OPEL ASTRA УН 5Д 1991-1997  СТ ФОРТ ЗАДН НЕП ПР</t>
  </si>
  <si>
    <t>OPEL ASTRA ХБ СД 1991-1997  СТ ПЕР ДВ ОП ПР</t>
  </si>
  <si>
    <t>OPEL ASTRA ХБ+СД+УН 1991-1997  СТ ПЕР ДВ ОП ПР</t>
  </si>
  <si>
    <t>OPEL ASTRA ХБ+СД 1991-1997  СТ ЗАДН ДВ ОП ПР</t>
  </si>
  <si>
    <t>OPEL ASTRA УН 5Д 1991-1997  СТ ЗАДН ДВ ОП ПР ЗЛ</t>
  </si>
  <si>
    <t>OPEL ASTRA УН 5Д 1991-1997  СТ БОК НЕП ПР ЗЛ</t>
  </si>
  <si>
    <t>OPEL ASTRA ХБ+СД 1991-1997  СТ ПЕР ДВ ОП ПР ЗЛ</t>
  </si>
  <si>
    <t>OPEL ASTRA ХБ+СД+УН 1991-1997 СТ ПЕР ДВ ОП ПР ЗЛ</t>
  </si>
  <si>
    <t>OPEL ASTRA ХБ+СД 1991-1997  СТ ЗАДН ДВ ОП ПР ЗЛ</t>
  </si>
  <si>
    <t>ASTRA КБ 1995-</t>
  </si>
  <si>
    <t>OPEL ASTRA КБ 1995- СТ ВЕТР ЗЛГЛ+ИЗМ КР</t>
  </si>
  <si>
    <t>OPEL ASTRA КБ 1995-  МОЛД  ДЛЯ СТ ВЕТР</t>
  </si>
  <si>
    <t>ASTRA G ХБ+СД+УН 1997-2004</t>
  </si>
  <si>
    <t>OPEL ASTRA G ХБ+СД+УН 1997-2004 / CHEVROLET VIVA 2004-2008 СТ ВЕТР</t>
  </si>
  <si>
    <t>OPEL ASTRA G ХБ+СД+УН 1997-2004 / CHEVROLET VIVA 2004-2008 СТ ВЕТР ЗЛ</t>
  </si>
  <si>
    <t>OPEL ASTRA G ХБ+СД+УН 1997-2004 / CHEVROLET VIVA 2004-2008СТ ВЕТР ЗЛ</t>
  </si>
  <si>
    <t>OPEL ASTRA G ХБ+СД+УН 1997-2004 / CHEVROLET VIVA 2004-2008 СТ ВЕТР ЗЛГЛ</t>
  </si>
  <si>
    <t>OPEL ASTRA G ХБ+СД+УН 1997-2004 /CHEVROLET VIVA 2004-2008 СТ ВЕТР ЗЛ+ДД</t>
  </si>
  <si>
    <t>OPEL ASTRA G 1997-2004 ХБ НАБОР КЛИПС ДЛЯ СТ ВЕТР</t>
  </si>
  <si>
    <t>OPEL ASTRA G 1997-2004  КЛИПСЫ 6 ШТ.</t>
  </si>
  <si>
    <t>OPEL ASTRA G 1997-2004  УСТ КОМПЛ ДЛЯ СТ ВЕТР ВЕРХ+НИЗ</t>
  </si>
  <si>
    <t>OPEL ASTRA G 1997-2004  МОЛД  ДЛЯ СТ ВЕТР НИЖН ЖЕСТ</t>
  </si>
  <si>
    <t>OPEL ASTRA G 1997-2004  МОЛД  ДЛЯ СТ ВЕТР ВЕРХ ЖЕСТ</t>
  </si>
  <si>
    <t>OPEL ASTRA G 1997-2004 МОЛД  ДЛЯ СТ ВЕТР ВЕРХ</t>
  </si>
  <si>
    <t>OPEL ASTRA G УН 1997-2004 СТ ЗАДН ЭО ЗЛ 1 ОТВ</t>
  </si>
  <si>
    <t>OPEL ASTRA G СД 1997-2004 / CHEVROLET VIVA 2004-2008 СТ ЗАДН</t>
  </si>
  <si>
    <t>OPEL ASTRA G ХБ 1997-2004  СТ ЗАДН ДВ ЗЛ+ИНК</t>
  </si>
  <si>
    <t>OPEL ASTRA G СД 1997-2004 / CHEVROLET VIVA 2004-2008 СТ ЗАДН ЗЛ</t>
  </si>
  <si>
    <t>OPEL ASTRA G УН 1997-2004  МОЛД  ДЛЯ СТ ЗАДН</t>
  </si>
  <si>
    <t>OPEL ASTRA G 1997-2004  МОЛД  ДЛЯ СТ ЗАДН</t>
  </si>
  <si>
    <t>OPEL ASTRA G 5Д УН 1997-2004 СТ ЗАДН ДВ ОП ЛВ ЗЛ ФИТ</t>
  </si>
  <si>
    <t>OPEL ASTRA G 3Д ХБ 1997-2004 СТ ПЕР ДВ ОП ЛВ ЗЛ ФИТ</t>
  </si>
  <si>
    <t>OPEL ASTRA G ХБ+СД+УН 1997-2004 / CHEVROLET VIVA 2004-2008 СТ ПЕР ДВ ОП ЛВ ЗЛ ФИТ</t>
  </si>
  <si>
    <t>OPEL ASTRA G 5Д ХБ+4Д СД 1997-2004 / CHEVROLET VIVA 2004-2008 СТ ЗАДН ДВ ОП ЛВ ЗЛ+ФИТ</t>
  </si>
  <si>
    <t>OPEL ASTRA G 5Д ХБ+4Д СД 1997-2004 / CHEVROLET VIVA 2004-2008 СТ БОК НЕП ЛВ ЗЛ</t>
  </si>
  <si>
    <t>OPEL ASTRA G 5Д УН 1997-2004 СТ ЗАДН ДВ ОП ПР ЗЛ ФИТ</t>
  </si>
  <si>
    <t>OPEL ASTRA G 5Д УН 1997-2004  СТ ФОРТ НЕП ЗЛ ПР</t>
  </si>
  <si>
    <t>OPEL ASTRA G 3Д ХБ 1997-2004 СТ ПЕР ДВ ОП ПР ЗЛ ФИТ</t>
  </si>
  <si>
    <t>OPEL ASTRA G ХБ+СД+УН 1997-2004/ CHEVROLET VIVA 2004-2008 СТ ПЕР ДВ ОП ПР+УО</t>
  </si>
  <si>
    <t>OPEL ASTRA G 5Д ХБ+4Д СД 1997-2004  / CHEVROLET VIVA 2004-2008 СТ ЗАДН ДВ ОП ПР ЗЛ+ФИТ</t>
  </si>
  <si>
    <t>OPEL ASTRA G 5Д ХБ+4Д СД 1997-2004 / CHEVROLET VIVA 2004-2008 СТ БОК НЕП ПР ЗЛ</t>
  </si>
  <si>
    <t>ASTRA КП 2000- /КБ 2001-</t>
  </si>
  <si>
    <t>OPEL  ASTRA КП 2000- /КБ 2001- СТ ВЕТР ТЕПЛООТР</t>
  </si>
  <si>
    <t>OPEL ASTRA КП+КБ 2003- СТ ВЕТР ЗЛ</t>
  </si>
  <si>
    <t>ASTRA H 3Д ХБ 2005-</t>
  </si>
  <si>
    <t>OPEL  ASTRA H 3Д ХБ GTC 2005- СТ ВЕТР ЗЛ+ДД+VIN+ИНК</t>
  </si>
  <si>
    <t>OPEL  ASTRA H 3Д ХБ GTC 2005- СТ ВЕТР ЗЛ+VIN+ИНК</t>
  </si>
  <si>
    <t>OPEL  ASTRA H 3Д ХБ GTC 2005- СТ ЗАДН ДВ ЗЛ+ИНК</t>
  </si>
  <si>
    <t>OPEL  ASTRA H 3Д ХБ GTC 2005- СТ ПЕР ДВ ОП ЛВ ЗЛ+УО</t>
  </si>
  <si>
    <t>OPEL  ASTRA H 3Д ХБ GTC 2005- СТ ПЕР ДВ ОП ПР ЗЛ+УО</t>
  </si>
  <si>
    <t>ASTRA H 5Д ХБ+УН+СД 2004-</t>
  </si>
  <si>
    <t>OPEL ASTRA H ХБ+УН+СД 2004-2005  СТ ВЕТР ЗЛГЛ+VIN+ИНК</t>
  </si>
  <si>
    <t>OPEL ASTRA H ХБ+УН+СД 12/2005- СТ ВЕТР ЗЛГЛ+VIN+ИНК</t>
  </si>
  <si>
    <t>OPEL ASTRA H ХБ+УН+СД 2004- СТ ВЕТР ЗЛ+ДД+VIN+ДД+ИЗМ ШЕЛК</t>
  </si>
  <si>
    <t>OPEL ASTRA H ХБ+УН+СД 2004-2005 СТ ВЕТР ЗЛ+VIN+ИНК</t>
  </si>
  <si>
    <t>OPEL ASTRA H ХБ+УН+СД 12/2005- СТ ВЕТР ЗЛ +VIN+ИНК+ИЗМ КР</t>
  </si>
  <si>
    <t>OPEL ASTRA H УН 2004- СТ ЗАДН ДВ ТЗЛ+ИНК</t>
  </si>
  <si>
    <t>OPEL ASTRA H УН 12/2005- СТ ЗАДН ЗЛ</t>
  </si>
  <si>
    <t>OPEL ASTRA H УН 2004- СТ ЗАДН ДВ ЗЛ+ИНК</t>
  </si>
  <si>
    <t>OPEL ASTRA H ХБ 12/2005- СТ ЗАДН ЗЛ+ИНК</t>
  </si>
  <si>
    <t>VAUX/OPEL ASTRA H ХБК2004- СТ ЗАДН ДВ ЗЛ</t>
  </si>
  <si>
    <t>OPEL ASTRA H УН 2004- СТ ЗАДН ДВ ОП ЛВ ТЗЛ+УО</t>
  </si>
  <si>
    <t>OPEL ASTRA H УН 2004- СТ ФОРТ НЕП ЛВ ТЗЛ</t>
  </si>
  <si>
    <t>OPEL ASTRA H УН 2004-  СТ ЗАДН ДВ ОП ЛВ ЗЛ+УО</t>
  </si>
  <si>
    <t>OPEL ASTRA H УН 2004- СТ ФОРТ НЕП ЛВ ЗЛ</t>
  </si>
  <si>
    <t>OPEL ASTRA H ХБ+УН 2004- СТ ПЕР ДВ ОП ЛВ ЗЛ+ФИТ</t>
  </si>
  <si>
    <t>OPEL ASTRA H ХБ 2004- СТ ЗАДН ОП ЛВ ЗЛ</t>
  </si>
  <si>
    <t>OPEL ASTRA H ХБ 2004- СТ ФОРТ ЗАДН НЕП ЛВ ЗЛ</t>
  </si>
  <si>
    <t>OPEL ASTRA H УН 2004-  СТ ЗАДН ДВ ОП ПР ТЗЛ+УО</t>
  </si>
  <si>
    <t>OPEL ASTRA H УН 2004-  СТ ЗАДН ДВ ОП ПР ЗЛ+УО</t>
  </si>
  <si>
    <t>OPEL ASTRA H УН 2004- СТ ФОРТ НЕП ПР ЗЛ</t>
  </si>
  <si>
    <t>OPEL ASTRA H 2004- ХБ 5Д СТ ПЕР ДВ ОП ПР ЗЛ</t>
  </si>
  <si>
    <t>OPEL ASTRA H ХБ 2004- СТ ЗАДН ОП ПР ЗЛ+УО</t>
  </si>
  <si>
    <t>OPEL ASTRA H ХБ 2004- СТ ФОРТ ЗАДН НЕП ПР ЗЛ</t>
  </si>
  <si>
    <t>ASTRA 09-</t>
  </si>
  <si>
    <t>OPEL ASTRA 09- СТ ВЕТР ЗЛ+ДД+VIN+УО+ИНК</t>
  </si>
  <si>
    <t>OPEL ASTRA 09- СТ ВЕТР ЗЛ+VIN+УО+ИНК</t>
  </si>
  <si>
    <t>ASTRA TWIN-TOP 2006-</t>
  </si>
  <si>
    <t>OPEL ASTRA TWIN-TOP 2006- СТ ВЕТР ЗЛ+VIN+ИНК</t>
  </si>
  <si>
    <t>OPEL BRAVA 1988-  СТ ВЕТР/ISUZU AMIGO/RODEO/CAMPO 1988-09/1993 СТ ВЕТР</t>
  </si>
  <si>
    <t>CALIBRA 1990-1996</t>
  </si>
  <si>
    <t>OPEL CALIBRA КП 1990-1994 СТ ВЕТР ЗЛГЛ</t>
  </si>
  <si>
    <t>OPEL CALIBRA КП 1994-1996  СТ ВЕТР ЗЛГЛ ИЗМ КР</t>
  </si>
  <si>
    <t>OPEL CALIBRA КП 1990-1996  МОЛД  ДЛЯ СТ ВЕТР</t>
  </si>
  <si>
    <t>OPEL CALIBRA КП 1990-1994  СТ ЗАДН ЗЛ+ИНК</t>
  </si>
  <si>
    <t>CHEVETTE СД+ХБ+УН 1975-1980</t>
  </si>
  <si>
    <t>1975-1980</t>
  </si>
  <si>
    <t>OPEL CHEVETTE СД+ХБ+УН 1975-1980 СТ ВЕТР</t>
  </si>
  <si>
    <t>COMBO 2001-</t>
  </si>
  <si>
    <t>OPEL COMBO 2001- СТ ВЕТР ЗЛ</t>
  </si>
  <si>
    <t>OPEL COMBO 2001- СТ ВЕТР ЗЛГЛ</t>
  </si>
  <si>
    <t>OPEL COMBO 2001- МОЛД  ДЛЯ СТ ВЕТР ВЕРХ</t>
  </si>
  <si>
    <t>OPEL COMBO МИН 2001- СТ ЗАДН ЛВ ЗЛ+СТОП</t>
  </si>
  <si>
    <t>OPEL COMBO МИН 2001- СТ ЗАДН ПР ЗЛ+СТОП</t>
  </si>
  <si>
    <t>CORSA A 1983-1992</t>
  </si>
  <si>
    <t>OPEL CORSA A 1983-1992 СТ ВЕТР</t>
  </si>
  <si>
    <t>OPEL CORSA A 1983-1992 СТ ВЕТР ЗЛГЛ</t>
  </si>
  <si>
    <t>OPEL CORSA A 1983-1992 СТ ВЕТР ЗЛЗЛ</t>
  </si>
  <si>
    <t>OPEL CORSA A 1982-1992 РЕЗ ПРОФ ДЛЯ СТ ВЕТР</t>
  </si>
  <si>
    <t>OPEL CORSA A ХБ 1983-1992 СТ ЗАДН ЭО</t>
  </si>
  <si>
    <t>OPEL CORSA A ХБ 1983-1992 СТ ПЕР ДВ ОП ЛВ</t>
  </si>
  <si>
    <t>OPEL CORSA A ХБ 1983-1992 СТ ФОРТ ПЕР ДВ ЛВ</t>
  </si>
  <si>
    <t>OPEL CORSA A ХБ 1983-1992 СТ БОК НЕП ЛВ</t>
  </si>
  <si>
    <t>OPEL CORSA A ХБ 1983-1992 СТ ФОРТ ПЕР ДВ ЛВ ЗЛ</t>
  </si>
  <si>
    <t>OPEL CORSA A ХБ 1983-1992 СТ ПЕР ДВ ОП ЛВ ЗЛ</t>
  </si>
  <si>
    <t>OPEL CORSA A ХБ 1983-1992 СТ ПЕР ДВ ОП ПР</t>
  </si>
  <si>
    <t>OPEL CORSA A ХБ 1983-1992 СТ ФОРТ ПЕР ДВ ПР</t>
  </si>
  <si>
    <t>OPEL CORSA A ХБ 1983-1992 СТ БОК ПР</t>
  </si>
  <si>
    <t>OPEL CORSA A ХБ 1983-1992 СТ БОК НЕП ПР</t>
  </si>
  <si>
    <t>OPEL CORSA A ХБ 1983-1992 СТ ФОРТ ПЕР ДВ ПР ЗЛ</t>
  </si>
  <si>
    <t>OPEL CORSA A ХБ 1983-1992 СТ ПЕР ДВ ОП ПР ЗЛ</t>
  </si>
  <si>
    <t>CORSA B/COMBO 1993-2000</t>
  </si>
  <si>
    <t>OPEL CORSA B/COMBO 1993-2000  СТ ВЕТР</t>
  </si>
  <si>
    <t>OPEL CORSA B/COMBO 1993-2000  СТ ВЕТР ЗЛ</t>
  </si>
  <si>
    <t>OPEL CORSA B/COMBO 1993-2000  СТ ВЕТР ЗЛГЛ</t>
  </si>
  <si>
    <t>OPEL CORSA B/COMBO 1993-2000  СТ ВЕТР ЗЛЗЛ КР</t>
  </si>
  <si>
    <t>OPEL CORSA B/COMBO 1993-2000  МОЛД  ДЛЯ СТ ВЕТР</t>
  </si>
  <si>
    <t>OPEL CORSA B/COMBO 3Д ХБ 1993-2000 СТ ЗАДН ЭО</t>
  </si>
  <si>
    <t>OPEL CORSA B/COMBO 5Д ХБ 1993-2000 СТ ЗАДН ЭО+ИЗМ РАЗМ</t>
  </si>
  <si>
    <t>OPEL CORSA B/COMBO МИН 1993-2000  СТ ЗАДН ЛВ</t>
  </si>
  <si>
    <t>OPEL CORSA B/COMBO МИН 1993-2000  СТ ЗАДН ЛВ Б/ЭО</t>
  </si>
  <si>
    <t>OPEL CORSA B/COMBO МИН 1993-2001  СТ ЗАДН ПР Б/ЭО</t>
  </si>
  <si>
    <t>OPEL CORSA B/COMBO 3Д ХБ 1993-2000 СТ ЗАДН ЭО ЗЛ</t>
  </si>
  <si>
    <t>OPEL CORSA B/COMBO 3Д ХБ 1993-2000 СТ ЗАДН ЗЛ+СТОП</t>
  </si>
  <si>
    <t>OPEL CORSA B/COMBO 5Д ХБ 1993-2000 СТ ЗАДН ЭО ЗЛ+ИЗМ РАЗМ</t>
  </si>
  <si>
    <t>OPEL CORSA B/COMBO МИН 1993-2000 СТ ЗАДН ПР ЗЛ</t>
  </si>
  <si>
    <t>OPEL CORSA B/COMBO 3Д 1993-2001  МОЛД  ДЛЯ СТ ЗАДН</t>
  </si>
  <si>
    <t>OPEL CORSA B/COMBO 1993-2001 РЕЗ ПРОФ ДЛЯ СТ ЗАДН ПР ЛВ</t>
  </si>
  <si>
    <t>OPEL CORSA B/COMBO 3Д СТ ПЕР ДВ ОП ЛВ</t>
  </si>
  <si>
    <t>OPEL CORSA B/COMBO 3Д СТ БОК НЕП ЛВ</t>
  </si>
  <si>
    <t>OPEL CORSA B/COMBO 5Д СТ ПЕР ДВ ОП ЛВ</t>
  </si>
  <si>
    <t>OPEL CORSA B/COMBO 5Д СТ ЗАДН ДВ ОП ЛВ</t>
  </si>
  <si>
    <t>OPEL CORSA B/COMBO 3Д СТ ПЕР ДВ ОП ЛВ ЗЛ</t>
  </si>
  <si>
    <t>OPEL CORSA B/COMBO 3Д СТ БОК ЛВ ЗЛ</t>
  </si>
  <si>
    <t>OPEL CORSA B/COMBO 5Д СТ ПЕР ДВ ОП ЛВ ЗЛ</t>
  </si>
  <si>
    <t>OPEL CORSA B/COMBO 5Д СТ ЗАДН ДВ ОП ЛВ ЗЛ</t>
  </si>
  <si>
    <t>OPEL CORSA B/COMBO 3Д СТ ПЕР ДВ ОП ПР</t>
  </si>
  <si>
    <t>OPEL CORSA B/COMBO 3Д СТ БОК ПР</t>
  </si>
  <si>
    <t>OPEL CORSA B/COMBO 5Д СТ ПЕР ДВ ОП ПР</t>
  </si>
  <si>
    <t>OPEL CORSA B/COMBO 5Д СТ ЗАДН ДВ ОП ПР</t>
  </si>
  <si>
    <t>OPEL CORSA B/COMBO 3Д СТ ПЕР ДВ ОП ПР ЗЛ</t>
  </si>
  <si>
    <t>OPEL CORSA B/COMBO 3Д СТ БОК НЕП ПР ЗЛ</t>
  </si>
  <si>
    <t>OPEL CORSA B/COMBO 5Д СТ ПЕР ДВ ОП ПР ЗЛ</t>
  </si>
  <si>
    <t>OPEL CORSA B/COMBO 5Д СТ ЗАДН ДВ ОП ПР ЗЛ</t>
  </si>
  <si>
    <t>CORSA C 2000-2006</t>
  </si>
  <si>
    <t>OPEL CORSA C 2000-2006 СТ ВЕТР ЗЛ</t>
  </si>
  <si>
    <t>OPEL CORSA C 3Д+5Д 2000-2006  СТ ВЕТР ЗЛГЛ</t>
  </si>
  <si>
    <t>OPEL CORSA C 3Д+5Д 2000-2006 СТ ВЕТР ЗЛ+ДД</t>
  </si>
  <si>
    <t>OPEL CORSA C 2000-2006 СТ ВЕТР ТЕПЛООТ ПРГЛ+ДД</t>
  </si>
  <si>
    <t>OPEL CORSA C 2000-2006 НАБ МОЛД ДЛЯ СТ ВЕТР ВЕРХ+НИЗ</t>
  </si>
  <si>
    <t>OPEL CORSA C 2000-2006 МОЛД  ДЛЯ СТ ВЕТР НИЖ</t>
  </si>
  <si>
    <t>OPEL CORSA C 2000-2006  МОЛД ДЛЯ СТ ВЕТР ЛВ</t>
  </si>
  <si>
    <t>OPEL CORSA C 2000-2006  МОЛД ДЛЯ СТ ВЕТР ПР</t>
  </si>
  <si>
    <t>OPEL CORSA C 2000-2006  МОЛД  ДЛЯ СТ ВЕТР ВЕРХ</t>
  </si>
  <si>
    <t>OPEL CORSA C ХБ 5Д ХБ 2000-2006  СТ ЗАДН ЗЛ</t>
  </si>
  <si>
    <t>OPEL CORSA C ХБ 3Д 2000-2006 СТ ПЕР ДВ ОП ЛВ ЗЛ</t>
  </si>
  <si>
    <t>OPEL CORSA C ХБ 3Д 2000-2006  СТ БОК НЕП ЛВ ЗЛ</t>
  </si>
  <si>
    <t>OPEL CORSA C ХБ 5Д 2000-2006 СТ ПЕР ДВ ОП ЛВ ЗЛ</t>
  </si>
  <si>
    <t>OPEL CORSA C ХБ 5Д 2000-2006 СТ ЗАДН ДВ ОП ЛВ ЗЛ</t>
  </si>
  <si>
    <t>OPEL CORSA C ХБ 5Д 2000-2006 СТ ЗАДН НЕП ЗЛ+ИНК</t>
  </si>
  <si>
    <t>OPEL CORSA C ХБ 3Д 2000-2006 СТ ПЕР ДВ ОП ПР ЗЛ</t>
  </si>
  <si>
    <t>OPEL CORSA C ХБ 3Д 2000-2006  СТ БОК НЕП ПР ЗЛ</t>
  </si>
  <si>
    <t>OPEL CORSA C ХБ 5Д 2000-2006 СТ ПЕР ДВ ОП ПР ЗЛ</t>
  </si>
  <si>
    <t>OPEL CORSA C ХБ 5Д 2000-2006 СТ ЗАДН ДВ ОП ПР ЗЛ</t>
  </si>
  <si>
    <t>OPEL CORSA C ХБ 5Д 2000-2006 СТ БОК НЕП ПР ЗЛ ИНК</t>
  </si>
  <si>
    <t>CORSA D 2007-</t>
  </si>
  <si>
    <t>OPEL CORSA D 2007-  СТ ВЕТР ЗЛ+ДД+VIN+ИНК</t>
  </si>
  <si>
    <t>OPEL CORSA D 2007- СТ ВЕТР ЗЛ+ДД+VIN+УО+ИНК+ИЗМ ШЕЛК</t>
  </si>
  <si>
    <t>OPEL CORSA D 2007-  СТ ВЕТР ЗЛ+VIN+ИНК</t>
  </si>
  <si>
    <t>OPEL CORSA D 2007- СТ ВЕТР ЗЛ+VIN+ДО+ИНК</t>
  </si>
  <si>
    <t>OPEL CORSA D 3Д ХБ 2007-  СТ ЗАДН ДВ ЗЛ</t>
  </si>
  <si>
    <t>OPEL CORSA D 5Д ХБ 2007-  СТ ЗАДН ДВ ЗЛ+ИЗМ РАЗМ</t>
  </si>
  <si>
    <t>OPEL CORSA D 3Д 2007-  СТ ПЕР ДВ ОП ЛВ ЗЛ</t>
  </si>
  <si>
    <t>OPEL CORSA D 5Д 2007-  СТ ПЕР ДВ ОП ЛВ ЗЛ</t>
  </si>
  <si>
    <t>OPEL CORSA D 5Д 2007-  СТ ЗАДН ДВ ОП ЛВ ЗЛ</t>
  </si>
  <si>
    <t>OPEL CORSA D 3Д 2007-  СТ ПЕР ДВ ОП ПР ЗЛ</t>
  </si>
  <si>
    <t>OPEL CORSA D 5Д 2007-  СТ ПЕР ДВ ОП ПР ЗЛ</t>
  </si>
  <si>
    <t>OPEL CORSA D 5Д 2007-  СТ ЗАДН ДВ ОП ПР ЗЛ</t>
  </si>
  <si>
    <t>FRONTERA 1991-1998</t>
  </si>
  <si>
    <t>OPEL FRONTERA 1991-1998 СТ ВЕТР ЗЛ</t>
  </si>
  <si>
    <t>OPEL FRONTERA 1991-1998 СТ ВЕТР ЗЛГЛ КР</t>
  </si>
  <si>
    <t>OPEL FRONTERA 1991-1998 СТ ВЕТР ЗЛЗЛ</t>
  </si>
  <si>
    <t>OPEL FRONTERA 1991-1998 УСТ КОМПЛ ДЛЯ СТ ВЕТР ВЕРХ ЛВ+ПР</t>
  </si>
  <si>
    <t>OPEL FRONTERA 1991-1998 МОЛД  ДЛЯ СТ ВЕТР ВЕРХ</t>
  </si>
  <si>
    <t>OPEL FRONTERA 3Д+5Д 1991-1998 СТ ПЕР ДВ ОП ЛВ ЗЛ ФИТ</t>
  </si>
  <si>
    <t>OPEL FRONTERA 3Д 1991-1998 СТ БОК НЕП ЛВ ЗЛ ОТКР</t>
  </si>
  <si>
    <t>OPEL FRONTERA 1991-1998 СТ ЗАДН ДВ ОП ЛВ ЗЛ+УО</t>
  </si>
  <si>
    <t>OPEL FRONTERA 3Д+5Д 1991-1998 СТ ПЕР ДВ ОП ПР ЗЛ ФИТ</t>
  </si>
  <si>
    <t>OPEL FRONTERA 3Д 1991-1998 СТ БОК НЕП ПР ЗЛ ОТКР</t>
  </si>
  <si>
    <t>OPEL FRONTERA 5Д 1991-1998 СТ ЗАДН ДВ ОП ПР ЗЛ+УО</t>
  </si>
  <si>
    <t>FRONTERA 2Д+4Д 1998-</t>
  </si>
  <si>
    <t>OPEL FRONTERA 1998- СТ ВЕТР ЗЛГЛ+VIN</t>
  </si>
  <si>
    <t>OPEL FRONTERA 1998- СТ ВЕТР ЗЛ  +VIN</t>
  </si>
  <si>
    <t>OPEL FRONTERA 1998- МОЛД  ДЛЯ СТ ВЕТР ВЕРХ</t>
  </si>
  <si>
    <t>OPEL FRONTERA 1998- СТ ПЕР ДВ ОП ЛВ ЗЛ+УО</t>
  </si>
  <si>
    <t>OPEL FRONTERA 1998- СТ ЗАДН ДВ ОП ЛВ ЗЛ+УО</t>
  </si>
  <si>
    <t>OPEL FRONTERA 1998- СТ ПЕР ДВ ОП ПР ЗЛ+УО</t>
  </si>
  <si>
    <t>OPEL FRONTERA 1998- СТ ЗАДН ДВ ОП ПР ЗЛ+УО</t>
  </si>
  <si>
    <t>INSIGNIA LHD 2008-</t>
  </si>
  <si>
    <t>OPEL INSIGNIA LHD 2008- СТ ВЕТР+ДД+VIN</t>
  </si>
  <si>
    <t>OPEL INSIGNIA LHD 2008- СТ ВЕТР ЗЛ+ДД+VIN</t>
  </si>
  <si>
    <t>OPEL INSIGNIA ХБ 2008- СТ ЗАДН ЗЛ+АНТ+ТВ А</t>
  </si>
  <si>
    <t>OPEL INSIGNIA УН 2008- СТ ЗАДН ТЗЛ+УО+ИНК</t>
  </si>
  <si>
    <t>OPEL INSIGNIA EST 08- СТ ЗАДН ЗЛ+ДО+ИНК</t>
  </si>
  <si>
    <t>KADETT D / ASTRA 1979-1983</t>
  </si>
  <si>
    <t>1979-1983</t>
  </si>
  <si>
    <t>OPEL KADETT D / ASTRA 1979-1983 СТ ВЕТР БРГЛ</t>
  </si>
  <si>
    <t>OPEL KADETT D / ASTRA 1979-1983 СТ ВЕТР</t>
  </si>
  <si>
    <t>OPEL KADETT D / ASTRA 1979-1983 СТ ВЕТР ЗЛГЛ</t>
  </si>
  <si>
    <t>OPEL KADETT D / ASTRA 1979-1983 РЕЗ ПРОФ ДЛЯ СТ ВЕТР</t>
  </si>
  <si>
    <t>KADETT E 1983-1991</t>
  </si>
  <si>
    <t>OPEL KADETT E 1983-1991 СТ ВЕТР БРГЛ</t>
  </si>
  <si>
    <t>OPEL KADETT E 1983-1991 СТ ВЕТР</t>
  </si>
  <si>
    <t>OPEL KADETT E 1983-1991 СТ ВЕТР ЗЛГЛ</t>
  </si>
  <si>
    <t>OPEL KADETT E 1984-1991 МОЛД  ДЛЯ СТ ВЕТР</t>
  </si>
  <si>
    <t>OPEL KADETT E ХБ 1983-1991 СТ ЗАДН ДВ БР</t>
  </si>
  <si>
    <t>OPEL KADETT E УН 1983-1991 СТ ЗАДН ЭО</t>
  </si>
  <si>
    <t>OPEL KADETT E ХБ 1983-1991 СТ ЗАДН ЭО</t>
  </si>
  <si>
    <t>OPEL KADETT E ХБ 1983-1991 СТ ЗАДН ДВ ОТВ</t>
  </si>
  <si>
    <t>OPEL KADETT E СД 1983-1991 СТ ЗАДН ЭО/DAEWOO NEXIA 4D 95- СТ ЗАДН ЭО</t>
  </si>
  <si>
    <t>OPEL KADETT E УН 1983-1991 СТ ЗАДН ЭО ЗЛ</t>
  </si>
  <si>
    <t>OPEL KADETT E ХБ 1983-1991 СТ ЗАДН ЭО ЗЛ</t>
  </si>
  <si>
    <t>OPEL KADETT E ХБ 1983-1991 СТ ЗАДН ЭО ЗЛ ОТВ</t>
  </si>
  <si>
    <t>OPEL KADETT E СД 1983-1991 СТ ЗАДН ЭО ЗЛ/DAEWOO NEXIA 4Д 1995-  СТ ЗАДН ЗЛ</t>
  </si>
  <si>
    <t>OPEL KADETT E УН 1983-1992 МОЛД  ДЛЯ СТ ЗАДН</t>
  </si>
  <si>
    <t>OPEL KADETT E ХБ 1983-1992 МОЛД  ДЛЯ СТ ЗАДН</t>
  </si>
  <si>
    <t>OPEL KADETT УН 3Д+5Д 1983-1991 СТ БОК ЛВ</t>
  </si>
  <si>
    <t>OPEL KADETT E ХБ/УН 3Д 1983-1991 СТ ПЕР ДВ ОП ЛВ</t>
  </si>
  <si>
    <t>OPEL KADETT E 3Д 1983-1991 СТ БОК НЕП ЛВ</t>
  </si>
  <si>
    <t>OPEL KADETT E ХБ/УН 5Д+СД 1983-1991 СТ ПЕР ДВ ОП ЛВ/DAEWOO NEXIA 4Д/5Д 1995-  СТ ПЕР ДВ ОП ЛВ</t>
  </si>
  <si>
    <t>OPEL KADETT E ХБ 5Д 1983-1991 СТ ЗАДН ДВ ОП ЛВ</t>
  </si>
  <si>
    <t>OPEL KADETT E ХБ 5Д 1983-1991 СТ ЗАДН ДВ НЕД ЛВ</t>
  </si>
  <si>
    <t>OPEL KADETT E СД 1983-1991 СТ ФОРТ ЗАДН НЕП ЛВ/DAEWOO NEXIA 3Д 1995- ХБ 5Д СТ ФОРТ ЗАДН НЕП ЛВ</t>
  </si>
  <si>
    <t>OPEL KADETT E УН 1983-1991 СТ ЗАДН ДВ ОП ЛВ ЗЛ</t>
  </si>
  <si>
    <t>OPEL KADETT E ХБ/УН 3Д 1983-1991 СТ ПЕР ДВ ОП ЗЛ/DAEWOO NEXIA 1995- HB СТ ПЕР ДВ ОП ЛВ ЗЛ</t>
  </si>
  <si>
    <t>OPEL KADETT E ХБ 3Д 1983-1991 СТ БОК НЕП ЛВ ЗЛ</t>
  </si>
  <si>
    <t>OPEL KADETT E ХБ/УН 5Д+СД 1983-1991 СТ ПЕР ДВ ОП ЛВ ЗЛ/DAEWOO NEXIA 1995-  СТ ПЕР ДВ ОП ЛВ ЗЛ</t>
  </si>
  <si>
    <t>OPEL KADETT E 5Д 1983-1991 СТ ЗАДН ДВ ОП ЛВ ЗЛ</t>
  </si>
  <si>
    <t>OPEL KADETT E 5Д 1983-1991 СТ БОК НЕП ЛВ ЗЛ</t>
  </si>
  <si>
    <t>OPEL KADETT E СД 1983-1991 СТ ЗАДН ДВ ОП ЛВ ЗЛ/DAEWOO NEXIA 1995-  СТ ЗАДН ДВ ОП ЛВ ЗЛ</t>
  </si>
  <si>
    <t>OPEL KADETT E СД 1983-1991 СТ ЗАДН ДВ НЕП ЛВ ЗЛ/DAEWOO NEXIA 1995-  СТ ФОРТ ЗАДН НЕП ЛВ ЗЛ</t>
  </si>
  <si>
    <t>OPEL KADETT E УН 3Д+5Д 1983-1991 СТ БОК ПР</t>
  </si>
  <si>
    <t>OPEL KADETT E УН 5Д 1983-1991 СТ ФОРТ ЗАДН НЕП ПР</t>
  </si>
  <si>
    <t>OPEL KADETT E ХБ/УН 3Д 1983-1991 СТ ПЕР ДВ ОП ПР</t>
  </si>
  <si>
    <t>OPEL KADETT E 3Д 1983-1991 СТ БОК НЕП ПР</t>
  </si>
  <si>
    <t>OPEL KADETT E ХБ/УН +BELMONT 1983-1991 СТ ПЕР ДВ ОП ПР/DAEWOO NEXIA 4Д/5Д 1995-  СТ ПЕР ДВ ОП ПР</t>
  </si>
  <si>
    <t>OPEL KADETT E 5Д 1983-1991 СТ ЗАДН ДВ ОП ПР</t>
  </si>
  <si>
    <t>OPEL KADETT E 5Д 1983-1991 СТ БОК НЕП ПР</t>
  </si>
  <si>
    <t>OPEL KADETT E СД 1983-1991 СТ БОК НЕП ПР/DAEWOO NEXIA 4Д/5Д 1995-  СТ ФОРТ ЗАДН НЕП ПР</t>
  </si>
  <si>
    <t>OPEL KADETT E УН 1983-1991 СТ ЗАДН ДВ ОП ПР ЗЛ</t>
  </si>
  <si>
    <t>OPEL KADETT E УН 1983-1991 СТ ФОРТ ЗАДН НЕП ПР ЗЛ</t>
  </si>
  <si>
    <t>OPEL KADETT E ХБ/УН 3Д 1983-1991 СТ ПЕР ДВ ОП ПР ЗЛ/DAEWOO NEXIA 1995- HB  СТ ПЕР ДВ ОП ПР ЗЛ</t>
  </si>
  <si>
    <t>OPEL KADETT E ХБ 3Д 1983-1991 СТ БОК НЕП ПР ЗЛ</t>
  </si>
  <si>
    <t>OPEL KADETT E ХБ/УН 5Д+СД 1983-1991 СТ ПЕР ДВ ОП ПР ЗЛ/DAEWOO NEXIA 1995-  СТ ПЕР ДВ ОП ПР ЗЛ</t>
  </si>
  <si>
    <t>OPEL KADETT E ХБ 5Д 1983-1991 СТ ЗАДН ДВ ОП ПР ЗЛ</t>
  </si>
  <si>
    <t>OPEL KADETT E ХБ 5Д 1983-1991 СТ БОК НЕП ПР ЗЛ</t>
  </si>
  <si>
    <t>OPEL KADETT E СД 1983-1991 СТ ЗАДН ДВ ОП ПР ЗЛ/DAEWOO NEXIA 1995-  СТ ЗАДН ДВ ОП ПР ЗЛ</t>
  </si>
  <si>
    <t>OPEL KADETT E СД 1983-1991 СТ ЗАДН ДВ ПР ЗЛ/DAEWOO NEXIA 1995-  СТ ФОРТ ЗАДН НЕП ПР ЗЛ</t>
  </si>
  <si>
    <t>MERIVA 2003-</t>
  </si>
  <si>
    <t>OPEL MERIVA 2003-  СТ ВЕТР ЗЛГЛ+VIN</t>
  </si>
  <si>
    <t>OPEL MERIVA 2003-  СТ ВЕТР ЗЛ+VIN</t>
  </si>
  <si>
    <t>OPEL MERIVA 2003- МОЛД  ДЛЯ СТ ВЕТР ВЕРХ</t>
  </si>
  <si>
    <t>OPEL MERIVA МИН 2003-  СТ ЗАДН ТЗЛ</t>
  </si>
  <si>
    <t>OPEL MERIVA МИН 2003-  СТ ЗАДН ЗЛ</t>
  </si>
  <si>
    <t>OPEL MERIVA 2003-  СТ ЗАДН ДВ ОП ЛВ ТЗЛ+УО</t>
  </si>
  <si>
    <t>OPEL MERIVA 2003-  СТ ПЕР ДВ ОП ЛВ ЗЛ+УО</t>
  </si>
  <si>
    <t>OPEL MERIVA 2003-  СТ ЗАДН ДВ ОП ЛВ ЗЛ+УО</t>
  </si>
  <si>
    <t>OPEL MERIVA 2003-  СТ ЗАДН ДВ ОП ПР ТЗЛ+УО</t>
  </si>
  <si>
    <t>OPEL MERIVA 2003-  СТ ПЕР ДВ ОП ПР ЗЛ+УО</t>
  </si>
  <si>
    <t>OPEL MERIVA 2003-  СТ ЗАДН ДВ ОП ПР ЗЛ+УО</t>
  </si>
  <si>
    <t>MERIVA 2009-</t>
  </si>
  <si>
    <t>OPEL MERIVA 2009- СТ ВЕТР ЗЛ+ДД+VIN+ДО+ИНК</t>
  </si>
  <si>
    <t>OPEL MERIVA 200-9 СТ ВЕТР ЗЛ+VIN+ДО+ИНК</t>
  </si>
  <si>
    <t>MONTEREY 3Д+5Д 1994-04/1995</t>
  </si>
  <si>
    <t>OPEL MONTEREY 3Д+5Д 1994-1995 СТ ВЕТР ГЛ</t>
  </si>
  <si>
    <t>OPEL MONTEREY 3Д+5Д 1994-04/1995 СТ ВЕТР БР/ISUZU TROOPER 92  СТ ВЕТР БР</t>
  </si>
  <si>
    <t>OPEL MONTEREY 3Д+5Д 1994-04/1995 СТ ВЕТР ЗЛ/ISUZU TROOPER 92  СТ ВЕТР ЗЛ</t>
  </si>
  <si>
    <t>OPEL MONTEREY 1994-04/1995 СТ ВЕТР ЗЛГЛ</t>
  </si>
  <si>
    <t>OPEL MONTEREY 3Д+5Д 1994-1995 НАБ КЛИПС ДЛЯ СТ ВЕТР</t>
  </si>
  <si>
    <t>OPEL MONTEREY 3Д+5Д 1994-1995 МОЛД  ДЛЯ СТ ВЕТР ВЕРХ</t>
  </si>
  <si>
    <t>OPEL MONTEREY 3Д+5Д 1994-1995  СТ ФОРТ ЗАДН НЕП ЛВ БР/ISUZU TROOPER 5Д 1992-  СТ ФОРТ ЗАДН НЕП ЛВ БР</t>
  </si>
  <si>
    <t>OPEL MOVANO 1998-</t>
  </si>
  <si>
    <t>OPEL MOVANO 1998- СТ ВЕТР ТЕПЛООТР/RENAULT MASTER 1997-  СТ ВЕТР ТЕПЛООТР</t>
  </si>
  <si>
    <t>OPEL MOVANO 1998- СТ ВЕТР ЗЛ/RENAULT MASTER 1997-  СТ ВЕТР ЗЛ</t>
  </si>
  <si>
    <t>OMEGA MK3 1986-1994</t>
  </si>
  <si>
    <t>OPEL OMEGA MK3 1986-1994 СТ ВЕТР</t>
  </si>
  <si>
    <t>OPEL OMEGA MK3 1986-1994 СТ ВЕТР+КР+АНТ</t>
  </si>
  <si>
    <t>OPEL OMEGA MK3 1986-1994 СТ ВЕТР ЗЛГЛ</t>
  </si>
  <si>
    <t>OPEL OMEGA MK3 1986-1994 СТ ВЕТ ЗЛГЛ+АНТ</t>
  </si>
  <si>
    <t>OPEL OMEGA MK3 1986-1994  МОЛД  ДЛЯ СТ ВЕТР</t>
  </si>
  <si>
    <t>OPEL OMEGA MK3 УН 1986-1994 СТ ЗАДН ЭО</t>
  </si>
  <si>
    <t>OPEL OMEGA MK3 СД 1986-1994 СТ ЗАДН ЭО</t>
  </si>
  <si>
    <t>OPEL OMEGA MK3 УН 1986-1994 СТ ЗАДН ЭО ЗЛ</t>
  </si>
  <si>
    <t>OPEL OMEGA MK3 СД 1986-1994 СТ ЗАДН ЭО ЗЛ</t>
  </si>
  <si>
    <t>OPEL OMEGA MK3 СД 1986-1994 МОЛД  ДЛЯ СТ ЗАДН</t>
  </si>
  <si>
    <t>OPEL OMEGA MK3 СД 1986-1994 СТ ПЕР ДВ ОП ЛВ ЗЛ</t>
  </si>
  <si>
    <t>OMEGA B СД/УН 1994-2003</t>
  </si>
  <si>
    <t>OPEL OMEGA B 2000-2003 СТ ВЕТР ТЕПЛООТРГЛ</t>
  </si>
  <si>
    <t>OPEL OMEGA B 2000-2003 СТ ВЕТР ТЕПЛООТРГЛ+ДД</t>
  </si>
  <si>
    <t>1994-2003</t>
  </si>
  <si>
    <t>OPEL OMEGA B СД/УН 1994-2003  СТ ВЕТР</t>
  </si>
  <si>
    <t>OPEL OMEGA B СД/УН 2000-2003 СТ ВЕТР ЗЛГЛ</t>
  </si>
  <si>
    <t>OPEL OMEGA B 2000-2003 СТ ВЕТР ЗЛГЛ ДД</t>
  </si>
  <si>
    <t>OPEL OMEGA B СД/УН 1994-2003  НАБОР МОЛД  ДЛЯ СТ ВЕТР</t>
  </si>
  <si>
    <t>OPEL OMEGA B СД/УН 1994-2003 НАБ НАКР МОЛД</t>
  </si>
  <si>
    <t>OPEL OMEGA B СД/УН 1994-2003 МОЛДИНГ ДЛЯ ВЕТР СТ</t>
  </si>
  <si>
    <t>OPEL OMEGA B СД/УН 1994-2003 НАКР МОЛД  ДЛЯ СТ ВЕТР</t>
  </si>
  <si>
    <t>OPEL OMEGA B СД/УН 1994-2003 НАКР МОЛД  ДЛЯ СТ ВЕТР НИЖН</t>
  </si>
  <si>
    <t>OPEL OMEGA B УН 1994-2003 СТ ЗАДН</t>
  </si>
  <si>
    <t>OPEL OMEGA B СД 1994-2003 СТ ЗАДН ЗЛ+АНТ</t>
  </si>
  <si>
    <t>OPEL OMEGA B УН 1994-2003 СТ ЗАДН ДВ  ЗЛ</t>
  </si>
  <si>
    <t>OPEL OMEGA B СД/УН 1994-2003  СТ ПЕР ДВ ОП ЛВ ЗЛ+УО</t>
  </si>
  <si>
    <t>OPEL OMEGA B СД 1994-2003  СТ ФОРТ ЗАДН НЕП ЛВ ЗЛ+ИНК</t>
  </si>
  <si>
    <t>OPEL OMEGA B СД/УН 1994-2003  СТ ПЕР ДВ ОП ПР ЗЛ+УО</t>
  </si>
  <si>
    <t>OPEL OMEGA B СД 1994-2003  СТ ФОРТ ЗАДН НЕП ПР ЗЛ+ИНК</t>
  </si>
  <si>
    <t>OPEL RASCAL 1986- СТ ВЕТР</t>
  </si>
  <si>
    <t>REKORD E / CARLTON СД+УН 1977-1982</t>
  </si>
  <si>
    <t>1977-1982</t>
  </si>
  <si>
    <t>OPEL CARLTON СД+УН 1977-1982 СТ ВЕТР</t>
  </si>
  <si>
    <t>REKORD E / OMEGA/ CARLTON 1983-1986</t>
  </si>
  <si>
    <t>OPEL CARLTON 1983-1986 СТ ВЕТР БРГЛ</t>
  </si>
  <si>
    <t>SINTRA 1997-2000-</t>
  </si>
  <si>
    <t>OPEL SINTRA 1997-2000 СТ ВЕТР ТЕПЛООТРГЛ+АНТ+VIN/PONTIAC TRANS SPORT 1997-2000 СТ ВЕТР ТЕПЛООТРГЛ+АНТ+VIN</t>
  </si>
  <si>
    <t>OPEL SINTRA 1997-2000 МОЛД  ДЛЯ СТ ВЕТР</t>
  </si>
  <si>
    <t>OPEL SINTRA 1997-2000 МИН СТ ЗАДН ЭО ЗЛ+VIN 1 ОТВ</t>
  </si>
  <si>
    <t>OPEL SINTRA 1997-2000 МИН СТ ЗАДН ТСР 1ОТВ</t>
  </si>
  <si>
    <t>OPEL SINTRA 1997-2000  СТ ПЕР ДВ ОП ЛВ ЗЛ+2ОТВ</t>
  </si>
  <si>
    <t>OPEL SINTRA 1997-2000  СТ ПЕР ДВ ОП ПР ЗЛ+2ОТВ</t>
  </si>
  <si>
    <t>OPEL SINTRA 1997-2000  СТ ЗАДН ДВ ОП ПР ЗЛ+УО</t>
  </si>
  <si>
    <t>OPEL SINTRA 1997-2000 СТ ЗАДН НЕП ПР ОТКР+УО</t>
  </si>
  <si>
    <t>TIGRA 1994-2000</t>
  </si>
  <si>
    <t>OPEL TIGRA 1994-2000 СТ ВЕТР ЗЛГЛ</t>
  </si>
  <si>
    <t>OPEL TIGRA 1994-2000 УСТ КОМПЛ ДЛЯ СТ ВЕТР ДЛЯ СТ ВЕТР</t>
  </si>
  <si>
    <t>OPEL TIGRA 1994-2000 СТ ПЕР ДВ ОП ЛВ ЗЛ</t>
  </si>
  <si>
    <t>OPEL TIGRA 1994-2000 СТ ФОРТ ПЕР НЕП ЛВ ЗЛ</t>
  </si>
  <si>
    <t>OPEL TIGRA 1994-2000 СТ ПЕР ДВ ОП ПР ЗЛ</t>
  </si>
  <si>
    <t>OPEL TIGRA 1994-2000 СТ ФОРТ ПЕР НЕП ПР ЗЛ</t>
  </si>
  <si>
    <t>TIGRA TWIN TOP 2004-</t>
  </si>
  <si>
    <t>OPEL TIGRA TWIN TOP 2004- СТ ВЕТР ЗЛ</t>
  </si>
  <si>
    <t>OPEL TIGRA TWIN TOP 2004- СТ ПЕР ДВ ОП ПР ЗЛ</t>
  </si>
  <si>
    <t>VECTRA A/CAVALIER 1988-1995</t>
  </si>
  <si>
    <t>1988-1995</t>
  </si>
  <si>
    <t>OPEL VECTRA A 1988-1995  СТ ВЕТР КР</t>
  </si>
  <si>
    <t>OPEL VECTRA A 1988-1995  СТ ВЕТР ЗЛГЛ</t>
  </si>
  <si>
    <t>OPEL VECTRA A 1988-1995  МОЛД  ДЛЯ СТ ВЕТР</t>
  </si>
  <si>
    <t>OPEL VECTRA A 1988-1995 СД СТ ЗАДН ЭО</t>
  </si>
  <si>
    <t>OPEL VECTRA A 1988-1995 ХБ СТ ЗАДН ДВ ЗЛ+ИНК</t>
  </si>
  <si>
    <t>OPEL VECTRA A 1988-1995 СД СТ ЗАДН ЭО ЗЛ</t>
  </si>
  <si>
    <t>OPEL VECTRA A 1988-1995 СЕД МОЛД  ДЛЯ СТ ЗАДН</t>
  </si>
  <si>
    <t>OPEL VECTRA A 1988-1995 ХБ+СД СТ ПЕР ДВ ОП ЛВ</t>
  </si>
  <si>
    <t>OPEL VECTRA A 1988-1995 ХБ+СЕД СТ ЗАДН ОП ЛВ</t>
  </si>
  <si>
    <t>OPEL VECTRA A 1988-1995 ХБ+СД СТ ПЕР ДВ ОП ЛВ ЗЛ</t>
  </si>
  <si>
    <t>OPEL VECTRA A 1988-1995 ХБ+СД СТ ЗАДН ДВ ОП ЛВ ЗЛ</t>
  </si>
  <si>
    <t>OPEL VECTRA A 1988-1995 СТ ПЕР ДВ ОП ПР</t>
  </si>
  <si>
    <t>OPEL VECTRA A 1988-1995 ХБ+СЕД СТ ЗАДН ОП ПР</t>
  </si>
  <si>
    <t>OPEL VECTRA A 1988-1995 ХБ+СД СТ ПЕР ДВ ОП ПР ЗЛ</t>
  </si>
  <si>
    <t>OPEL VECTRA A 1988-1995 ХБ+СД СТ ЗАДН ДВ ОП ПР ЗЛ</t>
  </si>
  <si>
    <t>VECTRA B 1995-2002</t>
  </si>
  <si>
    <t>OPEL VECTRA B 2000-2002 СТ ВЕТР ТЕПЛООТРГЛ</t>
  </si>
  <si>
    <t>OPEL VECTRA B 1995-2002 СТ ВЕТР</t>
  </si>
  <si>
    <t>OPEL VECTRA B 1999-2002 СТ ВЕТР ЗЛ</t>
  </si>
  <si>
    <t>OPEL VECTRA B 1995-2002 СТ ВЕТР ЗЛГЛ</t>
  </si>
  <si>
    <t>OPEL VECTRA B 1995-2002 УСТ КОМПЛ ДЛЯ СТ ВЕТР</t>
  </si>
  <si>
    <t>OPEL VECTRA B 1995-2002 ХБ УСТ КОМПЛ ДЛЯ СТ ВЕТР</t>
  </si>
  <si>
    <t>OPEL VECTRA B 1995-2002 МОЛД  ДЛЯ СТ ВЕТР ВЕРХ</t>
  </si>
  <si>
    <t>OPEL VECTRA B 2000-2002 МОЛД ДЛЯ СТ ВЕТР</t>
  </si>
  <si>
    <t>OPEL VECTRA B УН 1995-2002 СТ ЗАДН ЭО ЗЛ+СТОП</t>
  </si>
  <si>
    <t>OPEL VECTRA B ХБ 5Д 1995-2002 СТ ЗАДН ЭО ЗЛ+ИНК+СТОП</t>
  </si>
  <si>
    <t>OPEL VECTRA B ХБ 5Д 1995-2002 1999-2002 СТ ЗАДН ЭО ЗЛ+ИНК</t>
  </si>
  <si>
    <t>OPEL VECTRA B СД 4Д 1995-2002 1999-2002 СТ ЗАДН ЭО ЗЛ+АНТ</t>
  </si>
  <si>
    <t>OPEL VECTRA B СД 4Д 1995-2002 СТ ЗАДН ЭО ЗЛ+АНТ+СТОП</t>
  </si>
  <si>
    <t>OPEL VECTRA B СД 4Д 1995-2002  МОЛД  ДЛЯ СТ ЗАДН</t>
  </si>
  <si>
    <t>OPEL VECTRA B УН 1995-2002  СТ ЗАДН ДВ ОП ЛВ</t>
  </si>
  <si>
    <t>OPEL VECTRA B УН 1995-2002 СТ ЗАДН ДВ ОП ЛВ ЗЛ</t>
  </si>
  <si>
    <t>OPEL VECTRA B УН 1995-2002 СТ БОК ЛВ ЗЛ без ИНК</t>
  </si>
  <si>
    <t>OPEL VECTRA B УН 1995-2002 СТ БОК ЛВ ЗЛ+ИНК</t>
  </si>
  <si>
    <t>OPEL VECTRA B ХБ 5Д 1995-2002 СТ ПЕР ДВ ОП ЛВ ЗЛ ФИТ</t>
  </si>
  <si>
    <t>OPEL VECTRA B ХБ 5Д 1995-2002 СТ ЗАДН ДВ ОП ЛВ ЗЛ ФИТ</t>
  </si>
  <si>
    <t>OPEL VECTRA B ХБ 5Д 1995-2002 СТ БОК НЕП ЛВ ЗЛ+ИНК</t>
  </si>
  <si>
    <t>OPEL VECTRA B СД 4Д 1995-2002 СТ БОК НЕП ЛВ ЗЛ+ИНК</t>
  </si>
  <si>
    <t>OPEL VECTRA B УН 1995-2002 СТ ЗАДН ДВ ОП ПР ЗЛ</t>
  </si>
  <si>
    <t>OPEL VECTRA B УН 1995-2002 СТ БОК ПР ЗЛ+КЛЕММЫ+ИНК</t>
  </si>
  <si>
    <t>OPEL VECTRA B УН 1995-2002 СТ БОК ПР ЗЛ без ИНК</t>
  </si>
  <si>
    <t>OPEL VECTRA B ХБ 5Д 1995-2002 СТ ПЕР ДВ ОП ПР ЗЛ ФИТ</t>
  </si>
  <si>
    <t>OPEL VECTRA B ХБ 5Д 1995-2002 СТ ЗАДН ДВ ОП ПР ЗЛ ФИТ</t>
  </si>
  <si>
    <t>OPEL VECTRA B СД 4Д 1995-2002 СТ БОК НЕП ПР ЗЛ+ИНК</t>
  </si>
  <si>
    <t>VECTRA C 2002-</t>
  </si>
  <si>
    <t>OPEL VECTRA C 2002- СТ ВЕТР ТЕПЛООТРГЛ+VIN+ДД+УО</t>
  </si>
  <si>
    <t>OPEL VECTRA C 2002- СТ ВЕТР ТЕПЛООТРГЛ+ДД+УО</t>
  </si>
  <si>
    <t>OPEL VECTRA C 2002/УН 2003-  СТ ВЕТР ТЕПЛООТРГЛ УО+VIN</t>
  </si>
  <si>
    <t>OPEL VECTRA C 2002- СТ ВЕТР ТЕПЛООТРГЛ+УО</t>
  </si>
  <si>
    <t>OPEL VECTRA C 2002- СТ ВЕТР ЗЛГЛ+VIN+ДД+УО</t>
  </si>
  <si>
    <t>OPEL VECTRA C 2002- СТ ВЕТР ЗЛГЛ+ДД+УО</t>
  </si>
  <si>
    <t>OPEL VECTRA C 2002- СТ ВЕТР ЗЛГЛ+VIN+УО</t>
  </si>
  <si>
    <t>OPEL VECTRA C 2002- СТ ВЕТР ЗЛГЛ+УО</t>
  </si>
  <si>
    <t>OPEL VECTRA C 2002- СТ ВЕТР ЗЛ+ДД+VIN+УО</t>
  </si>
  <si>
    <t>OPEL VECTRA C 2003- СТ ВЕТР ЗЛ+ДД+УО</t>
  </si>
  <si>
    <t>OPEL VECTRA C 2003- СТ ВЕТР ЗЛ+VIN+УО</t>
  </si>
  <si>
    <t>OPEL VECTRA C 2003- СТ ВЕТР ЗЛ+УО</t>
  </si>
  <si>
    <t>OPEL VECTRA C УН 2003- СТ ЗАДН ДВ ТЗЛ+СТОП+ИНК</t>
  </si>
  <si>
    <t>OPEL VECTRA C МИН 2003-  СТ ЗАДН ТЗЛ+VIN+ИНК</t>
  </si>
  <si>
    <t>OPEL VECTRA C ХБ 2002-  СТ ЗАДН ЗЛ+ИНК</t>
  </si>
  <si>
    <t>OPEL VECTRA C ХБ 2002- СТ ЗАДН ЭО ЗЛ ИЗМ</t>
  </si>
  <si>
    <t>OPEL VECTRA C 4Д СД 2002-  СТ ЗАДН ЗЛ+УО</t>
  </si>
  <si>
    <t>OPEL VECTRA C МИН 2003-  СТ ЗАДН ЗЛ+VIN+ИНК</t>
  </si>
  <si>
    <t>OPEL VECTRA C УН 2003- СТ ЗАДН ЗЛ+СТОП+ИНК</t>
  </si>
  <si>
    <t>OPEL VECTRA C ХБ 5Д 2002- / УН 2003- СТ ПЕР ДВ ОП ЛВ ЗЛ+УО</t>
  </si>
  <si>
    <t>OPEL VECTRA C ХБ 5Д 2002-  СТ ЗАДН ДВ ОП ЛВ ЗЛ</t>
  </si>
  <si>
    <t>OPEL VECTRA C ХБ 5Д 2002-  СТ БОК ЛВ ЗЛ+ИНК</t>
  </si>
  <si>
    <t>OPEL VECTRA C ХБ 5Д 2002-  СТ БОК ЛВ ЗЛ+ХРОМ ИНК</t>
  </si>
  <si>
    <t>OPEL VECTRA C СЕД 4Д 2002-  СТ ЗАДН ДВ ОП ЛВ ЗЛ+УО</t>
  </si>
  <si>
    <t>OPEL VECTRA C МИН 5Д 2003-  СТ ЗАДН ДВ ОП ЛВ ЗЛ+УО</t>
  </si>
  <si>
    <t>OPEL VECTRA C ХБ 5Д 2002- / УН 2003-  СТ ПЕР ДВ ОП ПР ЗЛ+УО</t>
  </si>
  <si>
    <t>OPEL VECTRA C ХБ 5Д 2002-  СТ ЗАДН ДВ ОП ПР ЗЛ</t>
  </si>
  <si>
    <t>OPEL VECTRA C ХБ 5Д 2002-  СТ БОК ПР ЗЛ+ИНК</t>
  </si>
  <si>
    <t>OPEL VECTRA C ХБ 5Д 2002-  СТ БОК ПР ЗЛ+ХРОМ ИНК</t>
  </si>
  <si>
    <t>OPEL VECTRA C СД 4Д 2002-  СТ ЗАДН ДВ ОП ПР ЗЛ</t>
  </si>
  <si>
    <t>OPEL VECTRA C МИН 5Д 2003-  СТ ЗАДН ДВ ОП ПР ЗЛ+УО</t>
  </si>
  <si>
    <t>OPEL VIVARO 2001-</t>
  </si>
  <si>
    <t>OPEL VIVARO 2001- СТ ВЕТР ТЕПЛООТР+VIN/ RENAULT TRAFIC 2001-  СТ ВЕТР ТЕПЛООТР+VIN</t>
  </si>
  <si>
    <t>OPEL VIVARO 2001- СТ ВЕТР ТЕПЛООТР+VIN/RENAULT TRAFIC 2001- СТ ВЕТР ТЕПЛООТР+VIN+КР</t>
  </si>
  <si>
    <t>OPEL VIVARO 2001- СТ ВЕТР ЗЛ+VIN/ RENAULT TRAFIC 2001-  СТ ВЕТР БЕЗ КР ЗЛ+VIN</t>
  </si>
  <si>
    <t>OPEL VIVARO 2001- СТ ВЕТР ЗЛ+VIN/ RENAULT TRAFIC 2001- СТ ВЕТР ЗЛ+VIN</t>
  </si>
  <si>
    <t>OPEL VIVARO 2001- МОЛД ДЛЯ СТ ВЕТР ВЕРХ</t>
  </si>
  <si>
    <t>OPEL VIVARO МИН 2001- СТ ЗАДН ЗЛ/ RENAULT TRAFIC 2001-  СТ ЗАДН ЭО ЗЛ</t>
  </si>
  <si>
    <t>OPEL VIVARO МИН 2001- СТ ЗАДН ЗЛ ЛВ/ RENAULT TRAFIC 2001-  СТ ЗАДН ЛВ ЭО</t>
  </si>
  <si>
    <t>OPEL VIVARO МИН 2001- СТ ЗАДН ЗЛ ЛВ Б/ЭО/ RENAULT TRAFIC 2001-  СТ ЗАДН ЛВ ЗЛ Б/ЭО</t>
  </si>
  <si>
    <t>OPEL VIVARO МИН 2001- СТ ЗАДН ЗЛ ПР/ RENAULT TRAFIC 2001-  СТ ЗАДН ПР ЭО ЗЛ</t>
  </si>
  <si>
    <t>OPEL VIVARO МИН 2001-  СТ ЗАДН ЗЛ ПР Б/ЭО/ RENAULT TRAFIC 2001-  СТ ЗАДН ПР ЗЛ Б/ЭО</t>
  </si>
  <si>
    <t>OPEL VIVARO 2001-  СТ ПЕР ДВ ОП ЛВ/ RENAULT TRAFIC 2001-  СТ ПЕР ДВ ОП ЛВ ЗЛ</t>
  </si>
  <si>
    <t>OPEL VIVARO 2001-  СТ ФОРТ ПЕР НЕП ЛВ/ RENAULT TRAFIC 2001-  СТ ПЕР ДВ НЕП ЛВ ЗЛ</t>
  </si>
  <si>
    <t>OPEL VIVARO 2Д 2001- СТ ЗАДН НЕП ЛВ ЗЛ/ RENAULT TRAFIC 2001-  СТ ЗАДН ДВ НЕП ЛВ ЗЛ</t>
  </si>
  <si>
    <t>OPEL VIVARO 4Д LHD 2001- СТ СР ЛВ ЗЛ/ RENAULT TRAFIC 2001-  СТ БОК ЛВ ЗЛЗЛ+VIN</t>
  </si>
  <si>
    <t>OPEL VIVARO RHD/ 2001- СТ ЗАДН ОП ЛВ ЗЛ/ RENAULT TRAFIC 4D ЛВРУЛЬ/5Д 2001-  СТ ЗАДН ДВ ОП ЛВ ТЗЛ</t>
  </si>
  <si>
    <t>OPEL VIVARO LWB 2001- СТ БОК НЕП ЛВ ЗЛ/ RENAULT TRAFIC 2001- СТ ЗАДН ДВ НЕП ЛВ</t>
  </si>
  <si>
    <t>OPEL VIVARO 2001- СТ ПЕР ДВ ОП ПР/ RENAULT TRAFIC 2001-  СТ ПЕР ДВ ОП ПР ЗЛ</t>
  </si>
  <si>
    <t>OPEL VIVARO 2001- СТ ФОРТ ПЕР НЕП ПР/ RENAULT TRAFIC 2001- СТ ПЕР ДВ НЕП ПР ЗЛ</t>
  </si>
  <si>
    <t>OPEL VIVARO 2Д 2001- СТ ЗАДН НЕП ПР ЗЛ/ RENAULT TRAFIC 2001-  СТ ЗАДН ДВ НЕП ПР ЗЛ</t>
  </si>
  <si>
    <t>OPEL VIVARO LHD 2001- СТ ЗАДН ОП ПР ЗЛ/ RENAULT TRAFIC 4D ЛВРУЛЬ/5Д 2001-  СТ ЗАДН ДВ ОП ПР ЗЛ</t>
  </si>
  <si>
    <t>OPEL VIVARO LWB 2001- СТ БОК НЕП ПР ЗЛ/ RENAULT TRAFIC 2001- СТ ЗАДН ДВ НЕП ПР</t>
  </si>
  <si>
    <t>ZAFIRA MPV 1998-2005</t>
  </si>
  <si>
    <t>OPEL ZAFIRA МИН 1998-2005 СТ ВЕТР ТЕПЛООТРГЛ</t>
  </si>
  <si>
    <t>OPEL ZAFIRA МИН 1998-2005 СТ ВЕТР ТЕПЛООТРГЛ+VIN</t>
  </si>
  <si>
    <t>OPEL ZAFIRA МИН 1998-2005 СТ ВЕТР ЗЛ</t>
  </si>
  <si>
    <t>OPEL ZAFIRA МИН 1998-2005 СТ ВЕТР ЗЛГЛ</t>
  </si>
  <si>
    <t>OPEL ZAFIRA МИН 1998-2005 СТ ВЕТР ЗЛГЛ+VIN</t>
  </si>
  <si>
    <t>OPEL ZAFIRA МИН 1998-2005 СТ ВЕТР ЗЛ+VIN</t>
  </si>
  <si>
    <t>OPEL ZAFIRA MPV 1998-2005  УСТ КОМПЛ ДЛЯ СТ ВЕТР</t>
  </si>
  <si>
    <t>OPEL ZAFIRA MPV 1998-2005 МОЛД  ДЛЯ СТ ВЕТР НИЖН</t>
  </si>
  <si>
    <t>OPEL ZAFIRA MPV 1998-2005  МОЛД  ДЛЯ СТ ВЕТР ВЕРХ</t>
  </si>
  <si>
    <t>OPEL ZAFIRA МИН 1998-2005 СТ ЗАДН ТЗЛ+СТОП</t>
  </si>
  <si>
    <t>OPEL ZAFIRA МИН 1998-2005 СТ ЗАДН ЭО ЗЛ+СТОП</t>
  </si>
  <si>
    <t>OPEL ZAFIRA МИН 1998-2005 СТ ЗАДН ЗЛ+СТОП+ИЗМ РАЗМ</t>
  </si>
  <si>
    <t>OPEL ZAFIRA MPV 1998-2005  МОЛД  ДЛЯ СТ ЗАДН</t>
  </si>
  <si>
    <t>OPEL ZAFIRA MPV 1998-2005 СТ ПЕР ДВ ОП ЛВ ЗЛ</t>
  </si>
  <si>
    <t>OPEL ZAFIRA MPV 1998-2005 СТ ЗАДН ДВ ОП ЛВ ЗЛ</t>
  </si>
  <si>
    <t>OPEL ZAFIRA MPV 1998-2005 СТ БОК НЕП ЛВ ЗЛ</t>
  </si>
  <si>
    <t>OPEL ZAFIRA MPV 1998-2005 БОК ПЕР НЕПОД ЛВЗЛ</t>
  </si>
  <si>
    <t>OPEL ZAFIRA MPV 1998-2005 СТ ПЕР ДВ ОП ПР ЗЛ</t>
  </si>
  <si>
    <t>OPEL ZAFIRA MPV 1998-2005 СТ ЗАДН ДВ ОП ПР ЗЛ</t>
  </si>
  <si>
    <t>OPEL ZAFIRA MPV 1998-2005 СТ БОК НЕП ПР ЗЛ</t>
  </si>
  <si>
    <t>ZAFIRA 2005-</t>
  </si>
  <si>
    <t>OPEL ZAFIRA 2005- СТ ВЕТР ТЕПЛООТРГЛ+VIN+УО+ДД</t>
  </si>
  <si>
    <t>OPEL ZAFIRA 2005- СТ ВЕТР ТЕПЛООТРГЛ+VIN+УО</t>
  </si>
  <si>
    <t>OPEL ZAFIRA 2005- СТ ВЕТР ЗЛ+ДД+VIN+УО</t>
  </si>
  <si>
    <t>OPEL ZAFIRA 2005- СТ ВЕТР ЗЛ+VIN+УО</t>
  </si>
  <si>
    <t>OPEL ZAFIRA 2005- МОЛД  ДЛЯ СТ ВЕТР</t>
  </si>
  <si>
    <t>OPEL ZAFIRA МИН 2005-  СТ ЗАДН ТЗЛ</t>
  </si>
  <si>
    <t>OPEL ZAFIRA МИН 2005-  СТ ЗАДН ЗЛ</t>
  </si>
  <si>
    <t>OPEL ZAFIRA 2005-  СТ ЗАДН ДВ ОП ЛВ ТЗЛ+УО</t>
  </si>
  <si>
    <t>OPEL ZAFIRA 2005-  СТ ФОРТ ЗАДН НЕП ЛВ ТЗЛ</t>
  </si>
  <si>
    <t>OPEL ZAFIRA 2005-  СТ ПЕР ДВ ОП ЛВ ЗЛ+УО</t>
  </si>
  <si>
    <t>OPEL ZAFIRA 2005-  БОК ПЕР НЕП ЛВ ЗЛ+ИНК</t>
  </si>
  <si>
    <t>OPEL ZAFIRA 2005-  СТ ЗАДН ДВ ОП ЛВ ЗЛ+УО</t>
  </si>
  <si>
    <t>OPEL ZAFIRA 2005-  СТ ФОРТ ЗАДН НЕП ЛВ ЗЛ</t>
  </si>
  <si>
    <t>OPEL ZAFIRA 2005-  СТ ЗАДН ДВ ОП ПР ТЗЛ+УО</t>
  </si>
  <si>
    <t>OPEL ZAFIRA 2005-  СТ ФОРТ ЗАДН НЕП ПР ТЗЛ</t>
  </si>
  <si>
    <t>OPEL ZAFIRA 2005-  СТ ПЕР ДВ ОП ПР ЗЛ+УО</t>
  </si>
  <si>
    <t>OPEL ZAFIRA 2005-  БОК ПЕР НЕП ПР ЗЛ+ИНК</t>
  </si>
  <si>
    <t>OPEL ZAFIRA 2005-  СТ ЗАДН ДВ ОП ПР ЗЛ+УО</t>
  </si>
  <si>
    <t>OPEL ZAFIRA 2005-  СТ ФОРТ ЗАДН НЕП ПР ЗЛ</t>
  </si>
  <si>
    <t>PEGASO</t>
  </si>
  <si>
    <t>TRONER 1987-</t>
  </si>
  <si>
    <t>PEGASO TRONER 1987- СТ ПЕР ДВ ОП ЛВ БР/ DAF F95 1987-1997  СТ ПЕР ДВ ОП ЛВ БР</t>
  </si>
  <si>
    <t>PEUGEOT</t>
  </si>
  <si>
    <t>104 1973-1986</t>
  </si>
  <si>
    <t>1973-1986</t>
  </si>
  <si>
    <t>PEUGEOT 104 1973-1986/CIT LN/TALB SAMBA+КБ СТ ВЕТ</t>
  </si>
  <si>
    <t>106 1991-</t>
  </si>
  <si>
    <t>PEUGEOT 106 1991- СТ ВЕТР БР КР/CITROEN SAXO 3Д ХБ 1996-2004  СТ ВЕТР БР</t>
  </si>
  <si>
    <t>PEUGEOT 106 08/1999-  СТ ВЕТР ТЕПЛООТР</t>
  </si>
  <si>
    <t>PEUGEOT 106 1996-  СТ ВЕТР/CITROEN SAXO 3Д/5Д 08/1999-2004  СТ ВЕТР</t>
  </si>
  <si>
    <t>PEUGEOT 106 08/1999 СТ ВЕТР/CITROEN SAXO 3Д ХБ 1996-2004  СТ ВЕТР</t>
  </si>
  <si>
    <t>PEUGEOT 106 1996- СТ ВЕТР ЗЛ/CITROEN SAXO 3Д/5Д 08/1999-2004  СТ ВЕТР ЗЛ</t>
  </si>
  <si>
    <t>PEUGEOT 106 1996-  СТ ВЕТР ЗЛГЛ/CITROEN SAXO 3Д ХБ 1996-2004  СТ ВЕТР ЗЛГЛ</t>
  </si>
  <si>
    <t>PEUGEOT 106 08/1999- СТ ВЕТР ЗЛГЛ+КР</t>
  </si>
  <si>
    <t>PEUGEOT 106 1991-  МОЛД  ДЛЯ СТ ВЕТР</t>
  </si>
  <si>
    <t>PEUGEOT 106 ХБ 1991- СТ ЗАДН ОТВ</t>
  </si>
  <si>
    <t>PEUGEOT 106 ХБ 1996- СТ ЗАДН+ИЗМ РАЗМ</t>
  </si>
  <si>
    <t>PEUGEOT 106 ХБ 1995- СТ ЗАДН ЭО+ОТВ ИЗМ ШТЕКЕР</t>
  </si>
  <si>
    <t>PEUGEOT 106 ХБ 1991- СТ ЗАДН ЗЛ ОТВ</t>
  </si>
  <si>
    <t>PEUGEOT 106 ХБ 1996- СТ ЗАДН ЗЛ+ИЗМ РАЗМ</t>
  </si>
  <si>
    <t>PEUGEOT 106 ХБ 1995- СТ ЗАДН ЭО ЗЛ+ОТВ ИЗМ ШТЕКЕР</t>
  </si>
  <si>
    <t>PEUGEOT 106 1991-  МОЛД  ДЛЯ СТ ЗАДН</t>
  </si>
  <si>
    <t>PEUGEOT 106 3Д 1991- СТ ПЕР ДВ ОП ЛВ БР</t>
  </si>
  <si>
    <t>PEUGEOT 106 3Д 1991- СТ ПЕР ДВ ОП ЛВ</t>
  </si>
  <si>
    <t>PEUGEOT 106 3Д XN/XR 1991- СТ БОК ЛВ</t>
  </si>
  <si>
    <t>PEUGEOT 106 3Д XT/XSI 1991- СТ БОК ПОД ЛВ</t>
  </si>
  <si>
    <t>PEUGEOT 106 5Д 1991- СТ ПЕР ДВ ОП ЛВ</t>
  </si>
  <si>
    <t>PEUGEOT 106 5Д 1991- СТ ЗАДН ДВ ОП ЛВ</t>
  </si>
  <si>
    <t>PEUGEOT 106 5Д 1991- СТ БОК НЕП ЛВ</t>
  </si>
  <si>
    <t>PEUGEOT 106 3Д 1991- СТ ПЕР ДВ ОП ЛВ ЗЛ/CITROEN SAXO 3Д ХБ 1996-2004  СТ ПЕР ДВ ОП ЛВ ЗЛ</t>
  </si>
  <si>
    <t>PEUGEOT 106 3Д XN/XR 1991- СТ БОК ЛВ ЗЛ</t>
  </si>
  <si>
    <t>PEUGEOT 106 3Д XT/XSI 1991- СТ БОК ПОД ЛВ ЗЛ</t>
  </si>
  <si>
    <t>PEUGEOT 106 5Д 1991- СТ ПЕР ДВ ОП ЛВ ЗЛ/CITROEN SAXO 5Д 1996-2004  СТ ПЕР ДВ ОП ЛВ ЗЛ</t>
  </si>
  <si>
    <t>PEUGEOT 106 5Д 1991- СТ ЗАДН ДВ ОП ЛВ ЗЛ/CITROEN SAXO 5Д 1996-2004  СТ ЗАДН ДВ ОП ЛВ ЗЛ</t>
  </si>
  <si>
    <t>PEUGEOT 106 5Д 1991- СТ БОК НЕП ЛВ ЗЛ/CITROEN SAXO 5Д 1996-2004  СТ ФОРТ ЗАДН НЕП ЛВ ЗЛ</t>
  </si>
  <si>
    <t>PEUGEOT 106 3Д 1991- СТ ПЕР ДВ ОП ПР</t>
  </si>
  <si>
    <t>PEUGEOT 106 3Д XN/XR 1991- СТ БОК ПР</t>
  </si>
  <si>
    <t>PEUGEOT 106 3Д XT/XSI 1991- СТ БОК ПОД ПР</t>
  </si>
  <si>
    <t>PEUGEOT 106 5Д 1991- СТ ПЕР ДВ ОП ПР</t>
  </si>
  <si>
    <t>PEUGEOT 106 5Д 1991- СТ ЗАДН ДВ ОП ПР</t>
  </si>
  <si>
    <t>PEUGEOT 106 5Д 1991- СТ БОК НЕП ПР</t>
  </si>
  <si>
    <t>PEUGEOT 106 3Д 1991- СТ ПЕР ДВ ОП ПР ЗЛ/CITROEN SAXO 3Д ХБ 1996-2004  СТ ПЕР ДВ ОП ПР ЗЛ</t>
  </si>
  <si>
    <t>PEUGEOT 106 3Д XN/XR 1991- СТ БОК ПР ЗЛ</t>
  </si>
  <si>
    <t>PEUGEOT 106 3Д XT/XSI 1991- СТ БОК ПОД ПР ЗЛ</t>
  </si>
  <si>
    <t>PEUGEOT 106 5Д 1991- СТ ПЕР ДВ ОП ПР ЗЛ/CITROEN SAXO 5Д 1996-2004  СТ ПЕР ДВ ОП ПР ЗЛ</t>
  </si>
  <si>
    <t>PEUGEOT 106 5Д 1991- СТ ЗАДН ДВ ОП ПР ЗЛ/CITROEN SAXO 5Д 1996-2004  СТ ЗАДН ДВ ОП ПР ЗЛ</t>
  </si>
  <si>
    <t>PEUGEOT 106 5Д 1991- СТ БОК НЕП ПР ЗЛ/CITROEN SAXO 5Д 1996-2004  СТ ФОРТ ЗАДН НЕП ПР ЗЛ</t>
  </si>
  <si>
    <t>107 2005-</t>
  </si>
  <si>
    <t>PEUGEOT 107 CIT C1 TYT AYGO 2005- СТ ВЕТР ЗЛ/ CITROEN C1 2005-  СТ ВЕТР ЗЛ</t>
  </si>
  <si>
    <t>PEUGEOT 107 CIT C1 ХБ 2005- СТ ПОД ЗАДН ЭО ЗЛ ОТКР/ CITROEN C1 2005-  СТ ЗАДН ЗЛ ОТКР</t>
  </si>
  <si>
    <t>PEUGEOT 107 3Д 2005- СТ ПЕР ДВ ОП ЛВ ЗЛ/ CITROEN C1 3Д 2005-  СТ ПЕР ДВ ОП ЛВ ЗЛ</t>
  </si>
  <si>
    <t>PEUGEOT 107 3Д 2005- СТ БОК ЛВ ЗЛ/ CITROEN C1 3Д 2005-  СТ БОК НЕП ЛВ ЗЛ</t>
  </si>
  <si>
    <t>PEUGEOT 107 5Д 2005- СТ ПЕР ДВ ОП ЛВ ЗЛ/ CITROEN C1 5Д 2005-  СТ ПЕР ДВ ОП ЛВ ЗЛ</t>
  </si>
  <si>
    <t>PEUGEOT 107 5Д 2005- СТ БОК ПОД ЛВ ЗЛ ОТКР+УО/ CITROEN C1 5Д 2005-  СТ ЗАДН ДВ ОП ЛВ ЗЛ ОТКР+УО</t>
  </si>
  <si>
    <t>PEUGEOT 107 3Д 2005- СТ ПЕР ДВ ОП ПР ЗЛ/ CITROEN C1 3Д 2005-  СТ ПЕР ДВ ОП ПР ЗЛ</t>
  </si>
  <si>
    <t>PEUGEOT 107 3Д 2005- СТ БОК ПР ЗЛ/ CITROEN C1 3Д 2005-  СТ БОК НЕП ПР ЗЛ</t>
  </si>
  <si>
    <t>PEUGEOT 107 5Д 2005- СТ ПЕР ДВ ОП ПР ЗЛ/ CITROEN C1 5Д 2005-  СТ ПЕР ДВ ОП ПР ЗЛ</t>
  </si>
  <si>
    <t>PEUGEOT 107 5Д 2005- СТ БОК ПОД ПР ЗЛ ОТКР+УО/ CITROEN C1 5Д 2005-  СТ ЗАДН ДВ ОП ПР ЗЛ ОТКР+УО</t>
  </si>
  <si>
    <t>205 1982-1996</t>
  </si>
  <si>
    <t>1982-1996</t>
  </si>
  <si>
    <t>PEUGEOT 205 1982-1996 СТ ВЕТР БР КР</t>
  </si>
  <si>
    <t>PEUGEOT 205 1982-1996 СТ ВЕТР БРГЛ КР</t>
  </si>
  <si>
    <t>PEUGEOT 205 1982-1996 СТ ВЕТР КР</t>
  </si>
  <si>
    <t>PEUGEOT 205 1982-1996 СТ ВЕТР ЗЛ КР</t>
  </si>
  <si>
    <t>PEUGEOT 205 1982-1996 РЕЗ ПРОФ ДЛЯ СТ ВЕТР</t>
  </si>
  <si>
    <t>PEUGEOT 205 ХБ 1982-1996  СТ ЗАДН</t>
  </si>
  <si>
    <t>PEUGEOT 205 ХБ 1982-1996  СТ ЗАДН ЗЛ</t>
  </si>
  <si>
    <t>PEUGEOT 205 3Д 1982-1996  СТ ПЕР ДВ ОП ЛВ</t>
  </si>
  <si>
    <t>PEUGEOT 205 3Д 1982-1996  СТ БОК ЛВ</t>
  </si>
  <si>
    <t>PEUGEOT 205 3Д 1982-1996  СТ БОК ПОД ЛВ+ОТКР+ШЕЛК</t>
  </si>
  <si>
    <t>PEUGEOT 205 5Д 1982-1996  СТ ПЕР ДВ ОП ЛВ</t>
  </si>
  <si>
    <t>PEUGEOT 205 5Д 1982-1996  СТ ЗАДН ДВ ОП ЛВ</t>
  </si>
  <si>
    <t>PEUGEOT 205 5Д 1982-1996  СТ БОК НЕП ЛВ</t>
  </si>
  <si>
    <t>PEUGEOT 205 3Д 1982-1996  СТ ПЕР ДВ ОП ЛВ ЗЛ</t>
  </si>
  <si>
    <t>PEUGEOT 205 5Д 1982-1996  СТ ПЕР ДВ ОП ЛВ ЗЛ</t>
  </si>
  <si>
    <t>PEUGEOT 205 3Д 1982-1996  СТ БОК ПР БР+ОТКР+ШЕЛК</t>
  </si>
  <si>
    <t>PEUGEOT 205 5Д 1982-1996  СТ БОК НЕП ПР БР</t>
  </si>
  <si>
    <t>PEUGEOT 205 3Д 1982-1996  СТ ПЕР ДВ ОП ПР</t>
  </si>
  <si>
    <t>PEUGEOT 205 3Д 1982-1996  СТ БОК ПР</t>
  </si>
  <si>
    <t>PEUGEOT 205 5Д 1982-1996  СТ ПЕР ДВ ОП ПР</t>
  </si>
  <si>
    <t>PEUGEOT 205 5Д 1982-1996  СТ ЗАДН ДВ ОП ПР</t>
  </si>
  <si>
    <t>PEUGEOT 205 5Д 1982-1996  СТ БОК НЕП ПР</t>
  </si>
  <si>
    <t>PEUGEOT 205 3Д 1982-1996  СТ ПЕР ДВ ОП ПР ЗЛ</t>
  </si>
  <si>
    <t>PEUGEOT 205 5Д 1982-1996  СТ ПЕР ДВ ОП ПР ЗЛ</t>
  </si>
  <si>
    <t>PEUGEOT 205 5Д 1982-1996  СТ ЗАДН ДВ ОП ПР ЗЛ</t>
  </si>
  <si>
    <t>206 1998-</t>
  </si>
  <si>
    <t>PEUGEOT 206 2000- СТ ВЕТР ТЕПЛООТР+ДД+VIN</t>
  </si>
  <si>
    <t>PEUGEOT 206 2001- СТ ВЕТР ТЕПЛООТР+ДД СВД+VIN</t>
  </si>
  <si>
    <t>PEUGEOT 206 1998- СТ ВЕТР ТЕПЛООТР+VIN</t>
  </si>
  <si>
    <t>PEUGEOT 206 1998- СТ ВЕТР ЗЛ+ДД+VIN</t>
  </si>
  <si>
    <t>PEUGEOT 206 2001- СТ ВЕТР ЗЛ+ДД LIGHT+VIN</t>
  </si>
  <si>
    <t>PEUGEOT 206 1998- СТ ВЕТР ЗЛ+VIN</t>
  </si>
  <si>
    <t>PEUGEOT 206 1998-  МОЛД  ДЛЯ СТ ВЕТР ВЕРХ</t>
  </si>
  <si>
    <t>PEUGEOT 206 ХБ 1998- СТ ЗАДН ЭО ЗЛ</t>
  </si>
  <si>
    <t>PEUGEOT 206 3Д 1998- СТ ПЕР ДВ ОП ЛВ ЗЛ+2ОТВ</t>
  </si>
  <si>
    <t>PEUGEOT 206 3Д 1998- СТ БОК ПОД ЛВ ЗЛ</t>
  </si>
  <si>
    <t>PEUGEOT 206 5Д 1998- СТ ПЕР ДВ ОП ЛВ ЗЛ+2ОТВ</t>
  </si>
  <si>
    <t>PEUGEOT 206 5Д 1998- СТ ЗАДН ДВ ОП ЛВ ЗЛ+1ОТВ</t>
  </si>
  <si>
    <t>PEUGEOT 206 3Д 1998- СТ ПЕР ДВ ОП ПР ЗЛ+2ОТВ</t>
  </si>
  <si>
    <t>PEUGEOT 206 3Д 1998- СТ БОК ПОД ПР ЗЛ</t>
  </si>
  <si>
    <t>PEUGEOT 206 5Д 1998- СТ ПЕР ДВ ОП ПР ЗЛ+2ОТВ</t>
  </si>
  <si>
    <t>PEUGEOT 206 5Д 1998- СТ ЗАДН ДВ ОП ПР ЗЛ+1ОТВ</t>
  </si>
  <si>
    <t>206 COUPE 2000-</t>
  </si>
  <si>
    <t>PEUGEOT 206 CC 2001- СТ ВЕТР ТЕПЛООТР +ИЗМ+VIN+ДД</t>
  </si>
  <si>
    <t>PEUGEOT 206 CC 2000- СТ ВЕТР ТЕПЛООТР+VIN</t>
  </si>
  <si>
    <t>PEUGEOT 206 CC 2001- СТ ВЕТР ЗЛ + ИЗМ ДД+VIN</t>
  </si>
  <si>
    <t>PEUGEOT 206 CC 2000- СТ ВЕТР ЗЛ+VIN</t>
  </si>
  <si>
    <t>PEUGEOT 206 CC КБ 2000- СТ ЗАДН ЗЛ</t>
  </si>
  <si>
    <t>PEUGEOT 206 CC 2000- СТ ПЕР ДВ ОП ЛВ ЗЛ</t>
  </si>
  <si>
    <t>PEUGEOT 206 CC 2000- СТ БОК ПОД ЛВ ЗЛ+ФИТ</t>
  </si>
  <si>
    <t>PEUGEOT 206 CC 2000- СТ ПЕР ДВ ОП ПР ЗЛ</t>
  </si>
  <si>
    <t>PEUGEOT 206 CC 2000- СТ БОК ПОД ПР ЗЛ+ФИТ</t>
  </si>
  <si>
    <t>207 2006-</t>
  </si>
  <si>
    <t>PEUGEOT 207 + 2006-  СТ ВЕТР ТЕПЛООТР+ДД+VIN+ИНК</t>
  </si>
  <si>
    <t>PEUGEOT 207 + 2006-  СТ ВЕТР ТЕПЛООТР+VIN+ИНК</t>
  </si>
  <si>
    <t>PEUGEOT 3Д+5Д 207 2006-  СТ ВЕТР ЗЛ+ДД+VIN+ИНК+ИЗМ ШЕЛК</t>
  </si>
  <si>
    <t>PEUGEOT 3Д+5Д 207 2006-  СТ ВЕТР ЗЛ+VIN+ИНК</t>
  </si>
  <si>
    <t>PEUGEOT 207 ХБ 2006- СТ ЗАДН ДВ ЗЛ+АНТ</t>
  </si>
  <si>
    <t>PEUGEOT 207 3Д 2006-  СТ ПЕР ДВ ОП ЛВ ЗЛ</t>
  </si>
  <si>
    <t>PEUGEOT 207 3Д 2006-  СТ БОК НЕП ЛВ ЗЛ ОТКР+УО</t>
  </si>
  <si>
    <t>PEUGEOT 207 5Д 2006-  СТ ПЕР ДВ ОП ЛВ ЗЛ</t>
  </si>
  <si>
    <t>PEUGEOT 207 5Д 2006-  СТ ЗАДН ДВ ОП ЛВ ЗЛ</t>
  </si>
  <si>
    <t>PEUGEOT 207 3Д 2006-  СТ ПЕР ДВ ОП ПР ЗЛ</t>
  </si>
  <si>
    <t>PEUGEOT 207 3Д 2006-  СТ БОК НЕП ПР ЗЛ ОТКР+УО</t>
  </si>
  <si>
    <t>PEUGEOT 207 5Д 2006-  СТ ПЕР ДВ ОП ПР ЗЛ</t>
  </si>
  <si>
    <t>PEUGEOT 207 5Д 2006-  СТ ЗАДН ДВ ОП ПР ЗЛ</t>
  </si>
  <si>
    <t>207 CC 2007-</t>
  </si>
  <si>
    <t>PEUGEOT 207 CC 2007- СТ ВЕТР ЗЛ+АНТ+ДД+VIN+ИНК</t>
  </si>
  <si>
    <t>PEUGEOT 207 CC 2007- СТ ВЕТР ЗЛ+АНТ+VIN+ИНК</t>
  </si>
  <si>
    <t>PEUGEOT 207 CC 2007- СТ ВЕТР ЗЛ+ДД+VIN+ИНК</t>
  </si>
  <si>
    <t>PEUGEOT 207 CC 2007- СТ ВЕТР ЗЛ+VIN+ИНК</t>
  </si>
  <si>
    <t>208 2011-</t>
  </si>
  <si>
    <t>PEUGEOT 208 2011-СТ ВЕТР ЗЛАК+ДД+VIN+ИНК</t>
  </si>
  <si>
    <t>305 1977-1985</t>
  </si>
  <si>
    <t>1977-1985</t>
  </si>
  <si>
    <t>PEUGEOT 305 СД+УН 1977-1985 СТ ВЕТР КР</t>
  </si>
  <si>
    <t>306 1992-2001</t>
  </si>
  <si>
    <t>PEUGEOT 306 1997-2001 СТ ВЕТР ТЕПЛООТР ДД</t>
  </si>
  <si>
    <t>PEUGEOT 306 1992-2001 СТ ВЕТР</t>
  </si>
  <si>
    <t>PEUGEOT 306 1992-2001 СТ ВЕТР ЗЛ</t>
  </si>
  <si>
    <t>PEUGEOT 306 1992-2001 СТ ВЕТР ЗЛГЛ</t>
  </si>
  <si>
    <t>PEUGEOT 306 1992-2001 СТ ВЕТР ЗЛЗЛ</t>
  </si>
  <si>
    <t>PEUGEOT 306 1997-2001 СТ ВЕТР ЗЛ+ИЗМ КР+ДД</t>
  </si>
  <si>
    <t>PEUGEOT 306 1993-2002 УСТ КОМПЛ ДЛЯ СТ ВЕТР ДЛЯ СТ ВЕТР</t>
  </si>
  <si>
    <t>PEUGEOT 306 1992-2002  ВНУТР МОЛД ДЛЯ СТ ВЕТР</t>
  </si>
  <si>
    <t>PEUGEOT 306 1992-2002  МОЛД  ДЛЯ СТ ВЕТР</t>
  </si>
  <si>
    <t>PEUGEOT 306 ХБ 1992-2001 СТ ЗАДН ОТВ</t>
  </si>
  <si>
    <t>PEUGEOT 306 ХБ 1992-2001 СТ ЗАДН ЗЛ ОТВ</t>
  </si>
  <si>
    <t>PEUGEOT 306 4Д СД 1994-2001 СТ ЗАДН ЭО ЗЛ</t>
  </si>
  <si>
    <t>PEUGEOT 306 4Д СД 1994-2001 СТ ЗАДН ЗЛ ОТВ</t>
  </si>
  <si>
    <t>PEUGEOT 306 4Д СД 1997-2001  СТ ЗАДН ЗЛ ОТВ</t>
  </si>
  <si>
    <t>PEUGEOT 306 3Д 1992-2001 СТ ПЕР ДВ ОП ЛВ</t>
  </si>
  <si>
    <t>PEUGEOT 306 5Д 1992-2001 /УН 1997-2001 СТ ПЕР ДВ ОП ЛВ</t>
  </si>
  <si>
    <t>PEUGEOT 306 5Д 1992-2001 /УН 1997-2001 СТ ЗАДН ДВ ОП ЛВ</t>
  </si>
  <si>
    <t>PEUGEOT 306 5Д 1992-2001 СТ БОК НЕП ЛВ</t>
  </si>
  <si>
    <t>PEUGEOT 306 5Д 1992-2001/УН 1997-2001 СТ БОК НЕД ЛВ ЗЛ</t>
  </si>
  <si>
    <t>PEUGEOT 306 3Д 1992-2001 СТ ПЕР ДВ ОП ЛВ ЗЛ</t>
  </si>
  <si>
    <t>PEUGEOT 306 3Д 1992-2001 СТ БОК ПОД ЛВ ЗЛ</t>
  </si>
  <si>
    <t>PEUGEOT 306 5Д 1992-2001 УН 1997-2001 СТ ПЕР ДВ ОП ЛВ ЗЛ</t>
  </si>
  <si>
    <t>PEUGEOT 306 5Д 1992-2001 УН 1997-2001 СТ ЗАДН ДВ ОП ЛВ ЗЛ</t>
  </si>
  <si>
    <t>PEUGEOT 306 1992-2001 СТ БОК НЕП ЛВ ЗЛ</t>
  </si>
  <si>
    <t>PEUGEOT 306 3Д 1992-2001  СТ ПЕР ДВ ОП ПР</t>
  </si>
  <si>
    <t>PEUGEOT 306 5Д 1992-2001 /УН 1997-2001 СТ ПЕР ДВ ОП ПР</t>
  </si>
  <si>
    <t>PEUGEOT 306 1992-2001  СТ БОК НЕП ПР</t>
  </si>
  <si>
    <t>PEUGEOT 306 5Д 1992-2001/УН 1997-2001 СТ БОЕ НЕП ПР ЗЛ</t>
  </si>
  <si>
    <t>PEUGEOT 306 3Д 1992-2001  СТ ПЕР ДВ ОП ПР ЗЛ</t>
  </si>
  <si>
    <t>PEUGEOT 306 3Д 1992-2001  СТ БОК ПОД ПР ЗЛ</t>
  </si>
  <si>
    <t>PEUGEOT 306 5Д 1992-2001 УН 1997-2001 СТ ПЕР ДВ ОП ПР ЗЛ</t>
  </si>
  <si>
    <t>PEUGEOT 306 5Д 1992-2001 УН 1997-2001 СТ ЗАДН ДВ ОП ПР ЗЛ</t>
  </si>
  <si>
    <t>PEUGEOT 306 1992-2001  СТ БОК НЕП ПР ЗЛ</t>
  </si>
  <si>
    <t>306 КБ 1994-</t>
  </si>
  <si>
    <t>PEUGEOT 306 КБ 1994-  СТ ВЕТР ЗЛ</t>
  </si>
  <si>
    <t>307 3Д/5Д/УН 2001-2008</t>
  </si>
  <si>
    <t>PEUGEOT 307 2001-2008 СТ ВЕТР ТЕПЛООТР+ДД+VIN+ИНК</t>
  </si>
  <si>
    <t>PEUGEOT 307 05/2003-2008  СТ ВЕТР ТЕПЛООТР+ДД+VIN+ИНК</t>
  </si>
  <si>
    <t>PEUGEOT 307 2001-2008  СТ ВЕТР ТЕПЛООТР+VIN+ИНК</t>
  </si>
  <si>
    <t>PEUGEOT 307 03/2003-2008 СТ ВЕТР БЦ+ДД+ИНК+ИЗМ+VIN</t>
  </si>
  <si>
    <t>PEUGEOT 307 2001-2008 СТ ВЕТР ЗЛ +ДД+ИНК+VIN</t>
  </si>
  <si>
    <t>PEUGEOT 307 03/2003-2008 СТ ВЕТР ЗЛ+ДД+ИНК+VIN+ИЗМ КР</t>
  </si>
  <si>
    <t>PEUGEOT 307 2001-2008  СТ ВЕТР ЗЛ+VIN+ИНК</t>
  </si>
  <si>
    <t>PEUGEOT 307 УН 2001-2008 СТ ЗАДН ТЗЛ</t>
  </si>
  <si>
    <t>PEUGEOT 307 УН 2001-2008 СТ ЗАДН ЗЛ</t>
  </si>
  <si>
    <t>PEUGEOT 307 ХБ 2001-2008  СТ ЗАДН ДВ ЗЛ+1ОТВ</t>
  </si>
  <si>
    <t>PEUGEOT 307 УН 2001-2008 СТ ЗАДН ДВ ОП ЛВ ТЗЛ</t>
  </si>
  <si>
    <t>PEUGEOT 307 УН 2001-2008 СТ БОК ЛВ ТЗЛ+УО</t>
  </si>
  <si>
    <t>PEUGEOT 307 УН 2001-2008 СТ ЗАДН ДВ ОП ЛВ ЗЛ</t>
  </si>
  <si>
    <t>PEUGEOT 307 УН 2001-2008  СТ БОК ЛВ ЗЛ+УО</t>
  </si>
  <si>
    <t>PEUGEOT 307 ХБ 3Д 2001-2008  СТ ПЕР ДВ ОП ЛВ ЗЛ</t>
  </si>
  <si>
    <t>PEUGEOT 307 ХБ 3Д 2001-2008  СТ БОК НЕП ЛВ ЗЛ+ИНК</t>
  </si>
  <si>
    <t>PEUGEOT 307 ХБ 5Д/УН 2001-2008 СТ ПЕР ДВ ОП ЛВ ЗЛ</t>
  </si>
  <si>
    <t>PEUGEOT 307 ХБ 5Д 2001-2008 СТ ЗАДН ДВ ОП ЛВ ЗЛ</t>
  </si>
  <si>
    <t>PEUGEOT 307 УН 2001-2008 СТ ЗАДН ДВ ОП ПР ТЗЛ</t>
  </si>
  <si>
    <t>PEUGEOT 307 УН 2001-2008 СТ БОК ПР ТЗЛ+УО</t>
  </si>
  <si>
    <t>PEUGEOT 307 УН 2001-2008 СТ ЗАДН ДВ ОП ПР ЗЛ</t>
  </si>
  <si>
    <t>PEUGEOT 307 УН 2001-2008 СТ БОК ПР ЗЛ+УО</t>
  </si>
  <si>
    <t>PEUGEOT 307 ХБ 3Д 2001-2008  СТ ПЕР ДВ ОП ПР ЗЛ</t>
  </si>
  <si>
    <t>PEUGEOT 307 ХБ 3Д 2001-2008  СТ БОК НЕП ПР ЗЛ+ИНК</t>
  </si>
  <si>
    <t>PEUGEOT 307 ХБ 5Д/УН 2001-2008 СТ ПЕР ДВ ОП ПР ЗЛ</t>
  </si>
  <si>
    <t>PEUGEOT 307 ХБ 5Д 2001-2008 СТ ЗАДН ДВ ОП ПР ЗЛ</t>
  </si>
  <si>
    <t>307 КБ 2003-</t>
  </si>
  <si>
    <t>PEUGEOT 307 КБ 2003- СТ ВЕТР ЗЛТЗЛ+ДД+VIN+ИНК</t>
  </si>
  <si>
    <t>PEUGEOT 307 КБ 2003- СТ ВЕТР ЗЛТЗЛ+VIN+ИНК</t>
  </si>
  <si>
    <t>PEUGEOT 307 КБ 2003- СТ ПЕР ДВ ОП ЛВ ЗЛ</t>
  </si>
  <si>
    <t>PEUGEOT 307 КБ 2003- СТ БОК ПОД ЛВ ЗЛ+УО</t>
  </si>
  <si>
    <t>PEUGEOT 307 КБ 2003- СТ ПЕР ДВ ОП ПР ЗЛ</t>
  </si>
  <si>
    <t>PEUGEOT 307 КБ 2003- СТ БОК ПОД ПР ЗЛ+УО</t>
  </si>
  <si>
    <t>308 3Д ХБ 2007-</t>
  </si>
  <si>
    <t>PEUGEOT 308 ХБ 2007-  СТ ВЕТР ТЕПЛООТР+ДД+VIN+УО</t>
  </si>
  <si>
    <t>PEUGEOT 308 ХБ 2007-  СТ ВЕТР ЗЛ+АКУСТИК+ДД+VIN+УО</t>
  </si>
  <si>
    <t>PEUGEOT 308 3Д ХБ 2007-  СТ ВЕТР ЗЛ+VIN+УО</t>
  </si>
  <si>
    <t>PEUGEOT 308 УН 2007- СТ ЗАДН ЗЛ+АНТ+УО</t>
  </si>
  <si>
    <t>PEUGEOT 308 УН 2007- СТ ЗАДН ЗЛ +УО+ОТКР</t>
  </si>
  <si>
    <t>PEUGEOT 308 5Д УН 2007- СТ ЗАДН ДВ ЗЛ+АНТ+УО</t>
  </si>
  <si>
    <t>PEUGEOT 308 3Д/5Д ХБ 2007- СТ ЗАДН ЗЛ+УО+АНТ</t>
  </si>
  <si>
    <t>PEUGEOT 308 3Д/5Д ХБ 2007- СТ ЗАДН ЗЛ+УО</t>
  </si>
  <si>
    <t>PEUGEOT 308 5Д УН 2007-СТ ЗАДН ДВ ОП ЛВ ЗЛ</t>
  </si>
  <si>
    <t>PEUGEOT 308 5Д УН 2007- СТ БОК ЗАДН НЕП ЛВ ЗЛ</t>
  </si>
  <si>
    <t>PEUGEOT 308 3Д ХБ 2007- СТ ПЕР ДВ ОП ЛВ ЗЛ</t>
  </si>
  <si>
    <t>PEUGEOT 308 5Д ХБ 2007- СТ ПЕР ДВ ОП ЛВ ЗЛ</t>
  </si>
  <si>
    <t>PEUGEOT 308 3Д ХБ 2007- СТ ЗАДН ДВ ОП ЛВ ЗЛ</t>
  </si>
  <si>
    <t>PEUGEOT 308 УН 2007- СТ ЗАДН ОП ЛВ ЗЛ</t>
  </si>
  <si>
    <t>PEUGEOT 308 5Д УН 2007- СТ ЗАДН ДВ ОП ПР ЗЛ PR</t>
  </si>
  <si>
    <t>PEUGEOT 308 5Д УН 2007- СТ ЗАДН ДВ ОП ПР ЗЛ SOL</t>
  </si>
  <si>
    <t>PEUGEOT 308 5Д УН 2007- СТ БОК ЗАДН НЕП ПР ЗЛ</t>
  </si>
  <si>
    <t>PEUGEOT 308 3Д ХБ 2007- СТ ПЕР ДВ ОП ПР ЗЛ</t>
  </si>
  <si>
    <t>PEUGEOT 308 5Д ХБ 2007- СТПЕР ДВ ОП ПР ЗЛ</t>
  </si>
  <si>
    <t>PEUGEOT 308 5Д ХБ 2007- СТ ПЕР ДВ ОП ПР ЗЛ+ТРИПЛ+УО</t>
  </si>
  <si>
    <t>PEUGEOT 308 3Д ХБ 2007- СТ ЗАДН ДВ ОП ПР ЗЛ</t>
  </si>
  <si>
    <t>PEUGEOT 308 2007 4D- СТ ЗАДН ДВ ОП ПР ЗЛ</t>
  </si>
  <si>
    <t>PEUGEOT 308 2007 4D- СТ ЗАДН ДВ ОП ЛВ ЗЛ</t>
  </si>
  <si>
    <t>PEUGEOT 308 2007 4D- СТ ПЕР ДВ ОП ПР ЗЛ</t>
  </si>
  <si>
    <t>PEUGEOT 308 2007 4D- СТ ПЕР ДВ ОП ЛВ ЗЛ</t>
  </si>
  <si>
    <t>309 1985-1993</t>
  </si>
  <si>
    <t>PEUGEOT 309 1985-1993 СТ ВЕТР БР КР</t>
  </si>
  <si>
    <t>PEUGEOT 309 1985-1993 СТ ВЕТР БРГЛ</t>
  </si>
  <si>
    <t>PEUGEOT 309 1985-1993 СТ ВЕТР КР</t>
  </si>
  <si>
    <t>PEUGEOT 309 1985-1993 РЕЗ ПРОФ ДЛЯ СТ ВЕТР</t>
  </si>
  <si>
    <t>PEUGEOT 309 3Д 1985-1993 СТ БОК НЕП ЛВ+УО</t>
  </si>
  <si>
    <t>405 1987-1995</t>
  </si>
  <si>
    <t>PEUGEOT 405 1987-1995  СТ ВЕТР БР КР</t>
  </si>
  <si>
    <t>PEUGEOT 405 1987-1995  СТ ВЕТР БРГЛ</t>
  </si>
  <si>
    <t>PEUGEOT 405 1987-1995  СТ ВЕТР КР</t>
  </si>
  <si>
    <t>PEUGEOT 405 1987-1995  СТ ВЕТР ЗЛ</t>
  </si>
  <si>
    <t>PEUGEOT 405 1987-1995  СТ ВЕТР ЗЛЗЛ КР</t>
  </si>
  <si>
    <t>PEUGEOT 405 СД 1987-1995  МОЛД  ДЛЯ СТ ВЕТР</t>
  </si>
  <si>
    <t>PEUGEOT 405 УН 1987-1995  СТ ЗАДН ЭО</t>
  </si>
  <si>
    <t>PEUGEOT 405 СД 1987-1995  СТ ЗАДН</t>
  </si>
  <si>
    <t>PEUGEOT 405 УН 1987-1995  СТ ЗАДН ЭО ЗЛ</t>
  </si>
  <si>
    <t>PEUGEOT 405 СД 1987-1995  СТ ЗАДН ЗЛ</t>
  </si>
  <si>
    <t>PEUGEOT 405 СД 1987-1995  МОЛД  ДЛЯ СТ ЗАДН</t>
  </si>
  <si>
    <t>PEUGEOT 405 СД+УН 1987-1995  СТ ПЕР ДВ ОП ЛВ БР</t>
  </si>
  <si>
    <t>PEUGEOT 405 СД 1987-1995  СТ БОК НЕП ЛВ БР</t>
  </si>
  <si>
    <t>PEUGEOT 405 УН 1987-1995  СТ ФОРТ ЗАДН НЕП ЛВ</t>
  </si>
  <si>
    <t>PEUGEOT 405 СД+УН 1987-1995  СТ ПЕР ДВ ОП ЛВ</t>
  </si>
  <si>
    <t>PEUGEOT 405 СД 1987-1995  СТ ЗАДН ДВ ОП ЛВ</t>
  </si>
  <si>
    <t>PEUGEOT 405 СД 1987-1995  СТ БОК НЕП ЛВ</t>
  </si>
  <si>
    <t>PEUGEOT 405 УН 1987-1995  СТ ЗАДН ДВ ОП ЛВ ЗЛ</t>
  </si>
  <si>
    <t>PEUGEOT 405 УН 1987-1995  СТ БОК ЛВ ЗЛ</t>
  </si>
  <si>
    <t>PEUGEOT 405 УН 1987-1995  СТ ФОРТ ЗАДН НЕП ЛВ ЗЛ</t>
  </si>
  <si>
    <t>PEUGEOT 405 СД+УН 1987-1995 СТ ПЕР ДВ ОП ЛВ ЗЛ</t>
  </si>
  <si>
    <t>PEUGEOT 405 СД 1987-1995  СТ ЗАДН ДВ ОП ЛВ ЗЛ</t>
  </si>
  <si>
    <t>PEUGEOT 405 СД 1987-1995 СТ БОК НЕП ЛВ ЗЛ</t>
  </si>
  <si>
    <t>PEUGEOT 405 УН 1987-1995  СТ ФОРТ ЗАДН НЕП ПР БР</t>
  </si>
  <si>
    <t>PEUGEOT 405 СД+УН 1987-1995  СТ ПЕР ДВ ОП ПР БР</t>
  </si>
  <si>
    <t>PEUGEOT 405 СД 1987-1995 СТ БОК НЕП ПР БР</t>
  </si>
  <si>
    <t>PEUGEOT 405 УН 1987-1995  СТ ФОРТ ЗАДН НЕП ПР</t>
  </si>
  <si>
    <t>PEUGEOT 405 СД+УН 1987-1995 СТ ПЕР ДВ ОП ПР</t>
  </si>
  <si>
    <t>PEUGEOT 405 СД 1987-1995  СТ ЗАДН ДВ ОП ПР</t>
  </si>
  <si>
    <t>PEUGEOT 405 СД 1987-1995 СТ БОК НЕП ПР</t>
  </si>
  <si>
    <t>PEUGEOT 405 УН 1987-1995  СТ ЗАДН ДВ ОП ПР ЗЛ</t>
  </si>
  <si>
    <t>PEUGEOT 405 УН 1987-1995 СТ БОК ПР ЗЛ</t>
  </si>
  <si>
    <t>PEUGEOT 405 УН 1987-1995 СТ БОК НЕП ПР ЗЛ</t>
  </si>
  <si>
    <t>PEUGEOT 405 СД+УН 1987-1995 СТ ПЕР ДВ ОП ПР ЗЛ</t>
  </si>
  <si>
    <t>PEUGEOT 405 СД 1987-1995  СТ ЗАДН ДВ ОП ПР ЗЛ</t>
  </si>
  <si>
    <t>PEUGEOT 405 СД 1987-1995  СТ БОК НЕП ПР ЗЛ</t>
  </si>
  <si>
    <t>406 1995-2004</t>
  </si>
  <si>
    <t>PEUGEOT 406 2001-2004 СТ ВЕТР+ДД+VIN</t>
  </si>
  <si>
    <t>PEUGEOT 406 1995-2004  СТ ВЕТР+КР+VIN</t>
  </si>
  <si>
    <t>PEUGEOT 406 1995-2004  СТ ВЕТР ЗЛЗЛ +VIN</t>
  </si>
  <si>
    <t>PEUGEOT 406 1995-2004  СТ ВЕТР ЗЛ+КР+ДД+VIN</t>
  </si>
  <si>
    <t>PEUGEOT 406 1995-2004  СТ ВЕТР ЗЛ КР+VIN</t>
  </si>
  <si>
    <t>PEUGEOT 406 1995-2004  УСТ КОМПЛ ДЛЯ СТ ВЕТР</t>
  </si>
  <si>
    <t>PEUGEOT 406 1995-2004  МОЛД  ДЛЯ СТ ВЕТР ВЕРХ</t>
  </si>
  <si>
    <t>PEUGEOT 406 УН 1996-2004  СТ ЗАДН ОТВ</t>
  </si>
  <si>
    <t>PEUGEOT 406 УН 1996-2004  СТ ЗАДН ЗЛ 1 ОТВ</t>
  </si>
  <si>
    <t>PEUGEOT 406 СД 1995-2004  СТ ЗАДН ЭО ЗЛ+СТОП+УО</t>
  </si>
  <si>
    <t>PEUGEOT 406 СД 1995-2004  СТ ЗАДН ЗЛ+СТОП+УО</t>
  </si>
  <si>
    <t>PEUGEOT 406 УН 2002-2004  СТ ЗАДН ЭО ТЗЛ 1 ОТВ</t>
  </si>
  <si>
    <t>PEUGEOT 406 СД 1995-2004  СТ ПЕР ДВ ОП ЛВ</t>
  </si>
  <si>
    <t>PEUGEOT 406 СД 1995-2004  СТ БОК НЕП ЛВ</t>
  </si>
  <si>
    <t>PEUGEOT 406 УН 1996-2004 СТ ЗАДН ДВ ОП ЛВ ЗЛ 2ОТВ</t>
  </si>
  <si>
    <t>PEUGEOT 406 УН 1996-2004  СТ БОК ЛВ ЗЛ+ИНК</t>
  </si>
  <si>
    <t>PEUGEOT 406 УН 1996-2004  СТ БОК НЕП ЛВ ЗЛ</t>
  </si>
  <si>
    <t>PEUGEOT 406 СД 1995-2004  СТ ПЕР ДВ ОП ЛВ ЗЛ</t>
  </si>
  <si>
    <t>PEUGEOT 406 СД 1995-2004  СТ ЗАДН ДВ ОП ЛВ ЗЛ</t>
  </si>
  <si>
    <t>PEUGEOT 406 СД 1995-2004  СТ ЗАДН ДВ НЕП ЛВ ЗЛ</t>
  </si>
  <si>
    <t>PEUGEOT 406 СД+УН 1995-2004  СТ ПЕР ДВ ОП ПР</t>
  </si>
  <si>
    <t>PEUGEOT 406 СД 1995-2004  СТ ЗАДН ДВ ОП ПР</t>
  </si>
  <si>
    <t>PEUGEOT 406 СД 1995-2004  СТ ФОРТ ЗАДН НЕП ПР</t>
  </si>
  <si>
    <t>PEUGEOT 406 УН 1996-2004 СТ ЗАДН ДВ ОП ПР ЗЛ 2ОТВ</t>
  </si>
  <si>
    <t>PEUGEOT 406 УН 1996-2004 СТ БОК ПР ЗЛ+ИНК</t>
  </si>
  <si>
    <t>PEUGEOT 406 УН 1996-2004 СТ БОК НЕП ПР ЗЛ</t>
  </si>
  <si>
    <t>PEUGEOT 406 СД 1995-2004 СТ ПЕР ДВ ОП ПР ЗЛ</t>
  </si>
  <si>
    <t>PEUGEOT 406 СД 1995-2004 СТ ЗАДН ДВ ОП ПР ЗЛ</t>
  </si>
  <si>
    <t>PEUGEOT 406 СД 1995-2004 СТ ЗАДН ДВ НЕП ПР ЗЛ</t>
  </si>
  <si>
    <t>406 КП 1997-2005</t>
  </si>
  <si>
    <t>PEUGEOT 406 КП 1997-2005 СТ ВЕТР ЗЛ</t>
  </si>
  <si>
    <t>PEUGEOT 406 КП 1997-2005 СТ ВЕТР ЗЛ+ДД</t>
  </si>
  <si>
    <t>PEUGEOT 406 КП 1997-2005 МОЛД  ДЛЯ СТ ВЕТР</t>
  </si>
  <si>
    <t>PEUGEOT 406 КП 11/1999-2005 СТ ПЕР ДВ ОП ЛВ ЗЛ+УО</t>
  </si>
  <si>
    <t>PEUGEOT 406 КП 1997-2005  СТ ПЕР ДВ ОП ПР ЗЛ+ФИТ</t>
  </si>
  <si>
    <t>PEUGEOT 406 КП 11/1999-2005 СТ ПЕР ДВ ОП ПР ЗЛ+УО</t>
  </si>
  <si>
    <t>407 2004-</t>
  </si>
  <si>
    <t>PEUGEOT 407 СД+УН 2004-  СТ ВЕТР ТЕПЛООТР+ДД+VIN+ИНК</t>
  </si>
  <si>
    <t>PEUGEOT 407 СД+УН 2004-  СТ ВЕТР ЗЛ GPS+ДД+VIN+ИНК</t>
  </si>
  <si>
    <t>PEUGEOT 407 СД+УН 2004-  СТ ВЕТР ЗЛ+ДД+VIN+ИНК+ИЗМ ДЕРЖ ЗЕРК</t>
  </si>
  <si>
    <t>PEUGEOT 407 СД+УН 2004-  СТ ВЕТР ЗЛ+VIN+ИНК</t>
  </si>
  <si>
    <t>PEUGEOT 407 СД 2004-  СТ ЗАДН ЗЛ+АНТ+СТОП+ИНК</t>
  </si>
  <si>
    <t>PEUGEOT 407 СД+УН 2004-  СТ ПЕР ДВ ОП ЛВ ЗЛ</t>
  </si>
  <si>
    <t>PEUGEOT 407 СД+УН 2004-  СТ ПЕР ДВ ОП ЛВ ЗЛ+ТРИПЛ+УО</t>
  </si>
  <si>
    <t>PEUGEOT 407 СД+УН 2004-  СТ ФОРТ ПЕР НЕП ЛВ ЗЛ+VIN+ИНК</t>
  </si>
  <si>
    <t>PEUGEOT 407 СД 2004-  СТ ЗАДН ДВ ОП ЛВ ЗЛ</t>
  </si>
  <si>
    <t>PEUGEOT 407 СД 2004-  СТ ЗАДН ДВ ОП ЛВ ЗЛ+ТРИПЛ+УО</t>
  </si>
  <si>
    <t>PEUGEOT 407 УН 2004-  СТ ЗАДН ДВ ОП ПР ЗЛ</t>
  </si>
  <si>
    <t>PEUGEOT 407 СД+УН 2004-  СТ ПЕР ДВ ОП ПР ЗЛ</t>
  </si>
  <si>
    <t>PEUGEOT 407 СД+УН 2004-  СТ ПЕР ДВ ОП ПР ЗЛ+ТРИПЛ+УО</t>
  </si>
  <si>
    <t>PEUGEOT 407 СД+УН 2004-  СТ ФОРТ ПЕР НЕП ПР ЗЛ+VIN+ИНК</t>
  </si>
  <si>
    <t>PEUGEOT 407 СД 2004-  СТ ЗАДН ДВ ОП ПР ЗЛ</t>
  </si>
  <si>
    <t>PEUGEOT 407 СД 2004-  СТ ЗАДН ДВ ОП ПР ЗЛ+ТРИПЛ+УО</t>
  </si>
  <si>
    <t>407 КП 2005-</t>
  </si>
  <si>
    <t>PEUGEOT 407 КП 2005- СТ ВЕТР ТЕПЛООТР АКУСТИК GPS+VIN+ДД+ИНК+ИЗМ ДЕРЖ ЗЕРК</t>
  </si>
  <si>
    <t>PEUGEOT 407 КП 2005- СТ ВЕТР ТЕПЛООТР АКУСТИК GPS+VIN+ДД+ИНК</t>
  </si>
  <si>
    <t>PEUGEOT 407 КП 2005- СТ ВЕТР ТЕПЛООТР АКУСТИК+ДД+VIN+ИНК</t>
  </si>
  <si>
    <t>PEUGEOT 407 КП 2005- СТ ВЕТР ТЕПЛООТР АКУСТИК+VIN+ДД+ИНК+ИЗМ КР</t>
  </si>
  <si>
    <t>PEUGEOT 407 КП 2005- СТ ЗАДН ЗЛ+АНТ+ИНК</t>
  </si>
  <si>
    <t>4007 2007-</t>
  </si>
  <si>
    <t>PEUGEOT 4007 2007- СТ ВЕТР ЗЛ+ЭО/ MITSUBISHI OUTLANDER 2007- СТ ВЕТР ЗЛ+ЭО+КР</t>
  </si>
  <si>
    <t>PEUGEOT 4007 2007- СТ ПЕР ДВ ОП ЛВ ЗЛ+УО/MITSUBISHI OUTLANDER 2007- СТ ПЕР ДВ ОП ЛВ ЗЛ+УО</t>
  </si>
  <si>
    <t>PEUGEOT 4007 2007- СТ ЗАДН ДВ ОП ЛВ ЗЛ+УО/MITSUBISHI OUTLANDER 2007- СТ ЗАДН ДВ ОП ЛВ ЗЛ+УО</t>
  </si>
  <si>
    <t>PEUGEOT 4007 2007- СТ ПЕР ДВ ОП ПР ЗЛ+УО/MITSUBISHI OUTLANDER 2007- СТ ПЕР ДВ ОП ПР ЗЛ+УО</t>
  </si>
  <si>
    <t>PEUGEOT 4007 2007- СТ ЗАДН ДВ ОП ПР ЗЛ+УО/MITSUBISHI OUTLANDER 2007- СТ ЗАДН ДВ ОП ПР ЗЛ+УО</t>
  </si>
  <si>
    <t>504, СД+УН 1968-1984</t>
  </si>
  <si>
    <t>1968-1984</t>
  </si>
  <si>
    <t>PEUGEOT 504, СД+УН 1968-1984 СТ ВЕТР</t>
  </si>
  <si>
    <t>505, СД+УН 1979-1986</t>
  </si>
  <si>
    <t>PEUGEOT 505 СД+УН 1979-1986 СТ ВЕТР +КР</t>
  </si>
  <si>
    <t>PEUGEOT 505 СД+УН 1979-1986 СТ ПЕР ДВ ОП ПР</t>
  </si>
  <si>
    <t>508 2010-</t>
  </si>
  <si>
    <t>PEUGEOT 508 2010- СТ ВЕТР ЗЛЗЛ+VIN+ИНК</t>
  </si>
  <si>
    <t>605 1989-2000</t>
  </si>
  <si>
    <t>PEUGEOT 605 1989-2000 СТ ВЕТР ЗЛ</t>
  </si>
  <si>
    <t>PEUGEOT 605 1989-2000  СТ ВЕТР ЗЛГЛ</t>
  </si>
  <si>
    <t>PEUGEOT 605 1989-2000  СТ ВЕТР ЗЛЗЛ</t>
  </si>
  <si>
    <t>PEUGEOT 605 1997-2000  СТ ВЕТР ЗЛ+КР+ДД</t>
  </si>
  <si>
    <t>PEUGEOT 605 1989-2000  СТ ПЕР ДВ ОП ЛВ ЗЛ</t>
  </si>
  <si>
    <t>PEUGEOT 605 1989-2000  СТ ЗАДН ДВ ОП ЛВ ЗЛ</t>
  </si>
  <si>
    <t>PEUGEOT 605 1989-2000  СТ ПЕР ДВ ОП ПР ЗЛ</t>
  </si>
  <si>
    <t>PEUGEOT 605 1989-2000  СТ ЗАДН ДВ ОП ПР ЗЛ</t>
  </si>
  <si>
    <t>PEUGEOT 605 1989-2000 СТ БОК НЕП ПР ЗЛ</t>
  </si>
  <si>
    <t>607 2000-</t>
  </si>
  <si>
    <t>PEUGEOT 607 2000- СТ ВЕТР +ШЕЛК ДД+ИНК+VIN</t>
  </si>
  <si>
    <t>PEUGEOT 607 2000- СТ ВЕТР ТЕПЛООТР+ДД+ИНК+VIN+ИЗМ ШЕЛК</t>
  </si>
  <si>
    <t>PEUGEOT 607 2000- СТ ВЕТР+ДД+VIN+ИНК+ИЗМ ШЕЛК</t>
  </si>
  <si>
    <t>PEUGEOT 607 СД 2000- СТ ЗАДН ЗЛ ИНК+СТОП+АНТ</t>
  </si>
  <si>
    <t>PEUGEOT 607 СД 2004- СТ ЗАДН ЭО ЗЛ+АНТ+СТОП+ИНК+АНТ</t>
  </si>
  <si>
    <t>PEUGEOT 607 2000- СТ ПЕР ДВ ОП ЛВ ЗЛ</t>
  </si>
  <si>
    <t>PEUGEOT 607 2000- СТ ПЕР ДВ ОП ЛВ ЗЛ+ТРИПЛ+УО</t>
  </si>
  <si>
    <t>PEUGEOT 607 2000- СТ ЗАДН ДВ ОП ЛВ ЗЛ</t>
  </si>
  <si>
    <t>PEUGEOT 607 2000- СТ ЗАДН ДВ ОП ЛВ ЗЛ+УО</t>
  </si>
  <si>
    <t>PEUGEOT 607 2000- СТ ПЕР ДВ ОП ПР ЗЛ</t>
  </si>
  <si>
    <t>PEUGEOT 607 2000- СТ ЗАДН ДВ ОП ПР ЗЛ</t>
  </si>
  <si>
    <t>PEUGEOT 607 2000- СТ ЗАДН ДВ ОП ПР ЗЛ+ТРИПЛ+УО</t>
  </si>
  <si>
    <t>807 2002-</t>
  </si>
  <si>
    <t>PEUGEOT 807 2002- СТ ВЕТР ТЕПЛООТР+ДД+VIN+ИНК/ CITROEN C8 2002-  СТ ВЕТР ТЕПЛООТР+ДД+VIN+ИНК</t>
  </si>
  <si>
    <t>PEUGEOT 807 2002- СТ ВЕТР ТЕПЛООТР+ИЗМ ДД+VIN+ИНК/ CITROEN C8 07/2006-2007-  СТ ВЕТР ТЕПЛООТР+ДД+VIN+ИНК+ИЗМ ДД</t>
  </si>
  <si>
    <t>PEUGEOT 807 2002- СТ ВЕТР ТЕПЛООТР+ИНК+ДД+КР+VIN+ИНК+ИЗМ ДЕРЖ ЗЕРК/ CITROEN C8 2007-  СТ ВЕТР ТЕПЛООТР+ДД+VIN+ИНК+ИЗМ ШЕЛК</t>
  </si>
  <si>
    <t>PEUGEOT 807 2002- СТ ВЕТР ТЕПЛООТР+VIN+ИНК/ CITROEN C8 2002-  СТ ВЕТР ТЕПЛООТР+VIN+ИНК</t>
  </si>
  <si>
    <t>PEUGEOT 807 2002- СТ ВЕТР ЗЛ+VIN+ИНК/ CITROEN C8 2002-  СТ ВЕТР ЗЛ+VIN+ИНК</t>
  </si>
  <si>
    <t>PEUGEOT 807 МИН 2002- СТ ЗАДН ЗЛ+СТОП</t>
  </si>
  <si>
    <t>PEUGEOT 807 2002- СТ ПЕР ДВ ОП ЛВ ЗЛ/ CITROEN C8 2002-  СТ ПЕР ДВ ОП ЛВ ЗЛ</t>
  </si>
  <si>
    <t>PEUGEOT 807 2002- СТ ЗАДН ДВ ОП ЛВ ЗЛ/ CITROEN C8 2002- СТ ЗАДН ДВ ОП ЛВ ЗЛ</t>
  </si>
  <si>
    <t>PEUGEOT 807 2002- СТ ПЕР ДВ ОП ПР ЗЛ/ CITROEN C8 2002-  СТ ПЕР ДВ ОП ПР ЗЛ</t>
  </si>
  <si>
    <t>PEUGEOT 807 2002- СТ ЗАДН ДВ ОП ПР ЗЛ/ CITROEN C8 2002- СТ ЗАДН ДВ ОП ПР ЗЛ</t>
  </si>
  <si>
    <t>1007 2004/10-</t>
  </si>
  <si>
    <t>PEUGEOT 1007 2004/10- СТ ВЕТР</t>
  </si>
  <si>
    <t>PEUGEOT 1007 2004/10- СТ ВЕТР ТЕПЛООТР ДД</t>
  </si>
  <si>
    <t>PEUGEOT 1007 2004/10- СТ ВЕТР ЗЛ</t>
  </si>
  <si>
    <t>PEUGEOT 1007 2005/10-  СТ ВЕТР ЗЛ+ДД</t>
  </si>
  <si>
    <t>PEUGEOT 1007 ХБ 2005- СТ ЗАДН ЗЛ</t>
  </si>
  <si>
    <t>PEUGEOT 1007 ХБ 2005/10- СТ ЗАДН ТСР</t>
  </si>
  <si>
    <t>PEUGEOT 1007 ХБ 5Д 2004/10- СТ ЗАДН НЕП ЛВ ТЗЛ</t>
  </si>
  <si>
    <t>PEUGEOT 1007 2005/10- СТ ПЕР ДВ ОП ЛВ ЗЛ</t>
  </si>
  <si>
    <t>PEUGEOT 1007 2005/10- СТ ПЕР НЕП ЛВ ЗЛ+VIN</t>
  </si>
  <si>
    <t>PEUGEOT 1007 2005/10- СТ БОК НЕП ЛВ ЗЛ</t>
  </si>
  <si>
    <t>PEUGEOT 1007 2005/10- СТ БОК ЛВ ЗЛ</t>
  </si>
  <si>
    <t>PEUGEOT 1007 2005/10- СТ БОК ЛВ ТСР</t>
  </si>
  <si>
    <t>PEUGEOT 1007 ХБ 5Д 2004/10- СТ ЗАДН НЕП ПР ТЗЛ</t>
  </si>
  <si>
    <t>PEUGEOT 1007 2005/10- СТ ПЕР ДВ ОП ПР ЗЛ</t>
  </si>
  <si>
    <t>PEUGEOT 1007 2005/10- СТ ПЕР НЕП ПР ЗЛ</t>
  </si>
  <si>
    <t>PEUGEOT 1007 2005/10- СТ БОК НЕП ПР ЗЛ</t>
  </si>
  <si>
    <t>PEUGEOT 1007 2005/10- СТ БОК ПР ЗЛ</t>
  </si>
  <si>
    <t>PEUGEOT 1007 2005/10- СТ БОК ПР ТСР</t>
  </si>
  <si>
    <t>3008 2009-</t>
  </si>
  <si>
    <t>PEUGEOT 3008 09- СТ ВЕТР ЗЛ+ДД+VIN+ДО</t>
  </si>
  <si>
    <t>PEUGEOT 3008 09-СТ ВЕТР ЗЛ+VIN+ДО</t>
  </si>
  <si>
    <t>BIPPER 2008-</t>
  </si>
  <si>
    <t>PEUGEOT BIPPER 2008- СТ ВЕТР ЗЛ+VIN/FIAT FIORINO 2008- СТ ВЕТР ЗЛ+VIN</t>
  </si>
  <si>
    <t>BOXER 1998-2006/1994-2006</t>
  </si>
  <si>
    <t>PEUGEOT BOXER 1998-2006 СТ ВЕТР+КР/CITROEN JUMPER 1998-2006  СТ ВЕТР КР+ИЗМ ШЕЛК</t>
  </si>
  <si>
    <t>PEUGEOT BOXER 1998-2006 СТ ВЕТР ЗЛ+КР/CITROEN JUMPER 1998-2006  СТ ВЕТР ЗЛ КР+ИЗМ ШЕЛК</t>
  </si>
  <si>
    <t>PEUGEOT BOXER 1998-2006 СТ ВЕТР ЗЛЗЛ+КР/CITROEN PEUGEOT BOXER 1998-2006  СТ ВЕТР ЗЛЗЛ+ИЗМ ШЕЛК</t>
  </si>
  <si>
    <t>PEUGEOT BOXER 1998-2006 МОЛД  ДЛЯ СТ ВЕТР</t>
  </si>
  <si>
    <t>PEUGEOT BOXER МИН 1994-2006 СТ ЗАДН ПР Б/ЭО/CITROEN JUMPER 1994-2006  СТ ЗАДН ПР Б/ЭО</t>
  </si>
  <si>
    <t>PEUGEOT BOXER 1994-2006 СТ ПЕР ДВ ОП ЛВ/CITROEN JUMPER 1994-2006  СТ ПЕР ДВ ОП ЛВ</t>
  </si>
  <si>
    <t>PEUGEOT BOXER 1994-2006 СТ ФОТР ПЕР НЕП ЛВ/CITROEN JUMPER 1994-2006  СТ ФОРТ ПЕР НЕП ЛВ</t>
  </si>
  <si>
    <t>PEUGEOT BOXER 1994-2006 СТ ПЕР ДВ ОП ЛВ ЗЛ/CITROEN JUMPER 1994-2006  СТ ПЕР ДВ ОП ЛВ ЗЛ</t>
  </si>
  <si>
    <t>PEUGEOT BOXER 1994-2006 СТ ПЕР ДВ ОП ПР/CITROEN JUMPER 1994-2006  СТ ПЕР ДВ ОП ПР</t>
  </si>
  <si>
    <t>PEUGEOT BOXER 1994-2006 СТ ПЕР ДВ ОП ПР ЗЛ/CITROEN JUMPER 1994-2006  СТ ПЕР ДВ ОП ПР ЗЛ</t>
  </si>
  <si>
    <t>BOXER II 2006-</t>
  </si>
  <si>
    <t>PEUGEOT BOXER II 2006- СТ ВЕТР ТЕПЛООТР+ДД+VIN+ИНК+КР/ CITROEN JUMPER II 2006- СТ ВЕТР ТЕПЛООТР+ДД+VIN+ИНК+ИЗМ ШЕЛК</t>
  </si>
  <si>
    <t>PEUGEOT BOXER II 2006- СТ ВЕТР ТЕПЛООТР+VIN+ИНК/ CITROEN JUMPER II 2006- СТ ВЕТР ТЕПЛООТР+VIN+ИНК</t>
  </si>
  <si>
    <t>PEUGEOT BOXER II 2006- СТ ВЕТР ЗЛ+ДД+VIN+ИНК+КР/ CITROEN JUMPER II 2006- СТ ВЕТР ЗЛ+ДД+VIN+ИНК+ИЗМ ШЕЛК</t>
  </si>
  <si>
    <t>PEUGEOT BOXER II 2006- СТ ВЕТР ЗЛ+VIN+ИНК/ CITROEN JUMPER II 2006- СТ ВЕТР ЗЛ+VIN+ИНК</t>
  </si>
  <si>
    <t>CITROEN JUMPER III 2006-  СТ ПЕР ДВ ОП ЛВ ЗЛ+УО/FIAT DUCATO III 2006-  СТ ПЕР ДВ ОП ЛВ ЗЛ+УО</t>
  </si>
  <si>
    <t>CITROEN JUMPER III 2006-  СТ ПЕР ДВ ОП ПР ЗЛ+УО/FIAT DUCATO III 2006-  СТ ПЕР ДВ ОП ПР ЗЛ+УО</t>
  </si>
  <si>
    <t>806 1994-2000 /EXPERT 1996-2000</t>
  </si>
  <si>
    <t>PEUGEOT 806 1994-2000 /EXPERT 1996-2000 СТ ВЕТР ТЕПЛООТР/CITROEN EVASION 94-/JUMPY 96- СТ ВЕТР ТЕПЛООТР</t>
  </si>
  <si>
    <t>PEUGEOT 806 1994-2000 /EXPERT 1996-2000 СТ ВЕТР/CITROEN EVASION 1994- /PG JUMPY 1996-  СТ ВЕТР</t>
  </si>
  <si>
    <t>PEUGEOT 806 1994-2000 /EXPERT 1996-2000 СТ ВЕТР ЗЛ/CITROEN EVASION 1994- /PG JUMPY 1996-  СТ ВЕТР ЗЛ</t>
  </si>
  <si>
    <t>PEUGEOT 806 1994-2000 /EXPERT 1996-2000 МОЛД  ДЛЯ СТ ВЕТР</t>
  </si>
  <si>
    <t>PEUGEOT 806 МИН 1994-2000 /EXPERT 1996-2000 СТ ЗАДН ЛВ/CITROEN JUMPY 1996-  СТ ЗАДН ЭО ЛВ</t>
  </si>
  <si>
    <t>PEUGEOT 806 МИН 1994-2000 /EXPERT 1996-2000 СТ ЗАДН ЛВ Б/ЭО/CITROEN JUMPY 1996-  СТ ЗАДН ЛВ</t>
  </si>
  <si>
    <t>PEUGEOT 806 МИН 1994-2000 /EXPERT 1996-2000 СТ ЗАДН ПР/CITROEN JUMPY 1996-  СТ ЗАДН ЭО ПР</t>
  </si>
  <si>
    <t>PEUGEOT 806 МИН 1994-2000 /EXPERT 1996-2000 СТ ЗАДН ПР Б/ЭО/CITROEN JUMPY 1996-  СТ ЗАДН ПР</t>
  </si>
  <si>
    <t>PEUGEOT 806 МИН 1994-2000 /EXPERT 1996-2000 СТ ЗАДН ЗЛ+СТОП/CITROEN EVASION 1994-  СТ ЗАДН ЭО ЗЛ+СТОП</t>
  </si>
  <si>
    <t>PEUGEOT 806 МИН 1994-2000 /EXPERT 1996-2000 СТ ЗАДН ЗЛ ЛВ/CITROEN JUMPY 1996-  СТ ЗАДН ЭО ЛВ ЗЛ</t>
  </si>
  <si>
    <t>PEUGEOT 806 МИН 1994-2000 /EXPERT 1996-2000 СТ ЗАДН ЗЛ ЛВ Б/ЭО/CITROEN JUMPY 1996-  СТ ЗАДН ЛВ ЗЛ</t>
  </si>
  <si>
    <t>PEUGEOT 806 МИН 1994-2000 /EXPERT 1996-2000 СТ ЗАДН ЗЛ ПР/CITROEN JUMPY 1996-  СТ ЗАДН ЭО ПР ЗЛ</t>
  </si>
  <si>
    <t>PEUGEOT 806 МИН 1994-2000 /EXPERT 1996-2000 СТ ЗАДН ЗЛ ПР Б/ЭО/CITROEN JUMPY 1996-  СТ ЗАДН ПР ЗЛ</t>
  </si>
  <si>
    <t>PEUGEOT 806 1994-2000 /EXPERT 1996-2000 СТ ПЕР ДВ ОП ЛВ/CITROEN EVASION 1994- /JUMPY 1996- СТ ПЕР ДВ ОП ЛВ</t>
  </si>
  <si>
    <t>PEUGEOT 806 1994-2000 /EXPERT 1996-2000 СТ ПЕР НЕП ЛВ/CITROEN EVASION 1994- /JUMPY 1996-  СТ ПЕР НЕП ЛВ</t>
  </si>
  <si>
    <t>PEUGEOT 806 1994-2000 /EXPERT 1996-2000 СТ ПЕР НЕП ЛВ ЗЛ/CITROEN EVASION 1994- /JUMPY 1996- СТ ПЕР НЕП ЛВ ЗЛ</t>
  </si>
  <si>
    <t>PEUGEOT 806 1994-2000 /EXPERT 1996-2000 СТ ПЕР ДВ ОП ПР/CITROEN EVASION 1994- /JUMPY 1996- СТ ПЕР ДВ ОП ПР</t>
  </si>
  <si>
    <t>PEUGEOT 806 1994-2000 /EXPERT 1996-2000 СТ ПЕР БОК ПЕР НЕП ПР/CITROEN EVASION 1994- /JUMPY 1996-  СТ ПЕР НЕП ПР</t>
  </si>
  <si>
    <t>PEUGEOT 806 1994-2000 /EXPERT 1996-2000 СТ ПЕР ДВ НЕП НЕП ПР/CITROEN EVASION 1994- /JUMPY 1996-  СТ ПЕР НЕП ПР ЗЛ</t>
  </si>
  <si>
    <t>EXPERT (G9) 2006-</t>
  </si>
  <si>
    <t>PEUGEOT EXP (G9) 2006-  СТ ВЕТР ТЕПЛООТР+ДД+VIN+ИНК/CITROEN JUMPY (G9) 2006-  СТ ВЕТР ТЕПЛООТР+ДД+VIN+ИНК</t>
  </si>
  <si>
    <t>PEUGEOT EXP (G9) 2006-  СТ ВЕТР ТЕПЛООТР+VIN+ИНК/CITROEN JUMPY (G9) 2006-  СТ ВЕТР ТЕПЛООТР+VIN+ИНК</t>
  </si>
  <si>
    <t>PEUGEOT EXP (G9) 2006-  СТ ВЕТР ЗЛ+ДД+VIN+ИНК/CITROEN JUMPY (G9) 2006-  СТ ВЕТР ЗЛ+ДД+VIN+ИНК</t>
  </si>
  <si>
    <t>PEUGEOT EXP (G9) 2006-  СТ ВЕТР ЗЛ+VIN+ИНК/CITROEN JUMPY (G9) 2006-  СТ ВЕТР ЗЛ+VIN+ИНК</t>
  </si>
  <si>
    <t>PEUGEOT EXP МИН (G9) 2006-  СТ ЗАДН ТЗЛ+VIN+СТОП/CITROEN JUMPY (G9) 2006-  СТ ЗАДН ТЗЛ+СТОП</t>
  </si>
  <si>
    <t>PEUGEOT EXP МИН (G9) 2006-  СТ ЗАДН ЗЛ+СТОП/CITROEN JUMPY (G9) 2006-  СТ ЗАДН ЗЛ+СТОП</t>
  </si>
  <si>
    <t>PEUGEOT EXP МИН (G9) 2006-  СТ ЗАДН ЗЛ ЛВ/CITROEN JUMPY (G9) 2006-  СТ ЗАДН ЗЛ ЛВ</t>
  </si>
  <si>
    <t>PEUGEOT EXP МИН (G9) 2006-  СТ ЗАДН ЗЛ ЛВ Б/ЭО/FIAT SCUDO 2007-  СТ ЗАДН ЗЛ ЛВ Б/ЭО</t>
  </si>
  <si>
    <t>PEUGEOT EXP МИН (G9) 2006-  СТ ЗАДН ЗЛ ПР/CITROEN JUMPY (G9) 2006-  СТ ЗАДН ЗЛ ПР</t>
  </si>
  <si>
    <t>PEUGEOT EXP МИН (G9) 2006-  СТ ЗАДН ЗЛ ПР+Б/ЭО/FIAT SCUDO 2007-  СТ ЗАДН ЗЛ ПР Б/ЭО</t>
  </si>
  <si>
    <t>PEUGEOT EXP (G9) 2006-  СТ БОК НЕП ЛВ ТЗЛ/CITROEN JUMPY (G9) 2006-  СТ БОК НЕП ЛВ ТЗЛ</t>
  </si>
  <si>
    <t>PEUGEOT EXP (G9) 2006-  СТ БОК НЕП ЛВ ТЗЛ/CITROEN JUMPY (G9) 2006-  СТ БОК НЕП ЛВ ТЗЛ+ИЗМ РАЗМ</t>
  </si>
  <si>
    <t>PEUGEOT EXP (G9) 2006-  СТ ЗАДН ДВ ОП ЛВ ТЗЛ/CITROEN JUMPY (G9) 2006-  СТ ЗАДН ДВ ОП ЛВ ТЗЛ</t>
  </si>
  <si>
    <t>PEUGEOT EXP (G9) 2006-  СТ ПЕР ДВ ОП ЛВ ЗЛ/CITROEN JUMPY (G9) 2006-  СТ ПЕР ДВ ОП ЛВ ЗЛ</t>
  </si>
  <si>
    <t>PEUGEOT EXP (G9) 2006-  СТ ЗАДН ДВ ОП ЛВ ЗЛ/CITROEN JUMPY (G9) 2006-  СТ ЗАДН ДВ ОП ЛВ ТЗЛ</t>
  </si>
  <si>
    <t>PEUGEOT EXP (G9) 2006-  СТ БОК НЕП ЛВ ЗЛ/CITROEN JUMPY (G9) 2006-  СТ ЗАДН ДВ НЕП ЛВ ЗЛ</t>
  </si>
  <si>
    <t>PEUGEOT EXP (G9) 2006-  СТ БОК НЕП ЛВ ЗЛ/CITROEN JUMPY (G9) 2006-  СТ БОК НЕП ЛВ ЗЛ+ИЗМ РАЗМ</t>
  </si>
  <si>
    <t>PEUGEOT EXP (G9) 2006-  СТ БОК НЕП ПР ТЗЛ/CITROEN JUMPY (G9) 2006-  СТ БОК НЕП ПР ТЗЛ</t>
  </si>
  <si>
    <t>PEUGEOT EXP (G9) 2006-  СТ БОК НЕП ПР ТЗЛ/CITROEN JUMPY (G9) 2006-  СТ БОК НЕП ПР ТЗЛ+ИЗМ РАЗМ</t>
  </si>
  <si>
    <t>PEUGEOT EXP (G9) 2006-  СТ ЗАДН ДВ ОП ПР ТЗЛ/CITROEN JUMPY (G9) 2006-  СТ ЗАДН ДВ ОП ПР ТЗЛ</t>
  </si>
  <si>
    <t>PEUGEOT EXP (G9) 2006-  СТ ПЕР ДВ ОП ПР ЗЛ/CITROEN JUMPY (G9) 2006-  СТ ПЕР ДВ ОП ПР ЗЛ</t>
  </si>
  <si>
    <t>PEUGEOT EXP (G9) 2006-  СТ ЗАДН ДВ ОП ПР ЗЛ/CITROEN JUMPY (G9) 2006-  СТ ЗАДН ДВ ОП ПР ТЗЛ</t>
  </si>
  <si>
    <t>PEUGEOT EXP (G9) 2006-  СТ БОК НЕП ПР ЗЛ/CITROEN JUMPY (G9) 2006-  СТ БОК НЕП ПР ЗЛ</t>
  </si>
  <si>
    <t>PEUGEOT EXP (G9) 2006-  СТ БОК НЕП ПР ЗЛ/CITROEN JUMPY (G9) 2006-  СТ БОК НЕП ПР ЗЛ+ИЗМ РАЗМ</t>
  </si>
  <si>
    <t>PARTNER 2001-/1996-</t>
  </si>
  <si>
    <t>PEUGEOT PARTNER 2001- СТ ВЕТР ТЕПЛООТР/CITROEN BERLINGO 2001-2008  СТ ВЕТР ТЕПЛООТР+ИЗМ ДЕР ЗЕРК</t>
  </si>
  <si>
    <t>PEUGEOT PARTNER 1996- СТ ВЕТР/CITROEN BERLINGO 1996-2008  СТ ВЕТР</t>
  </si>
  <si>
    <t>PEUGEOT PARTNER 2001- СТ ВЕТР+КР/CITROEN BERLINGO 1996-2001  СТ ВЕТР+ИЗМ ДЕР ЗЕРК</t>
  </si>
  <si>
    <t>PEUGEOT PARTNER 1996- СТ ВЕТР ЗЛ/CITROEN BERLINGO 1996-2008  СТ ВЕТР ЗЛ</t>
  </si>
  <si>
    <t>PEUGEOT PARTNER 2001- СТ ВЕТР ЗЛ+КР/CITROEN BERLINGO 1996-2001  СТ ВЕТР ЗЛ+ИЗМ ДЕР ЗЕРК</t>
  </si>
  <si>
    <t>PEUGEOT PARTNER 2001- СТ ВЕТР ЗЛГЛ/CITROEN BERLINGO 1996-2001  СТ ВЕТР ЗЛГЛ+ИЗМ ДЕР ЗЕРК</t>
  </si>
  <si>
    <t>PEUGEOT PARTNER 2001- СТ ВЕТР ЗЛ+ДД/CITROEN BERLINGO 2001-2008  СТ ВЕТР ЗЛ+ДД+ИЗМ ДЕР ЗЕРК</t>
  </si>
  <si>
    <t>PEUGEOT PARTNER МИН 1996- СТ ЗАДН/CITROEN BERLINGO 1996-2008  СТ ЗАДН</t>
  </si>
  <si>
    <t>PEUGEOT PARTNER МИН 1996- СТ ЗАДН ЛВ Б/ЭО/CITROEN BERLINGO 1996-2008  СТ ЗАДН ЛВ Б/ЭО</t>
  </si>
  <si>
    <t>PEUGEOT PARTNER МИН 1996- СТ ЗАДН ПР Б/ЭО/CITROEN BERLINGO 1996-2008  СТ ЗАДН ПР Б/ЭО</t>
  </si>
  <si>
    <t>PEUGEOT PARTNER МИН 1996- СТ ЗАДН ЗЛ/CITROEN BERLINGO 1996-2008  СТ ЗАДН ЗЛ</t>
  </si>
  <si>
    <t>PEUGEOT PARTNER МИН 1996- СТ ЗАДН ЗЛ ЛВ/CITROEN BERLINGO 1996-2008  СТ ЗАДН ЭО ЛВ ЗЛ</t>
  </si>
  <si>
    <t>PEUGEOT PARTNER МИН 1996- СТ ЗАДН ЗЛ ЛВ Б/ЭО/CITROEN BERLINGO 1996-2008  СТ ЗАДН ЛВ ЗЛ Б/ЭО</t>
  </si>
  <si>
    <t>PEUGEOT PARTNER МИН 1996- СТ ЗАДН ЗЛ ПР/CITROEN BERLINGO 1996-2008  СТ ЗАДН ПР ЭО ЗЛ</t>
  </si>
  <si>
    <t>PEUGEOT PARTNER МИН 1996- СТ ЗАДН ЗЛ ПР Б/ЭО/CITROEN BERLINGO 1996-2008  СТ ЗАДН ПР ЗЛ Б/ЭО</t>
  </si>
  <si>
    <t>PEUGEOT PARTNER 1996- СТ ПЕР ДВ ОП ЛВ +2ОТВ/CITROEN BERLINGO 1996-2008  СТ ПЕР ДВ ОП ЛВ +2 ОТВ</t>
  </si>
  <si>
    <t>PEUGEOT PARTNER 1996- СТ ПЕР ДВ ОП ЛВ ЗЛ+2ОТВ/CITROEN BERLINGO 1996-2008  СТ ПЕР ДВ ОП ЛВ ЗЛ+2 ОТВ</t>
  </si>
  <si>
    <t>PEUGEOT PARTNER 1996- СТ СР ЗЛ ОТКР/CITROEN BERLINGO 1996-2008  СТ СР ЛВ ЗЛ+3ОТВ+ОТКР</t>
  </si>
  <si>
    <t>PEUGEOT PARTNER 1996- СТ ЗАДН ЗЛ НЕП ОТКР/CITROEN BERLINGO 1996-2008  СТ БОК НЕП ЛВ ЗЛ+1ОТВ+ОТКР</t>
  </si>
  <si>
    <t>PEUGEOT PARTNER 1996- СТ ПЕР ДВ ОП ПР +2ОТВ/CITROEN BERLINGO 1996-2008  СТ ПЕР ДВ ОП ПР+2 ОТВ</t>
  </si>
  <si>
    <t>PEUGEOT PARTNER 1996- СТ ПЕР ДВ ОП ПР ЗЛ+2ОТВ/CITROEN BERLINGO 1996-2008  СТ ПЕР ДВ ОП ПР ЗЛ+2 ОТВ</t>
  </si>
  <si>
    <t>PEUGEOT PARTNER 1996- СТ ЗАДН НЕП ПР ЗЛ ОТКР/CITROEN BERLINGO 1996-2008  СТ БОК НЕП ПР ЗЛ+1ОТВ+ОТКР</t>
  </si>
  <si>
    <t>PARTNER 2008-</t>
  </si>
  <si>
    <t>PEUGEOT PARTNER 2008- СТ ВЕТР ЗЛ+VIN+ИНК/CITROEN BERLINGO 2008-  СТ ВЕТР ЗЛ+VIN+ИНК+ИЗМ ДЕР ЗЕРК</t>
  </si>
  <si>
    <t>PEUGEOT PARTNER 2008- СТ ВЕТР ЗЛ+VIN+ИНК/CITROEN BERLINGO 2008-  СТ ВЕТР ЗЛ+VIN+ИНК</t>
  </si>
  <si>
    <t>PONTIAC</t>
  </si>
  <si>
    <t>TRANS SPORT 1990-1996</t>
  </si>
  <si>
    <t>PONTIAC TRANS SPORT 1990-1996 СТ ВЕТР ТЕПЛООТРГЛ+VIN</t>
  </si>
  <si>
    <t>TRANS SPORT 1997-</t>
  </si>
  <si>
    <t>PONTIAC TRANS SPORT 1997- СТ ВЕТР ТЕПЛООТРГЛ+АНТ+VIN/OPEL SINTRA 1997- СТ ВЕТР ТЕПЛООТРГЛ+АНТ+VIN</t>
  </si>
  <si>
    <t>PORSCHE</t>
  </si>
  <si>
    <t>911 COUPE/CAB (996) 2002-2003</t>
  </si>
  <si>
    <t>PORSCHE 911 CPE/CAB (996) 2002-2003 СТ ВЕТР ЗЛ+АНТ+VIN+ИНК</t>
  </si>
  <si>
    <t>911, 912, CARRERA, TARGA 1964-1985</t>
  </si>
  <si>
    <t>1964-1985</t>
  </si>
  <si>
    <t>PORSCHE 911 1964-1985 СТ ВЕТР</t>
  </si>
  <si>
    <t>PORSCHE 911,912,CARRER,TARGA 1964-1985  РЕЗ ПРОФ ДЛЯ СТ ВЕТР ШИР</t>
  </si>
  <si>
    <t>911, 964 CONV 1989-1993</t>
  </si>
  <si>
    <t>PORSCHE 964 1989-1993 СТ ВЕТР ЗЛ АНТ</t>
  </si>
  <si>
    <t>PORSCHE 964 1989-1993 СТ ВЕТР ЗЛЗЛ АНТ</t>
  </si>
  <si>
    <t>PORSCHE 964, 911 CONV 1989-1993  РЕЗ ПРОФ ДЛЯ СТ ВЕТР</t>
  </si>
  <si>
    <t>924, 944 SERIES 1975-1987</t>
  </si>
  <si>
    <t>1975-1987</t>
  </si>
  <si>
    <t>PORSCHE 924,944 SER 1975-1987 СТ ВЕТР ЗЛЗЛ</t>
  </si>
  <si>
    <t>CAYENNE 2002-</t>
  </si>
  <si>
    <t>PORSCHE CAYENNE 2002- СТ ВЕТР ЗЛСР+ДД+ИНК+VIN/VOLKSWAGEN TOUAREG 2002 СТ ВЕТР ЗЛСР+ДД+ИНК+VIN</t>
  </si>
  <si>
    <t>PORSCHE CAYENNE 2002- СТ ВЕТР ЗЛСР/ VOLKSWAGEN TOUAREG 2002- СТ ВЕТР ЗЛСР+VIN+ИНК</t>
  </si>
  <si>
    <t>PORSCHE CAYENNE 2002- СТ ПЕР ДВ ОП ЛВ ЗЛ/ VOLKSWAGEN TOUAREG 02  СТ ПЕР ДВ ОП ЛВ ЗЛ</t>
  </si>
  <si>
    <t>PORSCHE CAYENNE 2002- СТ ЗАДН ДВ ОП ЛВ ЗЛ/ VOLKSWAGEN TOUAREG 02  СТ ЗАДН ДВ ОП ЛВ ЗЛ</t>
  </si>
  <si>
    <t>PORSCHE CAYENNE 2002- СТ ПЕР ДВ ОП ПР ЗЛ/ VOLKSWAGEN TOUAREG 02  СТ ПЕР ДВ ОП ПР ЗЛ</t>
  </si>
  <si>
    <t>PORSCHE CAYENNE 2002- СТ ЗАДН ДВ ОП ПР/ VOLKSWAGEN TOUAREG 02  СТ ЗАДН ДВ ОП ПР ЗЛ</t>
  </si>
  <si>
    <t>CAYENNE 2010-</t>
  </si>
  <si>
    <t>PORSCHE CAYENNE 10- СТ ВЕТР ЗЛСР+ДД+VIN</t>
  </si>
  <si>
    <t>PORSCHE CAYENNE 729- СТ ВЕТР ЗЛЗЛ+ЭО+ДД</t>
  </si>
  <si>
    <t>PORSCHE CAYENNE 2010-СТ ВЕТР ЗЛСР+ЭО+ДД</t>
  </si>
  <si>
    <t>PORSCHE CAYENNE 2010-СТ ВЕТР ЗЛСР+ДД+VIN</t>
  </si>
  <si>
    <t>PROTON</t>
  </si>
  <si>
    <t>MPI + AEROBACK 1989-</t>
  </si>
  <si>
    <t>1989-</t>
  </si>
  <si>
    <t>PROTON MPI 4Д+5Д AEROBACK 1989- СТ ВЕТР ГЛ/MITSUBISHI  MIRAGE/LANCER 1984-1988 СТ ВЕТР ГЛ</t>
  </si>
  <si>
    <t>PROTON MPI + AEROBACK 1989- СТ ПЕР ДВ ОП ЛВ ГЛ/MITSUBISHI  MIRAGE /LANCER 1984-1988 СТ ПЕР ДВ ОП ЛВ ГЛ</t>
  </si>
  <si>
    <t>PROTON MPI + AEROBACK 1989- СТ ФОРТ ЗАДН ЛВ ГЛ/MITSUBISHI  MIRAGE /LANCER 1984-1988 СТ ФОРТ ЗАДН НЕП ЛВ ГЛ</t>
  </si>
  <si>
    <t>PROTON MPI + AEROBACK 1989- СТ ПЕР ДВ ОП ПР ГЛ/MITSUBISHI  MIRAGE /LANCER 1984-1988 СТ ПЕР ДВ ОП ПР ГЛ</t>
  </si>
  <si>
    <t>PERSONA (M24)/300 1995-</t>
  </si>
  <si>
    <t>PROTON PERSONA (M24)/300 1995-  СТ ВЕТР ГЛ/MITSUBISHI  COLT 3Д CC 1992-1995 СТ ВЕТР ГЛ</t>
  </si>
  <si>
    <t>JUMBUCK 2Д PU 2003-</t>
  </si>
  <si>
    <t>PROTON JUMBUCK 2Д PU 2003-  СТ ВЕТР ЗЛ/MITSUBISHI LANCER 1993-1996 СТ ВЕТР ЗЛ</t>
  </si>
  <si>
    <t>RENAULT</t>
  </si>
  <si>
    <t>CHEROKEE 1987-</t>
  </si>
  <si>
    <t>RENAULT CHEROKEE 1987- СТ ВЕТР ЗЛГЛ/ JEEP CHEROKEE (FCW 0952) 1987-2001  СТ ВЕТР ЗЛГЛ</t>
  </si>
  <si>
    <t>RENAULT CHEROKEE 1987- СТ ПЕР ДВ ОП ЗЛ ЛВ/ JEEP CHEROKEE (FCW 0952) 3Д 1987-2001  СТ ПЕР ДВ ОП ЗЛ ЛВ</t>
  </si>
  <si>
    <t>RENAULT CHEROKEE 1987- СТ ПЕР ДВ ОП ЗЛ ЛВ/ JEEP CHEROKEE (FCW 0952) 5Д 1987-2001  СТ ПЕР ДВ ОП ЗЛ ЛВ</t>
  </si>
  <si>
    <t>RENAULT CHEROKEE 1987- СТ ФОРТ ЗАДН НЕП ЗЛ ЛВ/ JEEP CHEROKEE (FCW 0952) 1987-2001  СТ ФОРТ ЗАДН НЕП ЗЛ ЛВ</t>
  </si>
  <si>
    <t>RENAULT CHEROKEE 1987- СТ ПЕР ДВ ОП ЗЛ ПР/ JEEP CHEROKEE (FCW 0952) 1987-2001  СТ ПЕР ДВ ОП ЗЛ ПР</t>
  </si>
  <si>
    <t>RENAULT CHEROKEE 1987- СТ ФОРТ ЗАДН НЕП ЗЛ ПР/ JEEP CHEROKEE (FCW 0952) 1987-2001  СТ ФОРТ ЗАДН НЕП ЗЛ ПР</t>
  </si>
  <si>
    <t>CLIO 1990-1998</t>
  </si>
  <si>
    <t>RENAULT CLIO 1990-1998  СТ ВЕТР КР</t>
  </si>
  <si>
    <t>RENAULT CLIO 1990-1998  СТ ВЕТР ЗЛ КР</t>
  </si>
  <si>
    <t>RENAULT CLIO 1990-1998  СТ ВЕТР ЗЛГЛ КР</t>
  </si>
  <si>
    <t>RENAULT CLIO 1990-1998  СТ ВЕТР ЗЛЗЛ</t>
  </si>
  <si>
    <t>RENAULT CLIO 1991-1998  УСТ КОМПЛ ДЛЯ СТ ВЕТР ХРОМ С СОЕД</t>
  </si>
  <si>
    <t>RENAULT CLIO 1990-1998  ВНУТР МОЛД ДЛЯ СТ ВЕТР</t>
  </si>
  <si>
    <t>RENAULT CLIO 1990-1998  МОЛД  ДЛЯ СТ ВЕТР</t>
  </si>
  <si>
    <t>RENAULT CLIO ХБ 1990-1998  СТ ЗАДН</t>
  </si>
  <si>
    <t>RENAULT CLIO ХБ 1990-1998  СТ ЗАДН ЗЛ</t>
  </si>
  <si>
    <t>RENAULT CLIO 1990-1998  РЕЗ ПРОФ ДЛЯ СТ ЗАДН</t>
  </si>
  <si>
    <t>RENAULT CLIO 3Д 1990-1998  СТ ПЕР ДВ ОП ЛВ</t>
  </si>
  <si>
    <t>RENAULT CLIO 3Д 1990-1998  СТ БОК ЛВ</t>
  </si>
  <si>
    <t>RENAULT CLIO 5Д 1990-1998  СТ ПЕР ДВ ОП ЛВ</t>
  </si>
  <si>
    <t>RENAULT CLIO 5Д 1990-1998  СТ ЗАДН ДВ ОП ЛВ</t>
  </si>
  <si>
    <t>RENAULT CLIO 5Д 1990-1998  СТ ЗАДН ДВ НЕП ЛВ</t>
  </si>
  <si>
    <t>RENAULT CLIO 3Д 1990-1998  СТ ПЕР ДВ ОП ЛВ ЗЛ</t>
  </si>
  <si>
    <t>RENAULT CLIO 3Д 1990-1998  СТ БОК ПОД ЛВ ЗЛ ОТКР</t>
  </si>
  <si>
    <t>RENAULT CLIO 5Д 1990-1998  СТ ПЕР ДВ ОП ЛВ ЗЛ</t>
  </si>
  <si>
    <t>RENAULT CLIO 5Д 1990-1998  СТ ЗАДН ДВ ОП ЛВ ЗЛ</t>
  </si>
  <si>
    <t>RENAULT CLIO 5Д 1990-1998  СТ ЗАДН ДВ НЕП ЛВ ЗЛ</t>
  </si>
  <si>
    <t>RENAULT CLIO 3Д 1990-1998  СТ ПЕР ДВ ОП ПР</t>
  </si>
  <si>
    <t>RENAULT CLIO 3Д 1990-1998  СТ БОК ПР</t>
  </si>
  <si>
    <t>RENAULT CLIO 5Д 1990-1998  СТ ПЕР ДВ ОП ПР</t>
  </si>
  <si>
    <t>RENAULT CLIO 5Д 1990-1998  СТ ЗАДН ДВ ОП ПР</t>
  </si>
  <si>
    <t>RENAULT CLIO 5Д 1990-1998  СТ ЗАДН ДВ НЕП ПР</t>
  </si>
  <si>
    <t>RENAULT CLIO 3Д 1990-1998  СТ ПЕР ДВ ОП ПР ЗЛ</t>
  </si>
  <si>
    <t>RENAULT CLIO 3Д 1990-1998  СТ БОК ПОД ПР ЗЛ ОТКР</t>
  </si>
  <si>
    <t>RENAULT CLIO 5Д 1990-1998  СТ ПЕР ДВ ОП ПР ЗЛ</t>
  </si>
  <si>
    <t>RENAULT CLIO 5Д 1990-1998  СТ ЗАДН ДВ ОП ПР ЗЛ</t>
  </si>
  <si>
    <t>RENAULT CLIO 5Д 1990-1998  СТ ЗАДН ДВ НЕП ПР ЗЛ</t>
  </si>
  <si>
    <t>CLIO/CLIO SYMBOL 1998-2005</t>
  </si>
  <si>
    <t>RENAULT CLIO 1998-2005  СТ ВЕТР ТЕПЛООТР КР</t>
  </si>
  <si>
    <t>RENAULT CLIO 1998-2005  СТ ВЕТР ТЕПЛООТР ДД</t>
  </si>
  <si>
    <t>RENAULT CLIO 2001-2005 СТ ВЕТР ЗЛ АК+КР+1 ЛОГ</t>
  </si>
  <si>
    <t>RENAULT CLIO 1998-2005  СТ ВЕТР ЗЛ + КР ИЗМ ШЕЛК</t>
  </si>
  <si>
    <t>RENAULT CLIO 2001-2005  СТ ВЕТР ЗЛ+КР</t>
  </si>
  <si>
    <t>RENAULT CLIO 2001-2005 СТ ВЕТР ЗЛ</t>
  </si>
  <si>
    <t>RENAULT CLIO 1998-2005 СТ ВЕТР ЗЛГЛ</t>
  </si>
  <si>
    <t>RENAULT CLIO 1998-2005 СТ ВЕТР ЗЛЗЛ КР</t>
  </si>
  <si>
    <t>RENAULT CLIO 1998-2005 МОЛД УСТ КОМПЛ ДЛЯ СТ ВЕТР ДЛЯ СТ ВЕТР</t>
  </si>
  <si>
    <t>RENAULT CLIO ХБ+3Д МИН 1998-2005  СТ ЗАДН ЭО ЗЛ</t>
  </si>
  <si>
    <t>RENAULT CLIO ХБ+3Д МИН 1998-2005  СТ ПЕР ДВ ОП ЛВ ЗЛ</t>
  </si>
  <si>
    <t>RENAULT CLIO 3Д 2001-2005  СТ ПЕР ДВ ОП ЛВ ЗЛ</t>
  </si>
  <si>
    <t>RENAULT CLIO 3Д 1998-2005  СТ БОК ЛВ ЗЛ+ИНК</t>
  </si>
  <si>
    <t>RENAULT CLIO 5Д 1998-2005  СТ ПЕР ДВ ОП ЛВ ЗЛ</t>
  </si>
  <si>
    <t>RENAULT CLIO 5Д 2001-2005  СТ ПЕР ДВ ОП ЛВ ЗЛ</t>
  </si>
  <si>
    <t>RENAULT CLIO 5Д 1998-2005  СТ ЗАДН ДВ ОП ЛВ ЗЛ</t>
  </si>
  <si>
    <t>RENAULT CLIO 5Д 4/1999-2005  СТ ЗАДН ДВ ОП ЛВ ЗЛ</t>
  </si>
  <si>
    <t>RENAULT CLIO 5Д 1998-2005  СТ ЗАДН ДВ НЕП ЛВ ЗЛ</t>
  </si>
  <si>
    <t>RENAULT CLIO ХБ+3Д МИН 1998-2005  СТ ПЕР ДВ ОП ПР ЗЛ</t>
  </si>
  <si>
    <t>RENAULT CLIO 3Д 2001-2005  СТ ПЕР ДВ ОП ПР ЗЛ</t>
  </si>
  <si>
    <t>RENAULT CLIO 3Д 1998-2005  СТ БОК ПР ЗЛ+ИНК</t>
  </si>
  <si>
    <t>RENAULT CLIO 5Д 1998-2005  СТ ПЕР ДВ ОП ПР ЗЛ</t>
  </si>
  <si>
    <t>RENAULT CLIO 5Д 2001-2005  СТ ПЕР ДВ ОП ПР ЗЛ</t>
  </si>
  <si>
    <t>RENAULT CLIO 5Д 1998-2005   СТ ЗАДН ДВ ОП ПР ЗЛ</t>
  </si>
  <si>
    <t>RENAULT CLIO 5Д 4/1999-2005  СТ ЗАДН ДВ ОП ПР ЗЛ</t>
  </si>
  <si>
    <t>RENAULT CLIO 5Д 1998-2005  СТ ЗАДН ДВ НЕП ПР ЗЛ</t>
  </si>
  <si>
    <t>CLIO ХБ 2005 + CLIO GRAND TOUR УН 2007-</t>
  </si>
  <si>
    <t>RENAULT CLIO 2005- СТ ВЕТР ЗЛ+ДД+VIN</t>
  </si>
  <si>
    <t>RENAULT CLIO ХБ 2005-/CLIO GRAND TOUR УН 2007- СТ ВЕТР ЗЛ+ДД+VIN</t>
  </si>
  <si>
    <t>RENAULT CLIO ХБ 2005-/CLIO GRAND TOUR УН 2007- СТ ВЕТР ЗЛ+VIN</t>
  </si>
  <si>
    <t>RENAULT CLIO 2005- МОЛД  ДЛЯ СТ ВЕТР ВЕРХ</t>
  </si>
  <si>
    <t>RENAULT CLIO 3Д+5Д ХБ 2005- СТ ЗАДН ДВ ТЗЛ</t>
  </si>
  <si>
    <t>RENAULT CLIO 3Д+5Д ХБ 2005- СТ ЗАДН ДВ ЗЛ</t>
  </si>
  <si>
    <t>RENAULT CLIO ХБ 2005-/CLIO GRAND TOUR УН 2007- СТ ПЕР ДВ ОП ЛВ ЗЛ</t>
  </si>
  <si>
    <t>RENAULT CLIO 3Д 2005- СТ БОК НЕП ЛВ ЗЛ</t>
  </si>
  <si>
    <t>RENAULT CLIO ХБ 2005-/CLIO GRAND TOUR УН 2007- СТ ЗАДН ДВ ОП ЗЛ</t>
  </si>
  <si>
    <t>RENAULT CLIO 5Д 2005- СТ ФОРТ ЗАДН НЕП ЛВ ЗЛ</t>
  </si>
  <si>
    <t>RENAULT CLIO ХБ 2005-/CLIO GRAND TOUR УН 2007- СТ ПЕР ДВ ОП ПР ЗЛ</t>
  </si>
  <si>
    <t>RENAULT CLIO 3Д 2005- СТ БОК НЕП ПР ЗЛ</t>
  </si>
  <si>
    <t>RENAULT CLIO 5Д 2005- СТ ФОРТ ЗАДН НЕП ПР ЗЛ</t>
  </si>
  <si>
    <t>Duster 2010-</t>
  </si>
  <si>
    <t>2008-2010</t>
  </si>
  <si>
    <t>RENAULT Duster/SANDERO 5Д ХБ 2008- СТ ВЕТР ЗЛ</t>
  </si>
  <si>
    <t>RENAULT Duster/SANDERO 5Д ХБ 2008- СТ ПЕР ДВ ОП ПР ЗЛ</t>
  </si>
  <si>
    <t>RENAULT Duster/SANDERO 5Д ХБ 2008- СТ ПЕР ДВ ОП ЛВ ЗЛ</t>
  </si>
  <si>
    <t>RENAULT Duster СТЕКЛО ОПУСК. ЗАДНЕЙ ДВЕРИ ПРАВОЕ</t>
  </si>
  <si>
    <t>RENAULT Duster СТЕКЛО ОПУСК. ЗАДНЕЙ ДВЕРИ ЛЕВОЕ</t>
  </si>
  <si>
    <t>RENAULT Duster СТЕКЛО ОКНА БОКОВИНЫ ПРАВОЕ</t>
  </si>
  <si>
    <t>RENAULT Duster СТЕКЛО ОКНА БОКОВИНЫ ЛЕВОЕ</t>
  </si>
  <si>
    <t>RENAULT Duster CTEKЛO OKHA ЗAДKA C Э/O</t>
  </si>
  <si>
    <t>ESPACE 1985-1991</t>
  </si>
  <si>
    <t>1985-1991</t>
  </si>
  <si>
    <t>RENAULT ESPACE 1985-1991 СТ ВЕТР БР КР</t>
  </si>
  <si>
    <t>RENAULT ESPACE 1985-1991 СТ ВЕТР КР</t>
  </si>
  <si>
    <t>RENAULT ESPACE 1985-1987 7228ASMVL+ASMVR МОЛД ДЛЯ СТ ВЕТР ВЕРХ+НИЖН</t>
  </si>
  <si>
    <t>RENAULT ESPACE 1985-1991 СТ ПЕР ДВ ОП ПР БР</t>
  </si>
  <si>
    <t>ESPACE 1991-1996</t>
  </si>
  <si>
    <t>RENAULT ESPACE 1991-1996 СТ ВЕТР КР</t>
  </si>
  <si>
    <t>RENAULT ESPACE 1991-1996 СТ ВЕТР ЗЛ КР</t>
  </si>
  <si>
    <t>RENAULT ESPACE 1991-1996 СТ ВЕТР ЗЛЗЛ</t>
  </si>
  <si>
    <t>RENAULT ESPACE 1991-1996 УСТ КОМПЛ ДЛЯ СТ ВЕТР ДЛЯ СТ ВЕТР</t>
  </si>
  <si>
    <t>RENAULT ESPACE МИН 1991-1994 СТ ЗАДН ЗЛ</t>
  </si>
  <si>
    <t>RENAULT ESPACE 1991-1996  СТ ПЕР ДВ ОП ЛВ ЗЛ</t>
  </si>
  <si>
    <t>RENAULT ESPACE 1991-1996  СТ ПЕР НЕП ЛВ ЗЛ</t>
  </si>
  <si>
    <t>RENAULT ESPACE 1991-1996  СТ БОК ПОД ЛВ ЗЛ</t>
  </si>
  <si>
    <t>RENAULT ESPACE 1991-1996  СТ ПЕР ДВ ОП ПР ЗЛ</t>
  </si>
  <si>
    <t>RENAULT ESPACE 1991-1996  СТ ПЕР НЕП ПР ЗЛ</t>
  </si>
  <si>
    <t>RENAULT ESPACE 1991-1996  СТ БОК ПОД ПР ЗЛ</t>
  </si>
  <si>
    <t>ESPACE 1996-2002</t>
  </si>
  <si>
    <t>RENAULT ESPACE 1996-2002  СТ ВЕТР ТЕПЛООТР+КР+VIN</t>
  </si>
  <si>
    <t>RENAULT ESPACE 1996-2002  СТ ВЕТР ТЕПЛООТР+VIN</t>
  </si>
  <si>
    <t>RENAULT ESPACE 1996-2002  СТ ВЕТР ЗЛ КР+VIN</t>
  </si>
  <si>
    <t>RENAULT ESPACE 1997-2002  УСТ КОМПЛ ДЛЯ СТ ВЕТР ДЛЯ СТ ВЕТР</t>
  </si>
  <si>
    <t>RENAULT ESPACE МИН 1996-2002  СТ ЗАДН ЭО ЗЛ</t>
  </si>
  <si>
    <t>RENAULT ESPACE МИН 1996-2002  СТ ЗАДН ЭО ЗЛ ФИТ ОТКР</t>
  </si>
  <si>
    <t>RENAULT ESPACE 1996-2002  СТ ПЕР ДВ ОП ЛВ ЗЛ</t>
  </si>
  <si>
    <t>RENAULT ESPACE 1996-2002  СТ ПЕР НЕП ЛВ ЗЛ</t>
  </si>
  <si>
    <t>RENAULT ESPACE 1996-2002  СТ БОК ПОД ЛВ ЗЛ</t>
  </si>
  <si>
    <t>RENAULT ESPACE 1996-2002  СТ ПЕР ДВ ОП ПР ЗЛ</t>
  </si>
  <si>
    <t>RENAULT ESPACE 1996-2002  СТ ПЕР НЕП ПР ЗЛ</t>
  </si>
  <si>
    <t>RENAULT ESPACE 1996-2002  СТ БОК ПОД ПР ЗЛ</t>
  </si>
  <si>
    <t>EXPRESS/RAPID/SUPER 5 VAN 1985-1998</t>
  </si>
  <si>
    <t>RENAULT SUPER 5 1985-1998  СТ ВЕТР КР</t>
  </si>
  <si>
    <t>RENAULT SUPER 5 1985-1998  СТ ВЕТР ЗЛ КР</t>
  </si>
  <si>
    <t>RENAULT SUPER 5 1985-1998  СТ ВЕТР ЗЛЗЛ КР</t>
  </si>
  <si>
    <t>RENAULT SUPER 5 1984-1993  УСТ КОМПЛ ДЛЯ СТ ВЕТР ДЛЯ СТ ВЕТР</t>
  </si>
  <si>
    <t>RENAULT SUPER 5 1985-1998  МОЛД  ДЛЯ СТ ВЕТР ВНУТР</t>
  </si>
  <si>
    <t>RENAULT SUPER 5 1985-1998  ВНУТР МОЛД</t>
  </si>
  <si>
    <t>RENAULT SUPER 5 1985-1998  МОЛД  ДЛЯ СТ ВЕТР</t>
  </si>
  <si>
    <t>RENAULT SUPER 5 ХБ 1985-1998  СТ ЗАДН ЭО</t>
  </si>
  <si>
    <t>RENAULT SUPER 5 МИН 1985-1998 92 СТ ЗАДН ЛВ</t>
  </si>
  <si>
    <t>RENAULT SUPER 5 МИН 1985-1998 92 СТ ЗАДН ПР</t>
  </si>
  <si>
    <t>RENAULT SUPER 5 ХБ 1985-1998  СТ ЗАДН ЭО ЗЛ</t>
  </si>
  <si>
    <t>RENAULT SUPER 5 3Д 1985-1998  СТ ПЕР ДВ ОП ЛВ</t>
  </si>
  <si>
    <t>RENAULT SUPER 5 3Д 1985-1998  СТ БОК ЛВ</t>
  </si>
  <si>
    <t>RENAULT SUPER 5 3Д 1985-1998  СТ БОК ПОДВ ЛВ</t>
  </si>
  <si>
    <t>RENAULT SUPER 5 5Д+МИН 1985-1998  СТ ПЕР ДВ ОП ЛВ</t>
  </si>
  <si>
    <t>RENAULT SUPER 5 5Д 1985-1998  СТ БОК НЕП ЛВ</t>
  </si>
  <si>
    <t>RENAULT SUPER 5 3Д 1985-1998  СТ ПЕР ДВ ОП ЛВ ЗЛ</t>
  </si>
  <si>
    <t>RENAULT SUPER 5 5Д+МИН 1985-1998  СТ ПЕР ДВ ОП ЛВ ЗЛ</t>
  </si>
  <si>
    <t>RENAULT SUPER 5 5Д 1985-1998  СТ ЗАДН ДВ ОП ЛВ ЗЛ</t>
  </si>
  <si>
    <t>RENAULT SUPER 5 ХБ 5Д 1985-1998  СТ БОК НЕП ЛВ ЗЛ</t>
  </si>
  <si>
    <t>RENAULT SUPER 5 3Д 1985-1998  СТ ПЕР ДВ ОП ПР</t>
  </si>
  <si>
    <t>RENAULT SUPER 5 3Д 1985-1998  СТ БОК ПР</t>
  </si>
  <si>
    <t>RENAULT SUPER 5 5Д+МИН 1985-1998  СТ ПЕР ДВ ОП ПР</t>
  </si>
  <si>
    <t>RENAULT SUPER 5 5Д 1985-1998  СТ ЗАДН ДВ ОП ПР</t>
  </si>
  <si>
    <t>RENAULT SUPER 5 5Д 1985-1998  СТ БОК НЕП ПР</t>
  </si>
  <si>
    <t>RENAULT SUPER 5 3Д 1985-1998  СТ ПЕР ДВ ОП ПР ЗЛ</t>
  </si>
  <si>
    <t>RENAULT SUPER 5 3Д 1985-1998  СТ БОК ПОД ПР ЗЛ</t>
  </si>
  <si>
    <t>RENAULT SUPER 5 5Д+МИН 1985-1998  СТ ПУО ПР ЗЛ</t>
  </si>
  <si>
    <t>RENAULT SUPER 5 5Д 1985-1998  СТ ЗАДН ДВ ОП ПР ЗЛ</t>
  </si>
  <si>
    <t>RENAULT SUPER 5 ХБ 5Д 1985-1998  СТ БОК НЕП ПР ЗЛ</t>
  </si>
  <si>
    <t>JN 1975-1990 MIDLINER/ SAVIEM JK75 КБ 870</t>
  </si>
  <si>
    <t>RENAULT JN 1975-1990 MIDLINER/ SAVIEM JK75 КБ 870 СТ ВЕТР/DAF F500 700 900 1100 TRUCK 1976-  СТ ВЕТР</t>
  </si>
  <si>
    <t>KANGOO 2007-</t>
  </si>
  <si>
    <t>RENAULT KANGOO II 2007- СТ ВЕТР ЗЛ+ДД+VIN</t>
  </si>
  <si>
    <t>RENAULT KANGOO II 2007- СТ ВЕТР ЗЛ+VIN</t>
  </si>
  <si>
    <t>KANGOO 1997-</t>
  </si>
  <si>
    <t>RENAULT KANGOO 11/2001-  СТ ВЕТР ТЕПЛООТР/ NISSAN KUBISTAR 2003- СТ ВЕТР ТЕПЛООТР</t>
  </si>
  <si>
    <t>RENAULT KANGOO 1997- СТ ВЕТР ЗЛ</t>
  </si>
  <si>
    <t>RENAULT KANGOO 11/2001-  СТ ВЕТР ЗЛ ИЗМ РАЗМ/ NISSAN KUBISTAR 2003- СТ ВЕТР ЗЛ</t>
  </si>
  <si>
    <t>RENAULT KANGOO 1997-  VAN НАБОР КЛИПС ДЛЯ СТ ВЕТР</t>
  </si>
  <si>
    <t>RENAULT KANGOO 1998-  МОЛД  ДЛЯ СТ ВЕТР</t>
  </si>
  <si>
    <t>RENAULT KANGOO 11/2001-  МОЛД  ДЛЯ СТ ВЕТР</t>
  </si>
  <si>
    <t>RENAULT KANGOO 1997-  МОЛД  ДЛЯ СТ ВЕТР НИЖН</t>
  </si>
  <si>
    <t>RENAULT KANGOO МИН 1997-  СТ ЗАДН ЗЛ</t>
  </si>
  <si>
    <t>RENAULT KANGOO МИН 1999-  СТ ЗАДН ЗЛ+ИЗМ РАЗМ / NISSAN KUBISTAR 2003- СТ ЗАДН ЗЛ+VIN+ИЗМ РАЗМ</t>
  </si>
  <si>
    <t>RENAULT KANGOO МИН 1997-  СТ ЗАДН ЭО ЛВ ЗЛ/ NISSAN KUBISTAR 2003- СТ ЗАДН ЗЛ ЛВ</t>
  </si>
  <si>
    <t>RENAULT KANGOO МИН 1997-  СТ ЗАДН ЗЛ ПР Б/ЭО/ NISSAN KUBISTAR 2003- СТ ЗАДН ЗЛ ПР+Б/ЭО</t>
  </si>
  <si>
    <t>RENAULT KANGOO 1997-  СТ ПЕР ДВ ОП ЛВ ЗЛ/ NISSAN KUBISTAR 2003- СТ ПЕР ДВ ОП ЛВ ЗЛ</t>
  </si>
  <si>
    <t>RENAULT KANGOO 1997-  СТ ПЕР ДВ ОП ПР ЗЛ/ NISSAN KUBISTAR 2003- СТ ПЕР ДВ ОП ПР ЗЛ</t>
  </si>
  <si>
    <t>RENAULT KANGOO 1997-  СТ ЗАДН ДВ ОП ПР ЗЛ/ NISSAN KUBISTAR 2003- СТ ЗАДН ДВ ОП ПР ЗЛ</t>
  </si>
  <si>
    <t>RENAULT KANGOO 1997-  СТ БОК ПР ЗЛ/NISSAN KUBISTAR 03 СТ ЗАДН НЕП ПР ЗЛ+ОТКР</t>
  </si>
  <si>
    <t>KOLEOS 2008-</t>
  </si>
  <si>
    <t>RENAULT KOLEOS 2008- СТ ВЕТР ЗЛ+ДД+VIN+УО</t>
  </si>
  <si>
    <t>RENAULT KOLEOS 2008- СТ ВЕТР ЗЛ+VIN+ДД</t>
  </si>
  <si>
    <t>LAGUNA I 1994-2001</t>
  </si>
  <si>
    <t>RENAULT LAGUNA I ХБ+УН 1994-2001  СТ ВЕТР ТЕПЛООТР</t>
  </si>
  <si>
    <t>RENAULT LAGUNA I ХБ+УН 1994-2001  СТ ВЕТР ТЕПЛООТР+GPS</t>
  </si>
  <si>
    <t>RENAULT LAGUNA I ХБ+УН 1994-2001  СТ ВЕТР КР</t>
  </si>
  <si>
    <t>RENAULT LAGUNA I ХБ+УН 1994-2001  СТ ВЕТР ЗЛ</t>
  </si>
  <si>
    <t>RENAULT LAGUNA I ХБ+УН 1994-2001  СТ ВЕТР ЗЛЗЛ</t>
  </si>
  <si>
    <t>RENAULT LAGUNA I ХБ+УН 1994-2001  НАБ КЛИПС ДЛЯ СТ ВЕТР</t>
  </si>
  <si>
    <t>RENAULT LAGUNA I ХБ+УН 1994-2001  МОЛД  ДЛЯ СТ ВЕТР ВЕРХ</t>
  </si>
  <si>
    <t>RENAULT LAGUNA I ХБ 1999-2001  СТ ЗАДН ТЗЛ+АНТ+СТОП+ИНК</t>
  </si>
  <si>
    <t>RENAULT LAGUNA I СД 1998-2001  СТ ЗАДН ЭО ТЗЛ+СТОП+ИНК</t>
  </si>
  <si>
    <t>RENAULT LAGUNA I УН 1995-2001  СТ ЗАДН ЭО ЗЛ+ИНК</t>
  </si>
  <si>
    <t>RENAULT LAGUNA I ХБ 1994-2001  СТ ЗАДН ЭО ЗЛ+СТОП+ИНК</t>
  </si>
  <si>
    <t>RENAULT LAGUNA I ХБ 1998-2001  СТ ЗАДН ЭО ЗЛ+СТОП+ИНК</t>
  </si>
  <si>
    <t>RENAULT LAGUNA I ХБ 1994-2001  СТ ЗАДН ЭО ЗЛ + ИНК</t>
  </si>
  <si>
    <t>RENAULT LAGUNA I ХБ+УН 1994-2001  СТ ПЕР ДВ ОП ЛВ ЗЛ</t>
  </si>
  <si>
    <t>RENAULT LAGUNA I ХБ+УН 1994-2001  СТ ЗАДН ДВ ОП ЛВ ЗЛ</t>
  </si>
  <si>
    <t>RENAULT LAGUNA I 1999-2001 СТ ЗАДН ДВ ОП ЛВ ЗЛ</t>
  </si>
  <si>
    <t>RENAULT LAGUNA I ХБ 1994-2001  СТ БОК НЕП ЛВ ЗЛ</t>
  </si>
  <si>
    <t>RENAULT LAGUNA I ХБ+УН 1994-2001  СТ ЗАДН ДВ ОП ПР</t>
  </si>
  <si>
    <t>RENAULT LAGUNA I ХБ 1994-2001  СТ БОК НЕП ПР</t>
  </si>
  <si>
    <t>RENAULT LAGUNA I ХБ+УН 1994-2001  СТ ПЕР ДВ ОП ПР ЗЛ</t>
  </si>
  <si>
    <t>RENAULT LAGUNA I ХБ+УН 1994-2001  СТ ЗАДН ДВ ОП ПР ЗЛ</t>
  </si>
  <si>
    <t>RENAULT LAGUNA I ХБ 1999-2001  СТ ЗАДН ДВ ОП ПР ЗЛ</t>
  </si>
  <si>
    <t>RENAULT LAGUNA I ХБ 1994-2001  СТ БОК НЕП ПР ЗЛ</t>
  </si>
  <si>
    <t>LAGUNA II 2000-</t>
  </si>
  <si>
    <t>RENAULT LAGUNA II 2000-2007 СТ ВЕТР ТЕПЛООТР ДД+VIN</t>
  </si>
  <si>
    <t>RENAULT LAGUNA II 2003-2007 СТ ВЕТР ТЕПЛООТР ДД+VIN</t>
  </si>
  <si>
    <t>RENAULT LAGUNA II 2000-2007 СТ ВЕТР ТЕПЛООТР+VIN</t>
  </si>
  <si>
    <t>RENAULT LAGUNA II 2000-2007 СТ ВЕТР ЗЛ ДД+VIN</t>
  </si>
  <si>
    <t>RENAULT LAGUNA II 2000-2007 CТ ВЕТР ЗЛ+VIN</t>
  </si>
  <si>
    <t>RENAULT LAGUNA II 2000-2007 СТ ВЕТР ЗЛ+VIN+LOGO</t>
  </si>
  <si>
    <t>RENAULT LAGUNA II 2000-2007 УСТ КОМПЛ ДЛЯ СТ ВЕТР</t>
  </si>
  <si>
    <t>RENAULT LAGUNA II 2000-2007 МОЛД  ДЛЯ СТ ВЕТР  ВЕРХ</t>
  </si>
  <si>
    <t>RENAULT LAGUNA II УН 2001-2007 СТ ЗАДН ЭО ТЗЛ</t>
  </si>
  <si>
    <t>RENAULT LAGUNA II УН 2001-2007 СТ ЗАДН ПОД ЭО ТЗЛ+УО</t>
  </si>
  <si>
    <t>RENAULT LAGUNA II УН 2001-2007 СТ ЗАДН ЭО</t>
  </si>
  <si>
    <t>RENAULT LAGUNA II УН 2001-2007 СТ ЗАДН ПОД ЭО+УО</t>
  </si>
  <si>
    <t>RENAULT LAGUNA II 2001-2007 СТ ЗАДН ДВ ОП ЛВ ТЗЛ</t>
  </si>
  <si>
    <t>RENAULT LAGUNA II 2001-2007 СТ БОК ЛВ ИНК+ТЗЛ</t>
  </si>
  <si>
    <t>RENAULT LAGUNA II 2001-2007 СТ ЗАДН ДВ НЕП ЛВ ТЗЛ</t>
  </si>
  <si>
    <t>RENAULT LAGUNA II 2001-2007 СТ ЗАДН ДВ ОП ЛВ ЗЛ</t>
  </si>
  <si>
    <t>RENAULT LAGUNA II 2001-2007 СТ БОК ЛВ ЗЛ ИНК</t>
  </si>
  <si>
    <t>RENAULT LAGUNA II 2001-2007 СТ ЗАДН ДВ НЕП ЛВ ЗЛ</t>
  </si>
  <si>
    <t>RENAULT LAGUNA II ХБ+УН 2000-2007  СТ ПЕР ДВ ОП ЛВ ЗЛ</t>
  </si>
  <si>
    <t>RENAULT LAGUNA II ХБ 2000-2007  СТ ЗАДН ДВ ОП ЛВ ЗЛ</t>
  </si>
  <si>
    <t>RENAULT LAGUNA II ХБ 2000-2007  СТ ЗАДН ДВ НЕП ЛВ</t>
  </si>
  <si>
    <t>RENAULT LAGUNA II 2001-2007 СТ ЗАДН ДВ ОП ПР ТЗЛ</t>
  </si>
  <si>
    <t>RENAULT LAGUNA II 2001-2007 СТ БОК ПР ТЗЛ+ИНК+АНТ</t>
  </si>
  <si>
    <t>RENAULT LAGUNA II 2001-2007 СТ ЗАДН ДВ НЕП ПР ТЗЛ</t>
  </si>
  <si>
    <t>RENAULT LAGUNA II 2001-2007 СТ ЗАДН ДВ ОП ПР ЗЛ</t>
  </si>
  <si>
    <t>RENAULT LAGUNA II 2001-2007 СТ БОК ПР ЗЛ ИНК+АНТ</t>
  </si>
  <si>
    <t>RENAULT LAGUNA II 2001-2007 СТ ЗАДН ДВ НЕП ПР ЗЛ</t>
  </si>
  <si>
    <t>RENAULT LAGUNA II ХБ+УН 2000-2007 СТ ПЕР ДВ ОП ПР ЗЛ+2 ОТВ</t>
  </si>
  <si>
    <t>RENAULT LAGUNA II ХБ 2000-2007 СТ ЗАДН ДВ ОП ПР ЗЛ</t>
  </si>
  <si>
    <t>RENAULT LAGUNA II ХБ 2000-2007  СТ ЗАДН ДВ НЕП ПР</t>
  </si>
  <si>
    <t>LAGUNA III 2007-</t>
  </si>
  <si>
    <t>RENAULT LAGUNA III 4Д СД+5Д ХБ 2007- СТ ВЕТP+ДД+VIN+ИНК</t>
  </si>
  <si>
    <t>RENAULT LAGUNA III 4Д СД+5Д ХБ 2007- СТ ВЕТР ЗЛ+ДД+VIN+ИНК</t>
  </si>
  <si>
    <t>RENAULT LAGUNA III СЕД + ХБ 2007-  СТ ВЕТР ЗЛ+ДД+VIN</t>
  </si>
  <si>
    <t>RENAULT LAGUNA III СЕД + ХБ 2007-  СТ ВЕТР ЗЛ+VIN</t>
  </si>
  <si>
    <t>RENAULT LAGUNA III СЕД + УН+ ХБ 2007-  СТ ПЕР ДВ ОП ЛВ ЗЛ</t>
  </si>
  <si>
    <t>RENAULT LAGUNA III СЕД + УН+ ХБ 2007-  СТ ПЕР ДВ ОП ПР ЗЛ</t>
  </si>
  <si>
    <t>LATITUDE 2011-</t>
  </si>
  <si>
    <t>RENAULT LATITUDE 2011-СТ ВЕТР ЗЛ+ДД+VIN</t>
  </si>
  <si>
    <t>LOGAN 2005-</t>
  </si>
  <si>
    <t>RENAULT LOGAN 2005- СТ ВЕТР</t>
  </si>
  <si>
    <t>RENAULT LOGAN 2005- / MCV 2007-  СТ ВЕТР ЗЛ</t>
  </si>
  <si>
    <t>RENAULT LOGAN 2005- / MCV 2007-  СТ ВЕТР ЗЛГЛ</t>
  </si>
  <si>
    <t>RENAULT LOGAN 2005- / MCV 2007- МОЛД  ДЛЯ СТ ВЕТР ВЕРХ</t>
  </si>
  <si>
    <t>RENAULT LOGAN 2005- / MCV 2007- МОЛД ДЛЯ СТ ВЕТР НИЗ</t>
  </si>
  <si>
    <t>RENAULT LOGAN СД 2005-  СТ ЗАДН ЗЛ ЭО</t>
  </si>
  <si>
    <t>RENAULT LOGAN СД 2005-  СТ ЗАДН ЭО+СТОП</t>
  </si>
  <si>
    <t>RENAULT LOGAN 2005-  СТ ПЕР ДВ ОП ЛВ</t>
  </si>
  <si>
    <t>RENAULT LOGAN 2005-  СТ ЗАДН ДВ ОП ЛВ</t>
  </si>
  <si>
    <t>RENAULT LOGAN 2005-  СТ ПЕР ДВ ОП ЛВ ЗЛ</t>
  </si>
  <si>
    <t>RENAULT LOGAN 2005-  СТ ЗАДН ДВ ОП ЛВ ЗЛ</t>
  </si>
  <si>
    <t>RENAULT LOGAN 2005-  СТ ПЕР ДВ ОП ПР</t>
  </si>
  <si>
    <t>RENAULT LOGAN 2005-  СТ ЗАДН ДВ ОП ПР</t>
  </si>
  <si>
    <t>RENAULT LOGAN 2005-  СТ ПЕР ДВ ОП ПР ЗЛ</t>
  </si>
  <si>
    <t>RENAULT LOGAN 2005-  СТ ЗАДН ДВ ОП ПР ЗЛ</t>
  </si>
  <si>
    <t>MAXITY 2007-</t>
  </si>
  <si>
    <t>RENAULT MAXITY 2007- СТ ВЕТР ЗЛ</t>
  </si>
  <si>
    <t>MEGANE I 4D/5Д 1995-2002</t>
  </si>
  <si>
    <t>RENAULT MEGANE I 5Д ХБ+4Д СД 1995-2002  СТ ВЕТР ТЕПЛООТР+КР</t>
  </si>
  <si>
    <t>RENAULT MEGANE I 5Д ХБ+4Д СД 1995-2002  СТ ВЕТР +КР</t>
  </si>
  <si>
    <t>RENAULT MEGANE I ХБ+СД 1995-2002 /УН 1999-2002  СТ ВЕТР ЗЛГЛ</t>
  </si>
  <si>
    <t>RENAULT MEGANE I 5Д ХБ+4Д СД 1995-2002  СТ ВЕТР ЗЛЗЛ+КР</t>
  </si>
  <si>
    <t>RENAULT MEGANE I ХБ+СЕД 1995-2002 /УН 1999-2002  СТ ВЕТР ЗЛ ЭО</t>
  </si>
  <si>
    <t>RENAULT MEGANE I 5Д ХБ+4Д СД 1995-2002  СТ ВЕТР ЗЛ+КР</t>
  </si>
  <si>
    <t>RENAULT MEGANE I ХБ/СД 1995-2002/ УН 1999-2002 УСТ КОМПЛ ДЛЯ СТ ВЕТР</t>
  </si>
  <si>
    <t>RENAULT MEGANE I 5Д ХБ 1995-2002  СТ ЗАДН ЭО+СТОП</t>
  </si>
  <si>
    <t>RENAULT MEGANE I 4Д СД 1995-2002  СТ ЗАДН ЭО ЗЛ+СТОП</t>
  </si>
  <si>
    <t>2001-2002</t>
  </si>
  <si>
    <t>RENAULT MEGANE I 5Д ХБ 2001-2002  СТ ЗАДН ЭО ТЗЛ+СТОП</t>
  </si>
  <si>
    <t>RENAULT MEGANE I 4Д СД 2001-2002  СТ ЗАДН ЭО ТЗЛ+СТОП</t>
  </si>
  <si>
    <t>RENAULT MEGANE I УН 1999-2002  СТ ЗАДН ЗЛ+УО</t>
  </si>
  <si>
    <t>RENAULT MEGANE I 5Д ХБ 1995-2002  СТ ЗАДН ЭО ЗЛ+СТОП</t>
  </si>
  <si>
    <t>RENAULT MEGANE I ХБ 1996-2002   МОЛД  ДЛЯ СТ ЗАДН</t>
  </si>
  <si>
    <t>RENAULT MEGANE I 5Д ХБ+4Д СД 1995-2002 СТ ПЕР ДВ ОП ЛВ</t>
  </si>
  <si>
    <t>RENAULT MEGANE I 5Д ХБ+4Д СД 1995-2002 СТ ПЕР ДВ ОП ЛВ ЗЛ</t>
  </si>
  <si>
    <t>RENAULT MEGANE I 5Д ХБ+4Д СД 1995-2002 СТ ЗАДН ДВ ОП ЛВ ЗЛ</t>
  </si>
  <si>
    <t>RENAULT MEGANE I 5Д ХБ+4Д СД 1995-2002 СТ БОК НЕП ЛВ ЗЛ</t>
  </si>
  <si>
    <t>RENAULT MEGANE I 5Д ХБ+4Д СД 1995-2002 СТ ПЕР ДВ ОП ПР</t>
  </si>
  <si>
    <t>RENAULT MEGANE I 5Д ХБ+4Д СД 1995-2002 СТ БОК НЕП ПР</t>
  </si>
  <si>
    <t>RENAULT MEGANE I 5Д ХБ+4Д СД 1995-2002 СТ ПЕР ДВ ОП ПР ЗЛ</t>
  </si>
  <si>
    <t>RENAULT MEGANE I 5Д ХБ+4Д СД 1995-2002 СТ ЗАДН ДВ ОП ПР ЗЛ</t>
  </si>
  <si>
    <t>RENAULT MEGANE I 5Д ХБ+4Д СД 1995-2002 СТ БОК НЕП ПР ЗЛ</t>
  </si>
  <si>
    <t>RENAULT MEGANE I УН 1999-2002  СТ ЗАДН ДВ ОП ПР ЗЛ</t>
  </si>
  <si>
    <t>MEGANE I КП 1995-2002/КБ 1996-2002</t>
  </si>
  <si>
    <t>RENAULT MEGANE I КП 1995-2002 /КБ 1996-2002  СТ ВЕТР ТЕПЛООТР</t>
  </si>
  <si>
    <t>RENAULT MEGANE I КП 1995-2002 /КБ 1996-2002  СТ ВЕТР ЗЛ+КР</t>
  </si>
  <si>
    <t>RENAULT MEGANE I КП 1995-2002 /КБ 1996-2002  СТ ВЕТР ЗЛЗЛ+КР</t>
  </si>
  <si>
    <t>RENAULT MEGANE I КП 1995-2002  СТ ЗАДН ЭО ЗЛ+ОТВ</t>
  </si>
  <si>
    <t>RENAULT MEGANE I КП 2001-2002  СТ ЗАДН ЭО ТЗЛ</t>
  </si>
  <si>
    <t>RENAULT MEGANE I КБ 1996-2002   МОЛД  ДЛЯ СТ ЗАДН</t>
  </si>
  <si>
    <t>RENAULT MEGANE I КП 1995-2002  СТ ПЕР ДВ ОП ЛВ ЗЛ+2ОТВ</t>
  </si>
  <si>
    <t>RENAULT MEGANE I КП 1995-2002  СТ БОК НЕП ЛВ ЗЛ</t>
  </si>
  <si>
    <t>RENAULT MEGANE I КП 1995-2002  СТ БОК ПОД ЛВ ЗЛ+3 ОТВ</t>
  </si>
  <si>
    <t>RENAULT MEGANE I КП 2001-2002  СТ БОК ПОД ЛВ ТЗЛ</t>
  </si>
  <si>
    <t>RENAULT MEGANE I КП 1995-2002  СТ ПЕР ДВ ОП ПР ЗЛ+2ОТВ</t>
  </si>
  <si>
    <t>RENAULT MEGANE I КП 1995-2002 СТ БОК ПОД ПР ЗЛ+3ОТВ</t>
  </si>
  <si>
    <t>RENAULT MEGANE I КБ 1996-2002  СТ БОК ПОД ПР ЗЛ+ФИТ</t>
  </si>
  <si>
    <t>RENAULT MEGANE I КП 2001-2002  СТ БОК ПОД ПР ТЗЛ</t>
  </si>
  <si>
    <t>MEGANE II 3Д/5Д 2002-</t>
  </si>
  <si>
    <t>RENAULT MEGANE II 2002- СТ ВЕТР ЗЛ+ДД+VIN</t>
  </si>
  <si>
    <t>RENAULT MEGANE II 3Д/5Д 2002- СТ ВЕТР ЗЛ+VIN</t>
  </si>
  <si>
    <t>RENAULT MEGANE II 2002- СТ ВЕТР ЗЛ VIN</t>
  </si>
  <si>
    <t>RENAULT MEGANE II 3Д/5Д 2002- МОЛД  ДЛЯ СТ ВЕТР</t>
  </si>
  <si>
    <t>RENAULT MEGANE II УН 2003-  СТ ЗАДН ЗЛ</t>
  </si>
  <si>
    <t>RENAULT MEGANE II УН 2003-  СТ ЗАДН ЗЛ ОТКР+УО</t>
  </si>
  <si>
    <t>RENAULT MEGANE II ХБ 2002-  СТ ЗАДН ЗЛ</t>
  </si>
  <si>
    <t>RENAULT MEGANE II СД 2003- СТ ЗАДН ЗЛ+СТОП</t>
  </si>
  <si>
    <t>RENAULT MEGANE II УН 2003-  СТ ЗАДН ДВ ОП ЛВ ЗЛ</t>
  </si>
  <si>
    <t>RENAULT MEGANE II 2002-  СТ ПЕР ДВ ОП ЛВ ЗЛ</t>
  </si>
  <si>
    <t>RENAULT MEGANE II 2002-  СТ ЗАДН ДВ ОП ЛВ ЗЛ</t>
  </si>
  <si>
    <t>RENAULT MEGANE II 2002-  СТ ФОРТ ЗАДН НЕП ЛВ ЗЛ</t>
  </si>
  <si>
    <t>RENAULT MEGANE II СД 2003-  СТ ЗАДН ДВ ОП ЛВ ЗЛ</t>
  </si>
  <si>
    <t>RENAULT MEGANE II СД 2003-  СТ ФОРТ ЗАДН НЕП ЛВ ЗЛ</t>
  </si>
  <si>
    <t>RENAULT MEGANE II УН 2003-  СТ ЗАДН ДВ ОП ПР ЗЛ</t>
  </si>
  <si>
    <t>RENAULT MEGANE II 2002-  СТ ПЕР ДВ ОП ПР ЗЛ</t>
  </si>
  <si>
    <t>RENAULT MEGANE II 2002-  СТ ЗАДН ДВ ОП ПР ЗЛ</t>
  </si>
  <si>
    <t>RENAULT MEGANE II 2002-  СТ ФОРТ ЗАДН НЕП ПР ЗЛ</t>
  </si>
  <si>
    <t>RENAULT MEGANE II СЕД 2003-  СТ ЗАДН ДВ ОП ПР ЗЛ</t>
  </si>
  <si>
    <t>RENAULT MEGANE II СЕД 2003-  СТ ФОРТ ЗАДН НЕП ПР ЗЛ</t>
  </si>
  <si>
    <t>MEGANE КП 2008-</t>
  </si>
  <si>
    <t>RENAULT MEGANE КП 2008- СТ ЗАДН ЗЛ</t>
  </si>
  <si>
    <t>RENAULT MEGANE КП 2008- СТ ЗАДН ЗЛ+АНТ</t>
  </si>
  <si>
    <t>RENAULT MEGANE КП 2008- СТ ПЕР ДВ ОП ЛВ ЗЛ+УО</t>
  </si>
  <si>
    <t>RENAULT MEGANE КП 2008- СТ ПЕР ДВ ОП ПР ЗЛ+УО</t>
  </si>
  <si>
    <t>MEGANE III 5Д 2008-/ FLUENCE 10-</t>
  </si>
  <si>
    <t>RENAULT MEGANE 5Д ХБ/УН 2008- СТ ВЕТР ЗЛ+ДД+VIN</t>
  </si>
  <si>
    <t>RENAULT MEGANE 5Д ХБ/УН 2008- СТ ВЕТР ЗЛ+VIN</t>
  </si>
  <si>
    <t>RENAULT MEGANE 08-СТ ВЕТР ЗЛ АКУСТИК+ДД+VIN</t>
  </si>
  <si>
    <t>RENAULT MEGANE 08-СТ ВЕТР ЗЛ АКУСТИК+VIN</t>
  </si>
  <si>
    <t>RENAULT FLUENCE 10- СТ ВЕТР ЗЛ+ДД+VIN</t>
  </si>
  <si>
    <t>RENAULT  FLUENCE 10- СТ ВЕТР ЗЛ+VIN</t>
  </si>
  <si>
    <t>RENAULT MEGANE 5Д ХБ 2008- СТ ЗАДН ЗЛ</t>
  </si>
  <si>
    <t>RENAULT MEGANE 5Д ХБ 2008- СТ ЗАДН ЗЛ+АНТ</t>
  </si>
  <si>
    <t>RENAULT MEGANE 5Д УН 2008- СТ ЗАДН ДВ ОП ЛВ ЗЛ+УО</t>
  </si>
  <si>
    <t>RENAULT MEGANE 5Д УН 2008- СТ ЗАДН ДВ ОП ПР ЗЛ+УО</t>
  </si>
  <si>
    <t>MEGANE SCENIC I 1996-2003</t>
  </si>
  <si>
    <t>RENAULT MEGANE SCENIC I 1996-  СТ ВЕТР ТЕПЛООТР</t>
  </si>
  <si>
    <t>RENAULT MEGANE SCENIC I 1996-  СТ ВЕТР</t>
  </si>
  <si>
    <t>RENAULT MEGANE SCENIC I 1996-  СТ ВЕТР ЗЛ</t>
  </si>
  <si>
    <t>RENAULT MEGANE SCENIC I 2002-  СТ ВЕТР ЗЛ</t>
  </si>
  <si>
    <t>RENAULT MEGANE SCENIC I 1996-  СТ ВЕТР ЗЛЗЛ</t>
  </si>
  <si>
    <t>RENAULT MEGANE SCENIC I 1996-  СТ ВЕТР ЭО ЗЛ</t>
  </si>
  <si>
    <t>RENAULT MEGANE SCENIC I 1996- СТ ВЕТР ЭО ЗЛ</t>
  </si>
  <si>
    <t>RENAULT MEGANE SCENIC I 1996-  УСТ КОМПЛ ДЛЯ СТ ВЕТР</t>
  </si>
  <si>
    <t>RENAULT MEGANE SCENIC I МИН 1996-  СТ ЗАДН ЭО ЗЛ</t>
  </si>
  <si>
    <t>RENAULT MEGANE SCENIC I МИН 2001-  СТ ЗАДН ЭО ТЗЛ</t>
  </si>
  <si>
    <t>RENAULT MEGANE SCENIC I МИН 2001-  СТ ЗАДН ЭО ТЗЛ+ИЗМ РАЗМ</t>
  </si>
  <si>
    <t>RENAULT MEGANE SCENIC I МИН 2001  СТ ЗАДН ЗЛ+ИЗМ РАЗМ</t>
  </si>
  <si>
    <t>RENAULT MEGANE SCENIC I МИН 1999- СТЕК ЗАДН ЗЛ+ИЗМ РАЗМ</t>
  </si>
  <si>
    <t>RENAULT MEGANE SCENIC I 1996-  СТ ПЕР ДВ ОП ЛВ ЗЛ+1ОТВ</t>
  </si>
  <si>
    <t>RENAULT MEGANE SCENIC I 1996-  СТ ПЕР ДВ НЕП ЛВ ЗЛ</t>
  </si>
  <si>
    <t>RENAULT MEGANE SCENIC I 1996-  СТ ЗАДН ДВ ОП ЛВ ЗЛ+2ОТВ</t>
  </si>
  <si>
    <t>RENAULT MEGANE SCENIC I 5/1999-  СТ БОК НЕП ЛВ ЗЛ ИНК</t>
  </si>
  <si>
    <t>RENAULT MEGANE SCENIC I 2001- СТ ЗАДН ДВ ОП ЛВ ТЗЛ</t>
  </si>
  <si>
    <t>RENAULT MEGANE SCENIC I 2001- СТ БОК НЕП ЛВ ТЗЛ+ИНК</t>
  </si>
  <si>
    <t>RENAULT MEGANE SCENIC I 1996-  СТ ПЕР ДВ ОП ПР ЗЛ+1ОТВ</t>
  </si>
  <si>
    <t>RENAULT MEGANE SCENIC I 1996- СТ ПЕР ДВ НЕП ПР ЗЛ</t>
  </si>
  <si>
    <t>RENAULT MEGANE SCENIC I 1996-  СТ ЗАДН ДВ ОП ПР ЗЛ+2ОТВ</t>
  </si>
  <si>
    <t>RENAULT MEGANE SCENIC I 1996-  СТ БОК НЕП ПР ЗЛ</t>
  </si>
  <si>
    <t>RENAULT MEGANE SCENIC I 5/1999  СТ БОК НЕП ПР ЗЛ ИНК</t>
  </si>
  <si>
    <t>RENAULT MEGANE SCENIC I 2001-  СТ ЗАДН ДВ ОП ПР ТЗЛ</t>
  </si>
  <si>
    <t>RENAULT MEGANE SCENIC I 2001-  СТ БОК НЕП ПР ТЗЛ+ИНК</t>
  </si>
  <si>
    <t>RENAULT MEGANE SCENIC I 1996- СТ ПЕР ДВ ОП ПР ЗЛ+1ОТВ</t>
  </si>
  <si>
    <t>MEGANE SCENIC II 2003-</t>
  </si>
  <si>
    <t>RENAULT MEGANE SCENIC II 2003- СТ ВЕТР ДД+VIN</t>
  </si>
  <si>
    <t>RENAULT MEGANE SCENIC II 2003- СТ ВЕТР ЗЛ+VIN</t>
  </si>
  <si>
    <t>RENAULT MEGANE SCENIC II 2003- СТ ВЕТР ТЕПЛООТР+ДД+VIN+ИЗМ РАЗМ</t>
  </si>
  <si>
    <t>RENAULT MEGANE SCENIC II 2003- МОЛД  ДЛЯ СТ ВЕТР</t>
  </si>
  <si>
    <t>RENAULT MEGANE SCENIC II МИН 2003- СТ ЗАДН ТЗЛ</t>
  </si>
  <si>
    <t>RENAULT MEGANE SCENIC II МИН 2003- СТ ЗАДН ЗЛ</t>
  </si>
  <si>
    <t>RENAULT MEGANE SCENIC II МИН2003- СТ ПОД ЗАДН ЗЛ+УО</t>
  </si>
  <si>
    <t>RENAULT MEGANE SCENIC II 2003- СТ ЗУО ЛВ ТЗЛ</t>
  </si>
  <si>
    <t>RENAULT MEGANE SCENIC II 2003- СТ ПЕР ДВ ОП ЛВ ЗЛ</t>
  </si>
  <si>
    <t>RENAULT MEGANE SCENIC II 2003- СТ ПЕР ДВ НЕП ЛВ ЗЛ</t>
  </si>
  <si>
    <t>RENAULT MEGANE SCENIC II 2003- СТ ЗАДН ДВ ОП ЛВ ЗЛ</t>
  </si>
  <si>
    <t>RENAULT MEGANE SCENIC II 2003- СТ ЗУО ПР ТЗЛ</t>
  </si>
  <si>
    <t>RENAULT MEGANE SCENIC II 2003- СТ ПЕР ДВ ОП ПР ЗЛ</t>
  </si>
  <si>
    <t>RENAULT MEGANE SCENIC II 2003- СТ ПЕР ДВ НЕП ПР ЗЛ</t>
  </si>
  <si>
    <t>RENAULT MEGANE SCENIC II 2003- СТ ЗАДН ДВ ОП ПР ЗЛ</t>
  </si>
  <si>
    <t>MEGANE SCENIC III 2008-</t>
  </si>
  <si>
    <t>RENAULT MEGANE SCENIC III 2008- СТ ВЕТР ЗЛ+ДД</t>
  </si>
  <si>
    <t>RENAULT MEGANE SCENIC III 2008- СТ ВЕТР ЗЛ+VIN</t>
  </si>
  <si>
    <t>RENAULT MEGANE SCENIC III 2008- СТ ЗАДН ОП ПР</t>
  </si>
  <si>
    <t>RENAULT MEGANE SCENIC III 2008- СТ ПЕР ДВ ОП ПР ЗЛ</t>
  </si>
  <si>
    <t>RENAULT MEGANE SCENIC III 2008- СТ ФОРТ ПР ЗЛ</t>
  </si>
  <si>
    <t>RENAULT MEGANE SCENIC III 2008- СТ ЗАДН ОП ЛВ</t>
  </si>
  <si>
    <t>RENAULT MEGANE SCENIC III 2008- СТ ПЕР ДВ ОП ЛВ ЗЛ</t>
  </si>
  <si>
    <t>RENAULT MEGANE SCENIC III 2008- СТ ФОРТ ЛВ ЗЛ</t>
  </si>
  <si>
    <t>MODUS 2004-</t>
  </si>
  <si>
    <t>RENAULT MODUS J77 07/2004-  СТ ВЕТР ЗЛ+ДД+VIN</t>
  </si>
  <si>
    <t>RENAULT MODUS J77 07/2004-  СТ ВЕТР ЗЛ+VIN</t>
  </si>
  <si>
    <t>RENAULT MODUS J77 МИН 07/2004-  СТ ЗАДН ЗЛ+УО</t>
  </si>
  <si>
    <t>RENAULT MODUS J77 07/2004-  СТ ПЕР ДВ ОП ЛВ ЗЛ</t>
  </si>
  <si>
    <t>RENAULT MODUS J77 07/2004-  СТ ЗАДН ДВ ОП ЛВ ЗЛ</t>
  </si>
  <si>
    <t>RENAULT MODUS J77 07/2004-  СТ ПЕР ДВ ОП ПР ЗЛ</t>
  </si>
  <si>
    <t>RENAULT MODUS J77 07/2004-  СТ ЗАДН ДВ ОП ПР ЗЛ</t>
  </si>
  <si>
    <t>R4 1961-1980</t>
  </si>
  <si>
    <t>1961-1980</t>
  </si>
  <si>
    <t>RENAULT R4, СД+УН 1961-1980 СТ ВЕТР</t>
  </si>
  <si>
    <t>R9/R11 1982-1989</t>
  </si>
  <si>
    <t>1982-1988</t>
  </si>
  <si>
    <t>RENAULT R9/11 1982-1989 СТ ВЕТР КР</t>
  </si>
  <si>
    <t>RENAULT R9/11 1982-1989 СТ ВЕТР ЗЛ КР</t>
  </si>
  <si>
    <t>RENAULT R9/11 1982-1989 РЕЗ ПРОФ ДЛЯ СТ ВЕТР</t>
  </si>
  <si>
    <t>RENAULT R9 СД 1982-1989 СТ ЗАДН ЗЛ</t>
  </si>
  <si>
    <t>RENAULT R9 4Д+R11 5Д 1982-1989 СТ ПЕР ДВ ОП ЛВ</t>
  </si>
  <si>
    <t>RENAULT R9 4Д+R11 5Д 1982-1989 СТ ПЕР ДВ ОП ЛВ ЗЛ</t>
  </si>
  <si>
    <t>RENAULT R9 4Д+R11 5Д 1982-1989 СТ ПЕР ДВ ОП ПР</t>
  </si>
  <si>
    <t>R18 1979-1986</t>
  </si>
  <si>
    <t>RENAULT R18 1979-1986 СТ ВЕТР+КР</t>
  </si>
  <si>
    <t>R19 1989-1997</t>
  </si>
  <si>
    <t>1989-1997</t>
  </si>
  <si>
    <t>RENAULT R19 1989-1997 СТ ВЕТР+КР</t>
  </si>
  <si>
    <t>RENAULT R19 1989-1997 СТ ВЕТР ЗЛ КР</t>
  </si>
  <si>
    <t>RENAULT R19 1989-1997 СТ ВЕТР ЗЛГЛ</t>
  </si>
  <si>
    <t>RENAULT R19 1989-1997 СТ ВЕТР ЗЛЗЛ</t>
  </si>
  <si>
    <t>RENAULT R19 1988-1997 УСТ КОМПЛ ДЛЯ СТ ВЕТР ХРОМ С СОЕД</t>
  </si>
  <si>
    <t>RENAULT R19 1989-1997  ВНУТР  МОЛД  ДЛЯ СТ ВЕТР</t>
  </si>
  <si>
    <t>RENAULT R19 1989-1997  МОЛД  ДЛЯ СТ ВЕТР</t>
  </si>
  <si>
    <t>RENAULT R19 ХБ 1989-1997  СТ ЗАДН ДВ</t>
  </si>
  <si>
    <t>RENAULT R19 СД 4Д 1989-1997 СТ ЗАДН ЭО</t>
  </si>
  <si>
    <t>RENAULT R19 ХБ 1989-1997 СТ ЗАДН ЭО ЗЛ</t>
  </si>
  <si>
    <t>RENAULT R19 СД 4Д 1989-1997  СТ ЗАДН ЭО ЗЛ</t>
  </si>
  <si>
    <t>RENAULT R19 ХБ 5Д+СД 4Д 1989-1997  СТ ПЕР ДВ ОП ЛВ</t>
  </si>
  <si>
    <t>RENAULT R19 ХБ 5Д+СД 4Д 1989-1997  СТ ЗАДН ДВ ОП ЛВ</t>
  </si>
  <si>
    <t>RENAULT R19 ХБ 5Д+СД 4Д 1989-1997  СТ БОК НЕП ЛВ</t>
  </si>
  <si>
    <t>RENAULT R19 ХБ 5Д+СД 4Д 1989-1997  СТ ПЕР ДВ ОП ЛВ ЗЛ</t>
  </si>
  <si>
    <t>RENAULT R19 ХБ 5Д+СД 4D 1989-1997  СТ ЗАДН ДВ ОП ЛВ ТЗЛ</t>
  </si>
  <si>
    <t>RENAULT R19 ХБ 5Д+СД 4D 1989-1997  СТ БОК НЕП ЛВ ЗЛ</t>
  </si>
  <si>
    <t>RENAULT R19 ХБ 5Д+СД 4D 1989-1997  СТ ПЕР ДВ ОП ПР</t>
  </si>
  <si>
    <t>RENAULT R19 ХБ 5Д+СД 4D 1989-1997  СТ БОК НЕП ПР</t>
  </si>
  <si>
    <t>RENAULT R19 ХБ 3Д 1989-1997  СТ БОК НЕП ПР ЗЛ</t>
  </si>
  <si>
    <t>RENAULT R19 ХБ 5Д+СД 4D 1989-1997  СТ ПЕР ДВ ОП ПР ЗЛ</t>
  </si>
  <si>
    <t>RENAULT R19 ХБ 5Д+СД 4D 1989-1997  СТ ЗАДН ДВ ОП ПР ЗЛ</t>
  </si>
  <si>
    <t>RENAULT R19 ХБ 5Д+СД 4D 1989-1997  СТ БОК НЕП ПР ЗЛ</t>
  </si>
  <si>
    <t>R21 1986-1995</t>
  </si>
  <si>
    <t>RENAULT R21 1986-1995 СТ ВЕТР КР</t>
  </si>
  <si>
    <t>RENAULT R21 1986-1995 СТ ВЕТР ЗЛ КР</t>
  </si>
  <si>
    <t>RENAULT R21 1986-1995 СТ ВЕТР ЗЛЗЛ КР</t>
  </si>
  <si>
    <t>RENAULT R21 1986-1995 УСТ КОМПЛ ДЛЯ СТ ВЕТР</t>
  </si>
  <si>
    <t>RENAULT R21 УН 1986-1995  СТ ЗАДН ЭО</t>
  </si>
  <si>
    <t>RENAULT R21 СД 1986-1995  СТ ЗАДН ЭО</t>
  </si>
  <si>
    <t>RENAULT R21 УН 1986-1995  СТ ЗАДН ЭО ЗЛ</t>
  </si>
  <si>
    <t>RENAULT R21 СД 1986-1995  СТ ЗАДН ЭО ЗЛ</t>
  </si>
  <si>
    <t>RENAULT R21 УН 1986-1995  СТ ЗАДН ДВ ОП ЛВ</t>
  </si>
  <si>
    <t>RENAULT R21 СД 1986-1995  СТ ПЕР ДВ ОП ЛВ</t>
  </si>
  <si>
    <t>RENAULT R21 СД 1986-1995  СТ ПЕР ДВ ОП ЛВ ЗЛ</t>
  </si>
  <si>
    <t>RENAULT R21 СД 4Д 1986-1995 СТ ЗАДН ДВ ОП ЛВ ЗЛ</t>
  </si>
  <si>
    <t>RENAULT R21 СД 1986-1995  СТ БОК НЕП ЛВ ЗЛ</t>
  </si>
  <si>
    <t>RENAULT R21 УН 1986-1995  СТ ЗАДН ДВ ОП ПР</t>
  </si>
  <si>
    <t>RENAULT R21 СД 1986-1995  СТ ПЕР ДВ ОП ПР</t>
  </si>
  <si>
    <t>RENAULT R21 СД+ХБ 1986-1995  СТ ЗАДН ДВ ОП ПР</t>
  </si>
  <si>
    <t>RENAULT R21 УН 1986-1995  СТ ЗАДН ДВ ОП ПР ЗЛ</t>
  </si>
  <si>
    <t>RENAULT R21 СД 1986-1995  СТ ПЕР ДВ ОП ПР ЗЛ</t>
  </si>
  <si>
    <t>RENAULT R21 СД+ХБ 1986-1995  СТ ЗАДН ДВ ОП ПР ЗЛ</t>
  </si>
  <si>
    <t>RENAULT R21 СД 1986-1995  СТ БОК НЕП ПР ЗЛ</t>
  </si>
  <si>
    <t>R25 1984-1993</t>
  </si>
  <si>
    <t>RENAULT R25 1984-1993 СТ ВЕТР</t>
  </si>
  <si>
    <t>RENAULT R25 1984-1993 СТ ВЕТР ЗЛ КР</t>
  </si>
  <si>
    <t>RENAULT R25 1984-1993 СТ ВЕТР ЗЛЗЛ</t>
  </si>
  <si>
    <t>RENAULT R25 1984-1993 УСТ КОМПЛ ДЛЯ СТ ВЕТР</t>
  </si>
  <si>
    <t>RENAULT R25 1984-1993 ВНУТР  МОЛД  ДЛЯ СТ ВЕТР</t>
  </si>
  <si>
    <t>RENAULT R25 ХБ 1984-1993 СТ ЗАДН ЗЛ</t>
  </si>
  <si>
    <t>RENAULT R25 1984-1993 СТ ПЕР ДВ ОП ЛВ ЗЛ</t>
  </si>
  <si>
    <t>RENAULT R25 1984-1993 СТ ЗАДН ДВ ОП ЛВ ЗЛ</t>
  </si>
  <si>
    <t>RENAULT R25 1984-1993 СТ БОК НЕП ЛВ ЗЛ</t>
  </si>
  <si>
    <t>RENAULT R25 1984-1993 СТ ПЕР ДВ ОП ПР ЗЛ</t>
  </si>
  <si>
    <t>RENAULT R25 1984-1993 СТ ЗАДН ДВ ОП ПР ЗЛ</t>
  </si>
  <si>
    <t>RENAULT R25 1984-1993 СТ БОК НЕП ПР ЗЛ</t>
  </si>
  <si>
    <t>SAFRANE 1993-2001</t>
  </si>
  <si>
    <t>RENAULT SAFRANE 1993-2001  СТ ВЕТР ЗЛ КР</t>
  </si>
  <si>
    <t>RENAULT SAFRANE 1993-2001 МОЛД  ДЛЯ СТ ВЕТР ВЕРХ МЯГК СО СПЕЙС</t>
  </si>
  <si>
    <t>RENAULT SAFRANE ХБ 1996-2001  СТ ЗАДН ДВ ЗЛ+СТОП+ИНК</t>
  </si>
  <si>
    <t>RENAULT SAFRANE ХБ 1993-2001  СТ ЗАДН ЭО ЗЛ+ИНК</t>
  </si>
  <si>
    <t>RENAULT SAFRANE 1993-2001  СТ ПЕР ДВ ОП ЛВ ЗЛ</t>
  </si>
  <si>
    <t>RENAULT SAFRANE 1993-2001  СТ ЗАДН ДВ ОП ЛВ ЗЛ</t>
  </si>
  <si>
    <t>RENAULT SAFRANE 1993-2001  СТ ПЕР ДВ ОП ПР ЗЛ</t>
  </si>
  <si>
    <t>RENAULT SAFRANE 1993-2001  СТ ЗАДН ДВ ОП ПР ЗЛ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</si>
  <si>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</si>
  <si>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</si>
  <si>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</si>
  <si>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</si>
  <si>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</si>
  <si>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RENAULT SANDERO 5Д ХБ 08-СТ ЗАДН ДВ ОП ПР ЗЛ</t>
  </si>
  <si>
    <t>RENAULT SANDERO 5Д ХБ 08-СТ ЗАДН ДВ ОП ЛВ ЗЛ</t>
  </si>
  <si>
    <t>RENAULT SANDERO 5Д ХБ 08-ФОРТ ЗАДН НЕП ПР ЗЛ</t>
  </si>
  <si>
    <t>RENAULT SANDERO 5Д ХБ 08-ФОРТ ЗАДН НЕП ЛВ ЗЛ</t>
  </si>
  <si>
    <t>RENAULT SANDERO ХБ 08- СТ ЗАДН ЗЛ ИЗМ ЭО</t>
  </si>
  <si>
    <t>TRAFIC 2001-</t>
  </si>
  <si>
    <t>2001-2013</t>
  </si>
  <si>
    <t>RENAULT TRAFIC 2001- СТ ВЕТР ТЕПЛООТР+VIN/ OPEL VIVARO 2001-  СТ ВЕТР ТЕПЛООТР+VIN</t>
  </si>
  <si>
    <t>RENAULT TRAFIC 2001- СТ ВЕТР ТЕПЛООТР+VIN+КР/ OPEL VIVARO 2001-  СТ ВЕТР ТЕПЛООТР+VIN</t>
  </si>
  <si>
    <t>2006-2013</t>
  </si>
  <si>
    <t>RENAULT TRAFIC 2006- СТ ВЕТР ЗЛ+ДД+VIN</t>
  </si>
  <si>
    <t>RENAULT TRAFIC 2001- СТ ВЕТР ЗЛ+VIN/ RENAULT TRAFIC 2001- СТ ВЕТР ЗЛ+VIN</t>
  </si>
  <si>
    <t>RENAULT TRAFIC 2001- СТ ВЕТР ЗЛ+VIN/ RENAULT TRAFIC 2001-  СТ ВЕТР ЗЛ+VIN</t>
  </si>
  <si>
    <t>RENAULT TRAFIC 2001- СТ ВЕТР БЕЗ КР ЗЛ+VIN/ VAUXHALL/OPEL VIVARO 2001-  СТ ВЕТР ЗЛ+VIN</t>
  </si>
  <si>
    <t>RENAULT TRAFIC 2001- СТ ВЕТР ЗЛ+VIN/ OPEL VIVARO 2001-  СТ ВЕТР ЗЛ+VIN</t>
  </si>
  <si>
    <t>RENAULT TRAFIC 2001- МОЛД  ДЛЯ СТ ВЕТР ВЕРХ</t>
  </si>
  <si>
    <t>RENAULT TRAFIC МИН 2001-  СТ ЗАДН ЭО ЗЛ/ OPEL VIVARO 2001- СТ ЗАДН ЗЛ</t>
  </si>
  <si>
    <t>RENAULT TRAFIC МИН 2001-  СТ ЗАДН ЛВ ЭО/ NISSAN PRIMASTAR X83 03  СТ ЗАДН ЗЛ ЛВ</t>
  </si>
  <si>
    <t>RENAULT TRAFIC МИН 2001-  СТ ЗАДН ЛВ ЗЛ Б/ЭО / VAUXHALL/OPEL VIVARO 2001-  СТ ЗАДН ЗЛ ЛВ Б/ЭО</t>
  </si>
  <si>
    <t>RENAULT TRAFIC МИН 2001-  СТ ЗАДН ПР ЭО ЗЛ/ NISSAN PRIMASTAR X83 03  СТ ЗАДН ЗЛ ПР</t>
  </si>
  <si>
    <t>RENAULT TRAFIC МИН 2001-  СТ ЗАДН ПР ЗЛ Б/ЭО / VAUXHALL/OPEL VIVARO 2001-  СТ ЗАДН ЗЛ ПР Б/ЭО</t>
  </si>
  <si>
    <t>RENAULT TRAFIC 2001-  СТ ПЕР ДВ ОП ЛВ ЗЛ / VAUXHALL/OPEL VIVARO 2001-  СТ ПЕР ДВ ОП ЛВ</t>
  </si>
  <si>
    <t>RENAULT TRAFIC 2001-  СТ ПЕР ДВ НЕП ЛВ ЗЛ / VAUXHALL/OPEL VIVARO 2001-  СТ ФОРТ ПЕР НЕП ЛВ</t>
  </si>
  <si>
    <t>RENAULT TRAFIC 2001-  СТ ЗАДН ДВ НЕП ЛВ ЗЛ / OPEL VIVARO VAN 2D 2001- СТ ЗАДН НЕП ЛВ ЗЛ</t>
  </si>
  <si>
    <t>RENAULT TRAFIC 2001-  СТ БОК ЛВ ЗЛЗЛ+VIN / VAUXHALL/OPEL VIVARO 4Д LHD 2001- СТ СР ЛВ ЗЛ</t>
  </si>
  <si>
    <t>RENAULT TRAFIC 4Д ЛВРУЛЬ/5Д 2001-  СТ ЗАДН ДВ ОП ЛВ ТЗЛ / VAUXHALL/OPEL VIVARO RHD/ 2001-  СТ ЗАДН ОП ЛВ ЗЛ</t>
  </si>
  <si>
    <t>RENAULT TRAFIC 2001- СТ ЗАДН ДВ НЕП ЛВ / VAUXHALL/OPEL VIVARO LWB 2001-  СТ БОК НЕП ЛВ ЗЛ</t>
  </si>
  <si>
    <t>RENAULT TRAFIC 2001- СТ ЗАДН ДВ НЕП ЛВ ЗЛ</t>
  </si>
  <si>
    <t>RENAULT TRAFIC 2001-  СТ ПЕР ДВ ОП ПР ЗЛ / VAUXHALL/OPEL VIVARO 2001-  СТ ПЕР ДВ ОП ПР</t>
  </si>
  <si>
    <t>RENAULT TRAFIC 2001- СТ ПЕР ДВ НЕП ПР ЗЛ / VAUXHALL/OPEL VIVARO 2001-  СТ ФОРТ ПЕР НЕП ПР</t>
  </si>
  <si>
    <t>RENAULT TRAFIC 2001-  СТ ЗАДН ДВ НЕП ПР ЗЛ / OPEL VIVARO VAN 2D 2001- СТ ЗАДН НЕП ПР ЗЛ</t>
  </si>
  <si>
    <t>RENAULT TRAFIC 4Д ЛВРУЛЬ/5Д 2001-  СТ ЗАДН ДВ ОП ПР ЗЛ / VAUXHALL/OPEL VIVARO LHD/ 2001-  СТ ЗАДН ОП ПР ЗЛ</t>
  </si>
  <si>
    <t>RENAULT TRAFIC 2001- СТ ЗАДН ДВ НЕП ПР / VAUXHALL/OPEL VIVARO LWB 2001-  СТ БОК НЕП ПР ЗЛ</t>
  </si>
  <si>
    <t>RENAULT TRAFIC 01 СТ ЗАДН НЕП ЛВ ЗЛ+ИЗМ РАЗМ</t>
  </si>
  <si>
    <t>TRAFIC 1981-2001</t>
  </si>
  <si>
    <t>1981-2001</t>
  </si>
  <si>
    <t>RENAULT TRAFIC 1981-2001  СТ ВЕТР КР</t>
  </si>
  <si>
    <t>RENAULT TRAFIC 1981-2001  РЕЗ ПРОФ ДЛЯ СТ ВЕТР</t>
  </si>
  <si>
    <t>RENAULT TRAFIC 1981-2001  СТ ПЕР ДВ ОП ЛВ</t>
  </si>
  <si>
    <t>RENAULT TRAFIC 2Д 1981-2001 СТ ФОР ПЕР ДВ ЛВ/OPEL ARENA УН 1997-  СТ ФОРТ ПЕР НЕП ЛВ</t>
  </si>
  <si>
    <t>RENAULT TRAFIC 1981-2001  СТ ПЕР ДВ ОП ПР</t>
  </si>
  <si>
    <t>RENAULT TRAFIC 2Д 1981-2001  СТ ФОРТ ПЕР ДВ ПР/OPEL ARENA УН 1997-  СТ ФОРТ ПЕР НЕП ПР</t>
  </si>
  <si>
    <t>TWINGO 2007-</t>
  </si>
  <si>
    <t>RENAULT TWINGO II 2007-  СТ ВЕТР ЗЛ+ДД+VIN</t>
  </si>
  <si>
    <t>RENAULT TWINGO II 2007-  СТ ВЕТР ЗЛ+VIN</t>
  </si>
  <si>
    <t>TWINGO 1993-2006-</t>
  </si>
  <si>
    <t>1993-2006</t>
  </si>
  <si>
    <t>RENAULT TWINGO 1993-2006  СТ ВЕТР ТЕПЛООТР КР</t>
  </si>
  <si>
    <t>RENAULT TWINGO 1993-2006  СТ ВЕТР КР</t>
  </si>
  <si>
    <t>RENAULT TWINGO 2000-2006  СТ ВЕТР ЗЛ</t>
  </si>
  <si>
    <t>RENAULT TWINGO 1993-2006  СТ ВЕТР ЗЛГЛ КР ИЗМ ШЕЛК</t>
  </si>
  <si>
    <t>RENAULT TWINGO 1993-2006  СТ ВЕТР ЗЛЗЛ КР ИЗМ ШЕЛК</t>
  </si>
  <si>
    <t>RENAULT TWINGO 1993-2006  МОЛД  ДЛЯ СТ ВЕТР</t>
  </si>
  <si>
    <t>RENAULT TWINGO ХБ 1993-2006  СТ ЗАДН ЭО ЗЛ</t>
  </si>
  <si>
    <t>RENAULT TWINGO 1993-2006  РЕЗ ПРОФ ДЛЯ СТ ЗАДН</t>
  </si>
  <si>
    <t>RENAULT TWINGO 1993-2006  СТ ПЕР ДВ ОП ЛВ ЗЛ</t>
  </si>
  <si>
    <t>RENAULT TWINGO 1993-2006  СТ БОК ЛВ ЗЛ</t>
  </si>
  <si>
    <t>RENAULT TWINGO 1993-2006  СТ ПЕР ДВ ОП ПР ЗЛ</t>
  </si>
  <si>
    <t>RENAULT TWINGO 1993-2006  СТ БОК ПР ЗЛ</t>
  </si>
  <si>
    <t>VEL SATIS 2001-</t>
  </si>
  <si>
    <t>RENAULT VEL SATIS 2001-  СТ ВЕТР+ДД+VIN+УО</t>
  </si>
  <si>
    <t>G SERIES 1979-1985</t>
  </si>
  <si>
    <t>1979-1985</t>
  </si>
  <si>
    <t>RENAULT G SERIES 1979-1985 СТ ВЕТР</t>
  </si>
  <si>
    <t>RENAULT G SERIES 1979-1985 СТ ВЕТР ЗЛ</t>
  </si>
  <si>
    <t>A.E TRUCK 1991-</t>
  </si>
  <si>
    <t>RENAULT A.E TRUCK 1991-  СТ ВЕТР ЗЛ</t>
  </si>
  <si>
    <t>RENAULT A.E TRUCK 1991-  СТ ВЕТР ЗЛЗЛ</t>
  </si>
  <si>
    <t>RENAULT A.E TRUCK 1991-  МОЛД  ДЛЯ СТ ВЕТР</t>
  </si>
  <si>
    <t>RENAULT A.E TRUCK 1991-  СТ ПЕР ДВ ОП ЗЛ</t>
  </si>
  <si>
    <t>MAJOR 2P TRUCK CLEAR</t>
  </si>
  <si>
    <t>RENAULT MAJOR 2P TRUCK CLEAR СТ ВЕТР/FORD TRANSCONTINENTAL,H SER 1975-1985 СТ ВЕТР</t>
  </si>
  <si>
    <t>MASTER 1981-1997</t>
  </si>
  <si>
    <t>1980-1997</t>
  </si>
  <si>
    <t>RENAULT MASTER 1981-1997 СТ ВЕТР БЕЗ КР</t>
  </si>
  <si>
    <t>RENAULT MASTER 1981-1997  РЕЗ ПРОФ ДЛЯ СТ ВЕТР</t>
  </si>
  <si>
    <t>MASTER 1997-</t>
  </si>
  <si>
    <t>RENAULT MASTER 1997-  СТ ВЕТР ТЕПЛООТР/NISSAN INTERSTAR X70 03  СТ ВЕТР ТЕПЛООТР</t>
  </si>
  <si>
    <t>RENAULT MASTER 1997-  СТ ВЕТР ЗЛ /NISSAN INTERSTAR X70 03  СТ ВЕТР ЗЛ</t>
  </si>
  <si>
    <t>RENAULT MASTER 12/1999- СТ ВЕТР ЗЛГЛ+КР</t>
  </si>
  <si>
    <t>RENAULT MASTER 1997-  СТ ВЕТР ЭО ЗЛ КР/NISSAN INTERSTAR X70 03  СТ ВЕТР ЗЛ+ЭО</t>
  </si>
  <si>
    <t>RENAULT MASTER 1999-  VAN МОЛДИНГ СТ ВЕТР+СПЕЙС</t>
  </si>
  <si>
    <t>RENAULT MASTER 1997-  МОЛД  ДЛЯ СТ ВЕТР</t>
  </si>
  <si>
    <t>RENAULT MASTER МИН 12/1999- СТ ЗАДН ЗЛ ЛВ/NISSAN INTERSTAR X70 03  СТ ЗАДН ЗЛ ЛВ+ИЗМ РАЗМ</t>
  </si>
  <si>
    <t>RENAULT MASTER МИН 12/1999- СТ ЗАДН ЗЛ ЛВ Б/ЭО/NISSAN INTERSTAR X70 03  СТ ЗАДН ЗЛ ЛВ Б/ЭО+ИЗМ РАЗМ</t>
  </si>
  <si>
    <t>RENAULT MASTER МИН 1997-  СТ ЗАДН ЗЛ ПР</t>
  </si>
  <si>
    <t>RENAULT MASTER МИН 12/1999- СТ ЗАДН ЗЛ ПР/NISSAN INTERSTAR X70 03  СТ ЗАДН ЗЛ ПР+ИЗМ РАЗМ</t>
  </si>
  <si>
    <t>RENAULT MASTER МИН 12/1999- СТ ЗАДН ЗЛ ПР Б/ЭО/NISSAN INTERSTAR X70 03  СТ ЗАДН ЗЛ ПР Б/ЭО+ИЗМ РАЗМ</t>
  </si>
  <si>
    <t>RENAULT MASTER 12/1999-  VAN 4Д СТ ПЕР ДВ ОП ЛВ ЗЛ+УО/IVECO DAILY S 2000 11999-9- СТ ПЕР ДВ ОП ЛВ ЗЛ+УО</t>
  </si>
  <si>
    <t>RENAULT MASTER 12/1999-  VAN 4Д СТ ФОРТ ПЕР НЕП ЛВ ЗЛ/IVECO DAILY S 2000 11999-9- СТ ПЕР ДВ НЕП ЛВ ЗЛ</t>
  </si>
  <si>
    <t>RENAULT MASTER 12/1999-  VAN 4Д СТ ПЕР ДВ ОП ПР ЗЛ+УО/IVECO DAILY S 2000 11999-9- СТ ПЕР ДВ ОП ПР ЗЛ+УО</t>
  </si>
  <si>
    <t>RENAULT MASTER 12/1999-  VAN 4Д СТ ФОТР ПЕР НЕП ПР ЗЛ/IVECO DAILY S 2000 11999-9- СТ ПЕР ДВ НЕП ПР ЗЛ</t>
  </si>
  <si>
    <t>MIDLUM 1999-</t>
  </si>
  <si>
    <t>RENAULT MIDLUM 1999- СТ ВЕТР+УО/DAF LF45-55 2001- СТ ВЕТР+УО</t>
  </si>
  <si>
    <t>RENAULT MIDLUM 1999- СТ ВЕТР ЗЛГЛ/DAF LF45-55 2001- СТ ВЕТР ЗЛГЛ</t>
  </si>
  <si>
    <t>RENAULT MIDLUM 1999- СТ ВЕТР ЗЛ+УО/DAF LF45 55 2001- СТ ВЕТР ЗЛ</t>
  </si>
  <si>
    <t>RENAULT MIDLUM 1999- МОЛД ДЛЯ СТ ВЕТР</t>
  </si>
  <si>
    <t>PREMIUM 1996-</t>
  </si>
  <si>
    <t>RENAULT PREMIUM 1996-  СТ ВЕТР ЗЛ/VOLVO FE 2007- СТ ВЕТР ЗЛ</t>
  </si>
  <si>
    <t>RENAULT PREMIUM 1996-  СТ ВЕТР ЗЛЗЛ</t>
  </si>
  <si>
    <t>RENAULT PREMIUM 1996-  МОЛД  ДЛЯ СТ ВЕТР</t>
  </si>
  <si>
    <t>RENAULT PREMIUM 1996-  TRUCK 2Д СТ ПЕР ДВ ОП ЛВ+ЗЛ</t>
  </si>
  <si>
    <t>75 1998-2002</t>
  </si>
  <si>
    <t>ROVER 75 1998-2002  СТ ВЕТР ЗЛ+VIN+ШЕЛК ДД</t>
  </si>
  <si>
    <t>ROVER 75 2004/02- СТ ВЕТР ЗЛ+VIN+ИЗМ ШЕЛК ДД</t>
  </si>
  <si>
    <t>ROVER 75 1998-2002  СТ ВЕТР ЗЛ+VIN</t>
  </si>
  <si>
    <t>ROVER 75 1998-2002  СТ ПЕР ДВ ОП ЛВ ЗЛ</t>
  </si>
  <si>
    <t>ROVER 75 1998-2002  СТ ЗАДН ДВ ОП ЛВ ЗЛ</t>
  </si>
  <si>
    <t>ROVER 75 1998-2002  СТ ЗАДН ДВ НЕП ЛВ ЗЛ</t>
  </si>
  <si>
    <t>ROVER 75 1998-2002/ TOURERSW 2001- СТ ЗАДН ДВ ОП ЛВ ЗЛ</t>
  </si>
  <si>
    <t>ROVER 75 1998-2002/ TOURERSW 2001- СТ ЗАДН ДВ НЕП ЛВ ЗЛ</t>
  </si>
  <si>
    <t>ROVER 75 1998-2002  СТ ПЕР ДВ ОП ПР ЗЛ</t>
  </si>
  <si>
    <t>ROVER 75 1998-2002  СТ ЗАДН ДВ ОП ПР ЗЛ</t>
  </si>
  <si>
    <t>ROVER 75 1998-2002  СТ ЗАДН ДВ НЕП ПР ЗЛ</t>
  </si>
  <si>
    <t>ROVER 75 TOURERSW 2001- СТ ЗАДН ДВ ОП ПР ЗЛ</t>
  </si>
  <si>
    <t>ROVER 75 TOURERSW 2001- СТ ЗАДН ДВ НЕП ПР ЗЛ</t>
  </si>
  <si>
    <t>200 1984-1989</t>
  </si>
  <si>
    <t>ROVER 200 SER 1984-1989 СТ ВЕТР</t>
  </si>
  <si>
    <t>200 1995-2000</t>
  </si>
  <si>
    <t>ROVER 200 ХБ 1995-2000 СТ ВЕТР ЗЛЗЛ+VIN+ФИТ</t>
  </si>
  <si>
    <t>ROVER 200 ХБ 1995-2000 / ROVER 25 2000- СТ ВЕТР ЗЛ+VIN+ИНК</t>
  </si>
  <si>
    <t>ROVER 200 ХБ 1995-2000 /ROVER 25 2000-  МОЛД ДЛЯ СТ ВЕТР С АЛЮМ ВСТ</t>
  </si>
  <si>
    <t>ROVER 200 ХБ 1995-2000 /ROVER 25 2000-  МОЛД ДЛЯ СТ ВЕТР БЕЗ АЛЮМ ВСТ</t>
  </si>
  <si>
    <t>ROVER 200 ХБ 1996-2000 / ROVER 25 2000- / MG ZR 3Д+5Д 11/2002-  СТ ЗАДН ЗЛ+ИЗМ РАЗМ</t>
  </si>
  <si>
    <t>ROVER 200 ХБ 1996-2000 / ROVER 25 2000- СТ ПЕР ДВ ОП ЛВ ЗЛ+УО</t>
  </si>
  <si>
    <t>ROVER 200 ХБ 1995-2000 / ROVER 25 2000- СТ ЗАДН ОП ЛВ ЗЛ+УО</t>
  </si>
  <si>
    <t>ROVER 200 ХБ 1996-2000 / ROVER 25 2000- СТ ПЕР ДВ ОП ПР ЗЛ+УО</t>
  </si>
  <si>
    <t>ROVER 200 ХБ 1996-2000 / ROVER 25 2000-  СТ ПЕР ДВ ОП ПР ЗЛ+ФИТ</t>
  </si>
  <si>
    <t>ROVER 200 ХБ 1995-2000 / ROVER 25 2000-  СТ ЗАДН ОП ПР ЗЛ+УО</t>
  </si>
  <si>
    <t>200/400 СД+ХБ+КБ 1989-1994</t>
  </si>
  <si>
    <t>ROVER 200/400 СД+ХБ+КБ 1989-1994  СТ ВЕТР ГЛГЛ/HONDA CONCERTO SJ14+SJ15 1990-1995  СТ ВЕТР ГЛГЛ</t>
  </si>
  <si>
    <t>ROVER 200/400 СД+ХБ+КБ 1989-1994  СТ ВЕТР ЗЛГЛ/HONDA CONCERTO SJ14+SJ15 1990-1995  СТ ВЕТР ЗЛГЛ</t>
  </si>
  <si>
    <t>ROVER 200/400 СД+ХБ+КБ 1989-1994  НАБ СОЕД ДЛЯ СТ ВЕТР</t>
  </si>
  <si>
    <t>ROVER 200/400 СД+ХБ+КБ 1989-1994  МОЛД  ДЛЯ СТ ВЕТР ВЕРХ</t>
  </si>
  <si>
    <t>ROVER 200/400 ХБ 5Д+СД 4Д 1989-1994 СТ ПЕР ДВ ОП ЛВ ЗЛ+ФИТ/HONDA CONCERTO SJ14+SJ15 1991- СТ ПЕР ДВ ОП ЛВ ЗЛ+ФИТ</t>
  </si>
  <si>
    <t>ROVER 200/400 ХБ 5Д+СД 4Д 1989-1994 СТ ЗАДН ДВ ОП ЛВ ЗЛ+ФИТ+УО/HONDA CONCERTO SJ14+SJ15 1991- СТ ЗАДН ДВ ОП ЛВ ЗЛ+ФИТ+УО</t>
  </si>
  <si>
    <t>ROVER 200/400 ХБ 5Д+СД 4Д 1989-1994 СТ ПЕР ДВ ОП ПР ЗЛ+ФИТ/HONDA CONCERTO SJ14+SJ15 1991- СТ ПЕР ДВ ОП ПР ЗЛ+ФИТ</t>
  </si>
  <si>
    <t>ROVER 200/400 ХБ 5Д+СД 4Д 1989-1994 СТ ЗАДН ДВ ОП ПР ЗЛ+ФИТ+УО/ HONDA CONCERTO SJ14+SJ15 1991- СТ ЗАДН ДВ ОП ПР ЗЛ+ФИТ+УО</t>
  </si>
  <si>
    <t>400 5Д ХБ 1995-2001</t>
  </si>
  <si>
    <t>ROVER 400 ХБ 1995-2001 / СЕД 1996-2001  СТ ВЕТР ЗЛЗЛ+VIN+УО/HONDA CIVIC 5Д ХБ 1995-2001 СТ ВЕТР ЗЛЗЛ+VIN+ФИТ</t>
  </si>
  <si>
    <t>ROVER 400 ХБ 1995-2001 / СЕД 1996-2001  СТ ВЕТР ЗЛ+VIN+УО/HONDA CIVIC 5Д ХБ 1995-2001 СТ ВЕТР ЗЛ+VIN+ФИТ</t>
  </si>
  <si>
    <t>ROVER 400 ХБ 1995-2001 / СЕД 1996-2001 НАБ КЛИПС ДЛЯ СТ ВЕТР</t>
  </si>
  <si>
    <t>ROVER 400 ХБ 1995-2001 ХБ КЛИПСА ДЛЯ СТ ВЕТР БОК</t>
  </si>
  <si>
    <t>ROVER 400 ХБ 1995-2001 / СЕД 1996-2001 МОЛД  ДЛЯ СТ ВЕТР ВЕРХ</t>
  </si>
  <si>
    <t>ROVER 400 ХБ 1995-2001 / СЕД 1996-2001  СТ ПЕР ДВ ОП ЛВ ЗЛ+УО/HONDA CIVIC ХБ 1995-2001 /УН 1998-2001  СТ ПЕР ДВ ОП ЛВ ЗЛ+УО</t>
  </si>
  <si>
    <t>ROVER 400 ХБ 1995-2001 / СЕД 1996-2001 СТ ЗАДН ДВ ОП ЛВ ЗЛ+УО/HONDA CIVIC ХБ 1995-2001 /УН 1998-2001  СТ ЗАДН ДВ ОП ЛВ ЗЛ+УО</t>
  </si>
  <si>
    <t>ROVER 400 ХБ 1995-2001 / СЕД 1996-2001 СТ ФОРТ ЗАДН ЛВ ЗЛ+ИНК/HONDA CIVIC 5Д ХБ 1995-2001 СТ ЗАДН ДВ НЕП ЛВ ЗЛ+ИНК</t>
  </si>
  <si>
    <t>ROVER 400 ХБ 1995-2001 / СЕД 1996-2001 СТ ПЕР ДВ ОП ПР ЗЛ+УО/HONDA CIVIC ХБ 1995-2001 /УН 1998-2001  СТ ПЕР ДВ ОП ПР ЗЛ+УО</t>
  </si>
  <si>
    <t>ROVER 400 ХБ 1995-2001 / СЕД 1996-2001 СТ ЗАДН ДВ ОП ПР ЗЛ+УО/HONDA CIVIC ХБ 1995-2001 /УН 1998-2001  СТ ЗАДН ДВ ОП ПР ЗЛ+УО</t>
  </si>
  <si>
    <t>ROVER 400 ХБ 1995-2001 / СЕД 1996-2001 СТ ФОРТ ЗАДН ПР ЗЛ+ИНК/HONDA CIVIC 5Д ХБ 1995-2001 СТ ЗАДН ДВ НЕП ПР ЗЛ+ИНК</t>
  </si>
  <si>
    <t>600 1993-1998</t>
  </si>
  <si>
    <t>ROVER 600 1993-1998  СТ ВЕТР ЗЛ/HONDA ACCORD СЕД 1993-1998  СТ ВЕТР ЗЛ</t>
  </si>
  <si>
    <t>ROVER 600 1993-1998  СТ ВЕТР ЗЛГЛ/HONDA ACCORD СЕД 1993-1998  СТ ВЕТР ЗЛГЛ</t>
  </si>
  <si>
    <t>ROVER 600 1993-1998  СТ ВЕТР ЗЛЗЛ/HONDA ACCORD СЕД 1993-1998  СТ ВЕТР ЗЛЗЛ</t>
  </si>
  <si>
    <t>ROVER 600 1993-1998  СТ ПЕР ДВ ОП ЛВ ЗЛ+ФИТ/HONDA ACCORD СЕД 1993-1998  СТ ПЕР ДВ ОП ЛВ ЗЛ+УО</t>
  </si>
  <si>
    <t>ROVER 600 1993-1998  СТ ЗАДН ДВ ОП ЛВ ЗЛ+ФИТ</t>
  </si>
  <si>
    <t>ROVER 600 1993-1998  СТ ФОРТ ЗАДН НЕП ЛВ ЗЛ+ИНК</t>
  </si>
  <si>
    <t>ROVER 600 1993-1998  СТ ПЕР ДВ ОП ПР ЗЛ+ФИТ/HONDA ACCORD СЕД 1993-1998  СТ ПЕР ДВ ОП ПР ЗЛ+УО</t>
  </si>
  <si>
    <t>ROVER 600 1993-1998  СТ ЗАДН ДВ ОП ПР ЗЛ+ФИТ</t>
  </si>
  <si>
    <t>ROVER 600 1993-1998  СТ ФОРТ ЗАДН НЕП ПР ЗЛ+ИНК</t>
  </si>
  <si>
    <t>800 1987-1991</t>
  </si>
  <si>
    <t>ROVER 800 SER 1987-1991 СТ ВЕТР БРБР+КР</t>
  </si>
  <si>
    <t>ROVER 800 SER 1987-1991 СТ ВЕТР ЗЛГЛ+КР</t>
  </si>
  <si>
    <t>800 1991-1998</t>
  </si>
  <si>
    <t>ROVER 800 СД+ХБ+КП 1991-1998  СТ ВЕТР ЗЛГЛ+VIN</t>
  </si>
  <si>
    <t>ROVER 800 СД+ХБ+КП 1991-1998  СТ ВЕТР ЗЛ+VIN</t>
  </si>
  <si>
    <t>CITY 5Д ХБ 2003-</t>
  </si>
  <si>
    <t>ROVER CITY 5Д ХБ 2003-  СТ ВЕТР ЗЛГЛ</t>
  </si>
  <si>
    <t>ROVER CITY 5Д ХБ 2003-  СТ ЗАДН ЗЛ</t>
  </si>
  <si>
    <t>ROVER CITY 5Д ХБ 2003- ХБ 5Д СТ ПЕР ДВ ОП ЛВ ЗЛ+УО</t>
  </si>
  <si>
    <t>ROVER CITY ХБ 2003-  СТ ЗАДН ДВ ОП ЛВ ЗЛ+УО</t>
  </si>
  <si>
    <t>ROVER CITY 5Д ХБ 2003- СТ ЗАДН ДВ НЕП ЛВ ЗЛ</t>
  </si>
  <si>
    <t>ROVER CITY 5Д ХБ 2003- ХБ 5Д СТ ПЕР ДВ ОП ПР ЗЛ+УО</t>
  </si>
  <si>
    <t>ROVER CITY ХБ 2003-  СТ ЗАДН ДВ ОП ПР ЗЛ+УО</t>
  </si>
  <si>
    <t>ROVER CITY 5Д ХБ 2003- СТ ЗАДН ДВ НЕП ПР ЗЛ</t>
  </si>
  <si>
    <t>MAESTRO 1983-1994</t>
  </si>
  <si>
    <t>ROVER MAESTRO T3 1983-1994 СТ ВЕТР</t>
  </si>
  <si>
    <t>ROVER MAESTRO ХБ 1983-1994 СТ ЗАДН ДВ БР</t>
  </si>
  <si>
    <t>METRO/100 1980-1990</t>
  </si>
  <si>
    <t>ROVER METRO/100 1980-1990  СТ ВЕТР</t>
  </si>
  <si>
    <t>MG F SPORTS 1995-</t>
  </si>
  <si>
    <t>ROVER MG F SPORTS 1995- СТ ВЕТР ЗЛ ИНК</t>
  </si>
  <si>
    <t>ROVER MG F SPORTS 1995- МОЛД ДЛЯ СТ ВЕТР БЕЗ АЛЮМ ВСТАВКИ</t>
  </si>
  <si>
    <t>MINI 1958-</t>
  </si>
  <si>
    <t>1958-</t>
  </si>
  <si>
    <t>ROVER MINI 1958-  СТ ПЕР ДВ ОП ЗЛ</t>
  </si>
  <si>
    <t>MONTEGO 1984-1994</t>
  </si>
  <si>
    <t>ROVER MONTEGO 1983-1994 СТ ВЕТР</t>
  </si>
  <si>
    <t>SAAB</t>
  </si>
  <si>
    <t>SAAB 99 СТ ВЕТР</t>
  </si>
  <si>
    <t>9.3 Conv 1998-</t>
  </si>
  <si>
    <t>SAAB 93 CONV КБ 1998-  СТ ЗАДН ЗЛ</t>
  </si>
  <si>
    <t>9.3 СД 2002-2007</t>
  </si>
  <si>
    <t>SAAB 9.3 СД 2002-2007 / SPORT COMBI 2005- СТ ВЕТР ЗЛ+ДД+VIN+УО/CADILLAC BLS 10/2005-  СТ ВЕТР ЗЛ+ДД+VIN+УО</t>
  </si>
  <si>
    <t>SAAB 9.3 СД 2002-2007 СТ ВЕТР ЗЛ+VIN+УО/CADILLAC BLS 10/2005-  СТ ВЕТР ЗЛ+VIN+УО</t>
  </si>
  <si>
    <t>SAAB 9.3 СД 2002-2007  МОЛД  ДЛЯ СТ ВЕТР</t>
  </si>
  <si>
    <t>SAAB 9.3 СД 2002-2007 / SPORT COMBI 2005-2007 СТ ПЕР ДВ ОП ЛВ ЗЛ/CADILLAC BLS 10/2005-  СТ ПЕР ДВ ОП ЛВ ЗЛ</t>
  </si>
  <si>
    <t>SAAB 9.3 СД 2002-2007  СТ ЗАДН ДВ ОП ЛВ ЗЛ+УО/CADILLAC BLS 10/2005- СТ ЗАДН ДВ ОП ЛВ ЗЛ+УО</t>
  </si>
  <si>
    <t>SAAB 9.3 СД 2002-2007 / SPORT COMBI 2005-2007 СТ ПЕР ДВ ОП ПР ЗЛ/CADILLAC BLS 10/2005-  СТ ПЕР ДВ ОП ПР ЗЛ</t>
  </si>
  <si>
    <t>SAAB 9.3 СД 2002-2007 СТ ЗАДН ДВ ОП ПР ЗЛ+УО/CADILLAC BLS 10/2005- СТ ЗАДН ДВ ОП ПР ЗЛ+УО</t>
  </si>
  <si>
    <t>9.5 СД+УН 1997-</t>
  </si>
  <si>
    <t>SAAB 95 СД+УН 1997- СТ ВЕТР ЗЛ+ДД+VIN+УО</t>
  </si>
  <si>
    <t>SAAB 95 СД+УН 1997- СТ ВЕТР ЗЛ+VIN+ФИТ</t>
  </si>
  <si>
    <t>SAAB 95 СД+УН 1997- МОЛД ДЛЯ СТ ВЕТР ВЕРХ</t>
  </si>
  <si>
    <t>SAAB 95 СД СД 1997- СТ ЗАДН ЗЛ+АНТ+СТОП+ИНК</t>
  </si>
  <si>
    <t>SAAB 95 СД+УН 1997- СТ ПЕР ДВ ОП ЛВ ЗЛ+УО</t>
  </si>
  <si>
    <t>SAAB 95 СД 1997- СТ ЗАДН ДВ ОП ЛВ ЗЛ+УО</t>
  </si>
  <si>
    <t>SAAB 95 СД+УН 1997- СТ ПЕР ДВ ОП ПР ЗЛ+УО</t>
  </si>
  <si>
    <t>SAAB 95 СД 1997- СТ ЗАДН ДВ ОП ПР ЗЛ+УО</t>
  </si>
  <si>
    <t>9.5 2009-</t>
  </si>
  <si>
    <t>SAAB 9.5 2009- СТ ВЕТР ЗЛ+ДД+VIN+ДО+ИНК</t>
  </si>
  <si>
    <t>SAAB 9.5 4D 2009- СТ ВЕТР ЗЛ+ДО+ИНК</t>
  </si>
  <si>
    <t>9.7 X 2007-</t>
  </si>
  <si>
    <t>SAAB 9.7X SUV 2007-  СТ ВЕТР ЗЛГЛ+ДД</t>
  </si>
  <si>
    <t>900 1994-1998/9.3 1999-2002</t>
  </si>
  <si>
    <t>SAAB 900 1994-1998  МОЛД  ДЛЯ СТ ВЕТР ВЕРХ</t>
  </si>
  <si>
    <t>SAAB 900 5Д 1994-1998  СТ ПЕР ДВ ОП ПР ЗЛ+ФИТ</t>
  </si>
  <si>
    <t>900 СД 1979-1993</t>
  </si>
  <si>
    <t>SAAB 900 1979-1993 СТ ВЕТР БР</t>
  </si>
  <si>
    <t>SAAB 900 1979-1993 СТ ВЕТР</t>
  </si>
  <si>
    <t>9000 SAL 1985-1998</t>
  </si>
  <si>
    <t>SAAB 9000 СД 1985-1998  СТ ВЕТР ЗЛЗЛ+VIN</t>
  </si>
  <si>
    <t>SAAB 9000 СД 1985-1998 СТ ВЕТР ЗЛЗЛ+VIN</t>
  </si>
  <si>
    <t>SAAB 9000 СД 1985-1998  УСТ КОМПЛ ДЛЯ СТ ВЕТР</t>
  </si>
  <si>
    <t>SAAB 9000 СД 1985-1998  СТ ПЕР ДВ ОП ЛВ ЗЛ</t>
  </si>
  <si>
    <t>SAAB 9000 СД 1985-1998  СТ ЗАДН ДВ ОП ЛВ ЗЛ</t>
  </si>
  <si>
    <t>SAAB 9000 СД 1985-1998  СТ БОК НЕП ЛВ ЗЛ</t>
  </si>
  <si>
    <t>SAAB 9000 СД 1985-1998  СТ ПЕР ДВ ОП ПР ЗЛ</t>
  </si>
  <si>
    <t>SAAB 9000 СД 1985-1998  СТ ЗАДН ДВ ОП ПР ЗЛ</t>
  </si>
  <si>
    <t>SAAB 9000 СД 1985-1998  СТ БОК НЕП ПР ЗЛ</t>
  </si>
  <si>
    <t>SCANIA</t>
  </si>
  <si>
    <t>4 SERIE 1996-2004</t>
  </si>
  <si>
    <t>SCANIA 4 SERIE 1996-2004 СТ ВЕТР</t>
  </si>
  <si>
    <t>SCANIA 4 SERIE 1996-2004  СТ ВЕТР ЗЛ</t>
  </si>
  <si>
    <t>SCANIA 4 SERIE 1996-2004  СТ ВЕТР ЗЛЗЛ</t>
  </si>
  <si>
    <t>SCANIA 4 SERIE 1996-2004  РЕЗ ПРОФ ДЛЯ СТ ВЕТР</t>
  </si>
  <si>
    <t>SCANIA 4 SERIE 1996-2004  СТ ПЕР ДВ ОП ЛВ ЗЛ+УО</t>
  </si>
  <si>
    <t>SCANIA 4 SERIE 1996-2004  СТ ПЕР ДВ ОП ПР ЗЛ+УО</t>
  </si>
  <si>
    <t>5 SERIE 2004-</t>
  </si>
  <si>
    <t>SCANIA 5 SERIE 2004- СТ ВЕТР</t>
  </si>
  <si>
    <t>SCANIA 5 SERIE 2004- СТ ВЕТР ЗЛ</t>
  </si>
  <si>
    <t>LB 110-141</t>
  </si>
  <si>
    <t>SCANIA LB 110 141 СТ ВЕТР</t>
  </si>
  <si>
    <t>M SERIES TRUCK 1981-1995</t>
  </si>
  <si>
    <t>1981-1995</t>
  </si>
  <si>
    <t>SCANIA M SERIES TRUCK 1981-1995  СТ ВЕТР БР</t>
  </si>
  <si>
    <t>SCANIA M SERIES TRUCK 1981-1995  СТ ВЕТР</t>
  </si>
  <si>
    <t>SCANIA M SERIES TRUCK 1981-1995  СТ ВЕТР ЗЛ</t>
  </si>
  <si>
    <t>SCANIA M SERIES TRUCK 1981-1995  СТ ВЕТР ЗЛЗЛ</t>
  </si>
  <si>
    <t>SCANIA M SERIES TRUCK 1981-1995  РЕЗ ПРОФ ДЛЯ СТ ВЕТР</t>
  </si>
  <si>
    <t>SCANIA M SERIES TRUCK 1981-1995  СТ ПЕР ДВ ОП</t>
  </si>
  <si>
    <t>SEAT</t>
  </si>
  <si>
    <t>ALHAMBRA 1995-2006</t>
  </si>
  <si>
    <t>SEAT ALHAMBRA 1995-2006 СТ ВЕТР ЗЛ/FORD GALAXY I 1995-2006  СТ ВЕТР ЗЛ</t>
  </si>
  <si>
    <t>SEAT ALHAMBRA 03/2000-2006 СТ ВЕТР ЗЛГЛ/FORD GALAXY I 1995-2006 05/1999-2006 СТ ВЕТР ЗЛГЛ</t>
  </si>
  <si>
    <t>SEAT ALHAMBRA 03/2000-2006 СТ ВЕТР ЗЛГЛ+ЭО+VIN/FORD GALAXY I 03/2000-2006  СТ ВЕТР ЗЛГЛ+ЭО+VIN</t>
  </si>
  <si>
    <t>SEAT ALHAMBRA 03/2000-2006 СТ ВЕТР ЗЛГЛ+VIN/FORD GALAXY I 03/2000-2006 СТ ВЕТР ЗЛГЛ+VIN</t>
  </si>
  <si>
    <t>SEAT ALHAMBRA 1995-05/1999 СТ ВЕТР ЗЛЗЛ/FORD GALAXY I 1995-2006  СТ ВЕТР ЗЛЗЛ</t>
  </si>
  <si>
    <t>SEAT ALHAMBRA 03/2000-2006  СТ ВЕТР ЗЛЗЛ+VIN/FORD GALAXY I 03/2000-2006  СТ ВЕТР ЗЛЗЛ+VIN</t>
  </si>
  <si>
    <t>SEAT ALHAMBRA 05/1999-03/2000 СТ ВЕТР ЗЛ+ЭО+VIN/FORD GALAXY I 1995-06/2000 СТ ВЕТР  ЗЛ ЭО +VIN ИЗМ ШЕЛК</t>
  </si>
  <si>
    <t>SEAT ALHAMBRA 03/2000-2006 СТ ВЕТР ЗЛ+ЭО+VIN/FORD GALAXY I 03/2000-2006  СТ ВЕТР ЗЛ ЭО+VIN</t>
  </si>
  <si>
    <t>SEAT ALHAMBRA 03/2000-2006 СТ ВЕТР ЗЛ+VIN/FORD GALAXY I 03/2000-2006  СТ ВЕТР ЗЛ+VIN</t>
  </si>
  <si>
    <t>SEAT ALHAMBRA 11/2003-2006 СТ ВЕТР ЗЛ+VIN+УО/FORD GALAXY I 11/2003-2006 СТ ВЕТР ЗЛ SOL+VIN+УО</t>
  </si>
  <si>
    <t>SEAT ALHAMBRA 1995-2006 МОЛД  ДЛЯ СТ ВЕТР</t>
  </si>
  <si>
    <t>SEAT ALHAMBRA МИН 1995-2006  СТ ЗАДН ЗЛ/FORD GALAXY I 1995-2006  СТ ЗАДН ЭО ЗЛ</t>
  </si>
  <si>
    <t>SEAT ALHAMBRA МИН 1995-2006  СТ ЗАДН ЗЛ+СТОП/FORD GALAXY I 1995-2006  СТ ЗАДН ЗЛ+СТОП</t>
  </si>
  <si>
    <t>SEAT ALHAMBRA 1995-2006  МОЛД ДЛЯ СТ ЗАДН</t>
  </si>
  <si>
    <t>SEAT ALHAMBRA 1995-2006  СТ ПЕР ДВ ОП ЛВ ЗЛ/FORD GALAXY I 1995-2006  СТ ПЕР ДВ ОП ЛВ ЗЛ</t>
  </si>
  <si>
    <t>SEAT ALHAMBRA 1995-2006  СТ ЗАДН ДВ ОП ЛВ ЗЛ/FORD GALAXY I 1995-2006  СТ ЗАДН ДВ ОП ЛВ ЗЛ</t>
  </si>
  <si>
    <t>SEAT ALHAMBRA 1995-2006  СТ ПЕР ДВ ОП ПР ЗЛ/FORD GALAXY I 1995-2006  СТ ПЕР ДВ ОП ПР ЗЛ</t>
  </si>
  <si>
    <t>SEAT ALHAMBRA 1995-2006  СТ ЗАДН ДВ ОП ПР ЗЛ/FORD GALAXY I 1995-2006  СТ ЗАДН ДВ ОП ПР ЗЛ</t>
  </si>
  <si>
    <t>ALTEA/TOLEDO 2004-</t>
  </si>
  <si>
    <t>SEAT ALTEA/TOLEDO 2004- СТ ВЕТР ЗЛГЛ+VIN+ИНК</t>
  </si>
  <si>
    <t>SEAT ALTEA/TOLEDO 2004- СТ ПЕР ДВ ОП ПР ЗЛ</t>
  </si>
  <si>
    <t>SEAT ALTEA 08- СТ ВЕТР ЗЛ+ДД+VIN+ИНК</t>
  </si>
  <si>
    <t>SEAT ALTEA 08-СТ ВЕТР ЗЛ+VIN+ИНК</t>
  </si>
  <si>
    <t>AROSA 1997-2003</t>
  </si>
  <si>
    <t>SEAT AROSA 1997-2003  СТ ВЕТР ЗЛ+ИНК/VOLKSWAGEN LUPO 1997-2003  СТ ВЕТР ЗЛ+ИНК</t>
  </si>
  <si>
    <t>SEAT AROSA ХБ 1997-2003  СТ ЗАДН ДВ ЗЛ+ИНК+ОТВ</t>
  </si>
  <si>
    <t>SEAT AROSA 1997-2003  СТ ПЕР ДВ ОП ЛВ ЗЛ/VOLKSWAGEN LUPO 1997-2003  СТ ПЕР ДВ ОП ЛВ ЗЛ</t>
  </si>
  <si>
    <t>SEAT AROSA 1997-2003  СТ ПЕР ДВ ОП ПР ЗЛ/VOLKSWAGEN LUPO 1997-2003  СТ ПЕР ДВ ОП ПР ЗЛ</t>
  </si>
  <si>
    <t>IBIZA 2002-2008/CORDOBA 4Д 2003-</t>
  </si>
  <si>
    <t>SEAT IBIZA 3Д/5Д 2002-2008 /CORDOBA 4Д 2003- СТ ВЕТР ЗЛ+ДД+ИН</t>
  </si>
  <si>
    <t>SEAT IBIZA 3Д/5Д 2002-2008 /CORDOBA 4Д 2003-  СТ ВЕТР ЗЛ+ИНК+VIN+ИНК</t>
  </si>
  <si>
    <t>SEAT IBIZA 3Д 2002-2008  СТ ПЕР ДВ ОП ЛВ ЗЛ</t>
  </si>
  <si>
    <t>SEAT IBIZA 5Д 2002-2008 /CORDOBA 4Д 2003- СТ ПЕР ДВ ОП ЛВ ЗЛ</t>
  </si>
  <si>
    <t>SEAT IBIZA 5Д 2002-2008 СТ ЗАДН ДВ ОП ЛВ ЗЛ+УО</t>
  </si>
  <si>
    <t>SEAT IBIZA 3Д 2002-2008 СТ ПЕР ДВ ОП ПР ЗЛ</t>
  </si>
  <si>
    <t>SEAT IBIZA 5Д 2002-2008 /CORDOBA 4Д 2003- СТ ПЕР ДВ ОП ПР ЗЛ</t>
  </si>
  <si>
    <t>SEAT IBIZA 5Д 2002-2008 СТ ЗАДН ДВ ОП ПР ЗЛ+УО</t>
  </si>
  <si>
    <t>IBIZA 1985-1993</t>
  </si>
  <si>
    <t>SEAT IBIZA 1985-1993 СТ ВЕТР</t>
  </si>
  <si>
    <t>SEAT IBIZA 1985-1993 СТ ВЕТР ЗЛ</t>
  </si>
  <si>
    <t>SEAT IBIZA 1985-1993 РЕЗ ПРОФ ДЛЯ СТ ВЕТР</t>
  </si>
  <si>
    <t>SEAT IBIZA ХБ 1985-1993 СТ ЗАДН</t>
  </si>
  <si>
    <t>SEAT IBIZA 3Д 1985-1993 СТ ПЕР ДВ ОП ЛВ</t>
  </si>
  <si>
    <t>SEAT IBIZA 3Д 1985-1993 СТ БОК ЛВ</t>
  </si>
  <si>
    <t>SEAT IBIZA 5Д 1985-1993 СТ ПЕР ДВ ОП ЛВ</t>
  </si>
  <si>
    <t>SEAT IBIZA 3Д 1985-1993 СТ ПЕР ДВ ОП ЛВ ЗЛ</t>
  </si>
  <si>
    <t>SEAT IBIZA 5Д 1985-1993 СТ ПЕР ДВ ОП ЛВ ЗЛ</t>
  </si>
  <si>
    <t>SEAT IBIZA 3Д 1985-1993 СТ ПЕР ДВ ОП ПР</t>
  </si>
  <si>
    <t>SEAT IBIZA 5Д 1985-1993 СТ ЗАДН ДВ НЕП ПР</t>
  </si>
  <si>
    <t>SEAT IBIZA 3Д 1985-1993 СТ ПЕР ДВ ОП ПР ЗЛ</t>
  </si>
  <si>
    <t>SEAT IBIZA 5Д 1985-1993 СТ ПЕР ДВ ОП ПР ЗЛ</t>
  </si>
  <si>
    <t>IBIZA 1999-2000/CORDOBA 1999-2000</t>
  </si>
  <si>
    <t>SEAT IBIZA 1999-2000/CORDOBA 1999-2000 СТ ВЕТР ЗЛЗЛ+ДД+ИНК/VOLKSWAGEN POLO CLIC 1999  СТ ВЕТР ЗЛЗЛ+ДД+ИНК</t>
  </si>
  <si>
    <t>SEAT IBIZA 1999-2000/CORDOBA 1999-2000 СТ ВЕТР ЗЛЗЛ+ИНК/VOLKSWAGEN POLO CLIC 1999  СТ ВЕТР ЗЛЗЛ+ИНК</t>
  </si>
  <si>
    <t>SEAT IBIZA 1999-2000/CORDOBA 1999-2000 СТ ВЕТР ЗЛСР+ИНК/VOLKSWAGEN POLO CLIC 1999  СТ ВЕТР ЗЛСР+ИНК</t>
  </si>
  <si>
    <t>SEAT IBIZA 1999-2000/CORDOBA 1999-2000 СТ ВЕТР ЗЛ+ДД+ИНК/VOLKSWAGEN POLO CLIC 1999  СТ ВЕТР ЗЛ+ДД+ИНК</t>
  </si>
  <si>
    <t>SEAT IBIZA 1999-2000/CORDOBA 1999-2000 СТ ВЕТР ЗЛ+ИНК/VOLKSWAGEN POLO CLIC 1999  СТ ВЕТР ЗЛ+ИНК</t>
  </si>
  <si>
    <t>SEAT CORDOBA СД+УН 1999-2000  СТ ПЕР ДВ ОП ЛВ ЗЛ/VOLKSWAGEN POLO CLASSIC 4Д 1995- /УН 1997- СТ ПЕР ДВ ОП ЛВ ЗЛ</t>
  </si>
  <si>
    <t>SEAT CORDOBA СД 1999-2000  СТ ЗАДН ДВ ОП ЛВ ЗЛ/SEAT IBIZA 5Д+CORDOBA 1993-1999 СТ ЗАДН ДВ ОП ЛВ ЗЛ</t>
  </si>
  <si>
    <t>SEAT CORDOBA СД+УН 1999-2000  СТ ПЕР ДВ ОП ПР ЗЛ/VOLKSWAGEN POLO CLASSIC 4Д 1995- /УН 1997  СТ ПЕР ДВ ОП ПР ЗЛ</t>
  </si>
  <si>
    <t>SEAT CORDOBA СД 1999-2000  СТ ЗАДН ДВ ОП ПР ЗЛ/SEAT IBIZA 5Д+CORDOBA 1993-1999  СТ ЗАДН ДВ ОП ПР ЗЛ</t>
  </si>
  <si>
    <t>IBIZA+CORDOBA 1993-/INCA 1996-</t>
  </si>
  <si>
    <t>SEAT IBIZA+CORDOBA 1993-1999 /INCA 1996-1999 СТ ВЕТР+ИНК+КР</t>
  </si>
  <si>
    <t>SEAT IBIZA+CORDOBA 1993-1999 /INCA 1996-1999 СТ ВЕТР ЗЛЗЛ+ИНК</t>
  </si>
  <si>
    <t>SEAT IBIZA+CORDOBA 1993-1999 /INCA 1996-1999 СТ ВЕТР ЗЛЗЛ+ИНК/VOLKSWAGEN POLO 4Д/CAD/IBIZ/CORDOBA 1995-1999 СТ ВЕТР ЗЛЗЛ +ИНК</t>
  </si>
  <si>
    <t>SEAT IBIZA+CORDOBA 1993-1999 /INCA 1996-1999 СТ ВЕТР ЗЛ+ИНК</t>
  </si>
  <si>
    <t>SEAT IBIZA+CORDOBA 1993-1999 /INCA 1996-1999  СТ ВЕТР ЗЛ ИНК КР</t>
  </si>
  <si>
    <t>SEAT IBIZA+CORDOBA 1993-1999 /INCA 1996-1999  НАБ КЛИПС ДЛЯ СТ ВЕТР</t>
  </si>
  <si>
    <t>SEAT IBIZA+CORDOBA 1993-1999 /INCA 1996-1999  МОЛД  ДЛЯ СТ ВЕТР ВЕРХ</t>
  </si>
  <si>
    <t>SEAT IBIZA+CORDOBA 1993-1999 УН  /INCA 1996-1999  СТ ЗАДН ЗЛ+УО/VOLKSWAGEN POLO УН 1997-  СТ ЗАДН ЗЛ+УО</t>
  </si>
  <si>
    <t>SEAT IBIZA+CORDOBA 1993-1999 ХБ /INCA 1996-1999  СТ ЗАДН ЭО ЗЛ+СТОП+ИНК</t>
  </si>
  <si>
    <t>SEAT IBIZA+CORDOBA 1993-1999 ХБ /INCA 1996-1999  СТ ЗАДН ЭО ЗЛ+ИНК+3ОТВ+СТОП</t>
  </si>
  <si>
    <t>SEAT IBIZA+CORDOBA 1993-1999 ХБ /INCA 1996-1999  СТ ЗАДН ЭО ЗЛ+ИНК+3 ОТВ</t>
  </si>
  <si>
    <t>SEAT IBIZA+CORDOBA 1993-1999 СД /INCA 1996-1999  СТ ЗАДН ЗЛ+ИНК</t>
  </si>
  <si>
    <t>SEAT IBIZA+CORDOBA 1993-1999 МИН /INCA 1996-1999  СТ ЗАДН ЗЛ ЛВ</t>
  </si>
  <si>
    <t>SEAT IBIZA+CORDOBA 1993-1999 /INCA 1996-1999  СТ ПЕР ДВ ОП ЛВ ЗЛ</t>
  </si>
  <si>
    <t>SEAT IBIZA+CORDOBA 1993-1999 /INCA 1996-1999  СТ ЗАДН ДВ ОП ЛВ ЗЛ/SEAT CORDOBA СЕД 2000- СТ ЗАДН ДВ ОП ЛВ ЗЛ</t>
  </si>
  <si>
    <t>SEAT IBIZA+CORDOBA 1993-1999 /INCA 1996-1999  СТ ПЕР ДВ ОП ЛВ ЗЛ/ VOLKSWAGEN POLO CLASSIC 4Д 1995- /УН 1997-  СТ ПЕР ДВ ОП ЛВ ЗЛ</t>
  </si>
  <si>
    <t>SEAT IBIZA+CORDOBA 1993-1999 /INCA 1996-1999  СТ ПЕР ДВ ОП ПР/ VOLKSWAGEN POLO CLIC 4Д 1995-  СТ ПЕР ДВ ОП ПР</t>
  </si>
  <si>
    <t>SEAT IBIZA+CORDOBA 1993-1999 /INCA 1996-1999  СТ ПЕР ДВ ОП ПР ЗЛ</t>
  </si>
  <si>
    <t>SEAT IBIZA+CORDOBA 1993-1999 /INCA 1996-1999  СТ ЗАДН ДВ ОП ПР ЗЛ/SEAT CORDOBA СД 2000-  СТ ЗАДН ДВ ОП ПР ЗЛ</t>
  </si>
  <si>
    <t>SEAT IBIZA+CORDOBA 1993-1999 /INCA 1996-1999 СТ ПЕР ДВ ОП ПР ЗЛ/ VOLKSWAGEN POLO CLASSIC 4Д 1995- /УН 1997-  СТ ПЕР ДВ ОП ПР ЗЛ</t>
  </si>
  <si>
    <t>MARBELLA 1981-1993</t>
  </si>
  <si>
    <t>SEAT MARBELLA 1981-1993  СТ ВЕТР/FIAT PANDA 1981-2003  СТ ВЕТР</t>
  </si>
  <si>
    <t>SEAT MARBELLA 1981-1993  СТ ВЕТР ЗЛ/FIAT PANDA 1981-2003  СТ ВЕТР ЗЛ</t>
  </si>
  <si>
    <t>TOLEDO 1991-1998</t>
  </si>
  <si>
    <t>SEAT TOLEDO 1991-1998  СТ ВЕТР ФИТ КР</t>
  </si>
  <si>
    <t>SEAT TOLEDO 1991-1998   СТ ВЕТР ЗЛЗЛ ФИТ КР</t>
  </si>
  <si>
    <t>SEAT TOLEDO 1995-1999  СТ ВЕТР ЗЛЗЛ ФИТ+ИЗМ КР</t>
  </si>
  <si>
    <t>SEAT TOLEDO 1991-1998   СТ ВЕТР ЗЛ ФИТ КР</t>
  </si>
  <si>
    <t>SEAT TOLEDO 1995-1999  СТ ВЕТР ЗЛ ФИТ+ИЗМ КР</t>
  </si>
  <si>
    <t>SEAT TOLEDO 1991-1998  ХБ НАБОР КЛИПС ДЛЯ СТ ВЕТР</t>
  </si>
  <si>
    <t>SEAT TOLEDO 1991-1998  МОЛД  ДЛЯ СТ ВЕТР ВЕРХ</t>
  </si>
  <si>
    <t>SEAT TOLEDO 1991-1998 ХБ СТ ЗАДН ЭО ЗЛ+ИНК</t>
  </si>
  <si>
    <t>SEAT TOLEDO 1991-1998  СТ ПЕР ДВ ОП ЛВ ЗЛ</t>
  </si>
  <si>
    <t>SEAT TOLEDO 1991-1998  СТ БОК НЕП ЛВ ЗЛ</t>
  </si>
  <si>
    <t>SEAT TOLEDO 1991-1998  СТ ПЕР ДВ ОП ПР ЗЛ</t>
  </si>
  <si>
    <t>SEAT TOLEDO 1991-1998  СТ БОК НЕП ПР ЗЛ</t>
  </si>
  <si>
    <t>TOLEDO/LEON 1998-2003</t>
  </si>
  <si>
    <t>SEAT TOLEDO 08/1998-2006 /LEONE 1999-2005  СТ ВЕТР ЗЛ+ДД+VIN+ИНК</t>
  </si>
  <si>
    <t>SEAT TOLEDO 08/1998-2006 /LEONE 1999-2005  СТ ВЕТР ЗЛ +VIN+ИНК</t>
  </si>
  <si>
    <t>SEAT TOLEDO 08/1998-2006 /LEONE 1999-2005  СТ ЗАДН ЭО ЗЛ+ИНК</t>
  </si>
  <si>
    <t>SEAT TOLEDO 08/1998-2006 /LEONE 1999-2005  СТ ПЕР ДВ ОП ЛВ ЗЛ</t>
  </si>
  <si>
    <t>SEAT TOLEDO 08/1998-2006 /LEONE 1999-2005 СТ ЗАДН ДВ ОП ЛВ ЗЛ</t>
  </si>
  <si>
    <t>SEAT TOLEDO 08/1998-2006 /LEONE 1999-2005  СТ ФОРТ ЗАДН НЕП ЛВ ЗЛ+ИНК/SEAT TOLEDO 08/98  СТ ЗАДН НЕП ЛВ ЗЛ+ИНК</t>
  </si>
  <si>
    <t>SEAT TOLEDO 08/1998-2006 /LEONE 1999-2005  СТ ЗАДН НЕП ЛВ ЗЛ+ИНК/SEAT LEONE 99  СТ ФОРТ ЗАДН НЕП ЛВ ЗЛ+ИНК</t>
  </si>
  <si>
    <t>SEAT TOLEDO 08/1998-2006 /LEONE 1999-2005  СТ ПЕР ДВ ОП ПР ЗЛ</t>
  </si>
  <si>
    <t>SEAT TOLEDO 08/1998-2006 /LEONE 1999-2005 СТ ЗАДН ДВ ОП ПР ЗЛ</t>
  </si>
  <si>
    <t>SEAT TOLEDO 08/1998-2006 /LEONE 1999-2005  СТ ФОРТ ЗАДН НЕП ПР ЗЛ+ИНК/SEAT TOLEDO 08/98  СТ ЗАДН НЕП ПР ЗЛ+ИНК</t>
  </si>
  <si>
    <t>SEAT TOLEDO 08/1998-2006 /LEONE 1999-2005  СТ ЗАДН НЕП ПР ЗЛ+ИНК/SEAT LEONE 99  СТ ФОРТ ЗАДН НЕП ПР ЗЛ+ИНК</t>
  </si>
  <si>
    <t>SKODA</t>
  </si>
  <si>
    <t>FABIA 1999-2006</t>
  </si>
  <si>
    <t>SKODA FABIA 1999-2007 СТ ВЕТР ПРРУЛЬ ИНК+VIN</t>
  </si>
  <si>
    <t>SKODA FABIA (LHD) 1999-2007  СТ ВЕТР +VIN+ИНК</t>
  </si>
  <si>
    <t>SKODA FABIA 1999-2007 СТ ВЕТР ЛВРУЛЬ ИНК+VIN</t>
  </si>
  <si>
    <t>SKODA FABIA (RHD) 1999-2007  СТ ВЕТР +ИНК+VIN</t>
  </si>
  <si>
    <t>SKODA FABIA 1999-2007 СТ ВЕТР ЗЛ ПРРУЛЬ ИНК+VIN</t>
  </si>
  <si>
    <t>SKODA FABIA 1999-2007 СТ ВЕТР ЗЛЗЛ ПРРУЛЬ ИНК+VIN</t>
  </si>
  <si>
    <t>SKODA FABIA (LHD) 1999-2007  СТ ВЕТР ЗЛЗЛ+VIN+ИНК</t>
  </si>
  <si>
    <t>SKODA FABIA 1999-2007 СТ ВЕТР ЗЛЗЛ ЛВРУЛЬ ИНК+VIN</t>
  </si>
  <si>
    <t>SKODA FABIA (RHD) 1999-2007  СТ ВЕТР ЗЛЗЛ+VIN+ИНК</t>
  </si>
  <si>
    <t>SKODA FABIA 1999-2007 СТ ВЕТР ЗЛСР ПРРУЛЬ ИНК+VIN</t>
  </si>
  <si>
    <t>SKODA FABIA (LHD) 1999-2007  СТ ВЕТР ЗЛСР+VIN+ИНК</t>
  </si>
  <si>
    <t>SKODA FABIA 2006-2007 СТ ВЕТР ЗЛСР ЛВРУЛЬ ИНК+VIN</t>
  </si>
  <si>
    <t>SKODA FABIA (RHD) 1999-2007  СТ ВЕТР ЗЛСР+VIN+ИНК</t>
  </si>
  <si>
    <t>SKODA FABIA 1999-2007  СТ ВЕТР ЛВРУЛЬ ЗЛ+VIN+ИНК</t>
  </si>
  <si>
    <t>SKODA FABIA 1999-2007 СТ ВЕТР ЗЛ ЛВРУЛЬ ИНК+VIN</t>
  </si>
  <si>
    <t>SKODA FABIA (RHD) 1999-2007  СТ ВЕТР ЗЛ+VIN+ИНК</t>
  </si>
  <si>
    <t>SKODA FABIA УН 2000-2007 СТ ЗАДН ЭО+УО</t>
  </si>
  <si>
    <t>SKODA FABIA ХБ 1999-2007 СТ ЗАДН +ФИТ</t>
  </si>
  <si>
    <t>SKODA FABIA 4Д СД 09/2001-2007  СТ ЗАДН</t>
  </si>
  <si>
    <t>SKODA FABIA УН 2000-2007 СТ ЗАДН ЭО ЗЛ+УО</t>
  </si>
  <si>
    <t>SKODA FABIA ХБ 1999-2007 СТ ЗАДН ЭО ЗЛ+ФИТ</t>
  </si>
  <si>
    <t>SKODA FABIA СД 09/2001-2007  СТ ЗАДН ЗЛ</t>
  </si>
  <si>
    <t>SKODA FABIA ХБ 2000-2007 СТ ЗАДН ЗЛ+УО</t>
  </si>
  <si>
    <t>SKODA FABIA УН 2000-2007 СТ ЗАДН ДВ ОП ЛВ</t>
  </si>
  <si>
    <t>SKODA FABIA УН 2000-2007 СТ БОК ЛВ ИНК</t>
  </si>
  <si>
    <t>SKODA FABIA 1999-2007 СТ ПЕР ДВ ОП ЛВ ИНК</t>
  </si>
  <si>
    <t>SKODA FABIA 1999-2007 СТ ЗАДН ДВ ОП ЛВ ИНК</t>
  </si>
  <si>
    <t>SKODA FABIA УН 2000-2007 СТ ЗАДН ДВ ОП ЛВ ЗЛ</t>
  </si>
  <si>
    <t>SKODA FABIA 1999-2007 СТ ПЕР ДВ ОП ЛВ ЗЛ ИНК</t>
  </si>
  <si>
    <t>SKODA FABIA 1999-2007 СТ ЗАДН ДВ ОП ЛВ ЗЛ ИНК</t>
  </si>
  <si>
    <t>SKODA FABIA 1999-2007  СТ ФОРТ ЗАДН НЕП ЛВ ЗЛ+ИНК</t>
  </si>
  <si>
    <t>SKODA FABIA УН 2000-2007 СТ ЗАДН ДВ ОП ПР</t>
  </si>
  <si>
    <t>SKODA FABIA УН 2000-2007 СТ БОК ПР ИНК</t>
  </si>
  <si>
    <t>SKODA FABIA 1999-2007 СТ ПЕР ДВ ОП ПР ИНК</t>
  </si>
  <si>
    <t>SKODA FABIA 1999-2007 СТ ЗАДН ДВ ОП ПР ИНК</t>
  </si>
  <si>
    <t>SKODA FABIA УН/5 2000-2007  СТ ЗАДН ДВ ОП ПР ЗЛ</t>
  </si>
  <si>
    <t>SKODA FABIA 1999-2007 СТ ПЕР ДВ ОП ПР ЗЛ ИНК</t>
  </si>
  <si>
    <t>SKODA FABIA 1999-2007 СТ ЗАДН ДВ ОП ПР ЗЛ ИНК</t>
  </si>
  <si>
    <t>SKODA FABIA 1999-2007  СТ ФОРТ ЗАДН НЕП ПР ЗЛ+ИНК</t>
  </si>
  <si>
    <t>FABIA 2007- /ROOMSTER 2006-</t>
  </si>
  <si>
    <t>SKODA FABIA 2007- /ROOMSTER 2006- СТ ВЕТР+VIN+УО</t>
  </si>
  <si>
    <t>SKODA FABIA 2007- /ROOMSTER 2006- СТ ВЕТР ЗЛСР+VIN+УО</t>
  </si>
  <si>
    <t>SKODA FABIA 2007- /ROOMSTER 2006- СТ ВЕТР ЗЛ+VIN+УО</t>
  </si>
  <si>
    <t>SKODA FABIA УН 2007- /ROOMSTER 2006- СТ ЗАДН ДВ+УО</t>
  </si>
  <si>
    <t>SKODA FABIA ХБ 2007- /ROOMSTER 2006- СТ ЗАДН ДВ +СТОП+УО</t>
  </si>
  <si>
    <t>SKODA FABIA УН 5Д 2008- СТ ЗАДН ДВ GD+УО</t>
  </si>
  <si>
    <t>SKODA FABIA ХБ 2007- /ROOMSTER 2006- СТ ЗАДН ДВ ТЗЛ+СТОП+УО</t>
  </si>
  <si>
    <t>SKODA FABIA МИН 2007- /ROOMSTER 2006- СТ ЗАДН ТЗЛ+СТОП+УО</t>
  </si>
  <si>
    <t>SKODA FABIA УН 2008- УН /ROOMSTER 2006- СТ ЗАДН ДВ ЗЛ+УО</t>
  </si>
  <si>
    <t>SKODA FABIA ХБ 2007- ХБ /ROOMSTER 2006- СТ ЗАДН ДВ ЗЛ+СТОП+УО</t>
  </si>
  <si>
    <t>SKODA FABIA МИН 2007- МИН /ROOMSTER 2006- СТ ЗАДН ЗЛ+СТОП+УО</t>
  </si>
  <si>
    <t>SKODA FABIA 2007- УН /ROOMSTER 2006- СТ ЗАДН ДВ ОП ЛВ</t>
  </si>
  <si>
    <t>SKODA FABIA 2007- /ROOMSTER 2006- СТ ПЕР ДВ ОП ЛВ+УО</t>
  </si>
  <si>
    <t>SKODA FABIA 2007- МИН /ROOMSTER 2006- СТ ПЕР ДВ ОП ЛВ+УО</t>
  </si>
  <si>
    <t>SKODA FABIA 2007- /ROOMSTER 2006- СТ ЗАДН ДВ ОП ЛВ</t>
  </si>
  <si>
    <t>SKODA FABIA 2007- /ROOMSTER 2006- СТ БОК НЕП ЛВ+УО</t>
  </si>
  <si>
    <t>SKODA FABIA 2007- УН /ROOMSTER 2006- СТ ЗАДН ДВ ОП ЛВ ЗЛ</t>
  </si>
  <si>
    <t>SKODA FABIA 2007- /ROOMSTER 2006- СТ ЗАДН ДВ ОП ЛВ ТЗЛ+СТОП+УО</t>
  </si>
  <si>
    <t>SKODA FABIA 2007- /ROOMSTER 2006- СТ БОК НЕП ЛВ ТЗЛ+УО</t>
  </si>
  <si>
    <t>SKODA FABIA 2007- /ROOMSTER 2006- СТ ЗАДН ДВ ОП ЛВ ЗЛ</t>
  </si>
  <si>
    <t>SKODA FABIA 2007- /ROOMSTER 2006- СТ ПЕР ДВ ОП ЛВ ЗЛ+УО</t>
  </si>
  <si>
    <t>SKODA FABIA 2007- /ROOMSTER 2006- СТ ФОРТ ЗАДН НЕП ЛВ ЗЛ+ИНК</t>
  </si>
  <si>
    <t>SKODA FABIA 2007- МИН /ROOMSTER 2006- СТ ПЕР ДВ ОП ЛВ ЗЛ+УО</t>
  </si>
  <si>
    <t>SKODA FABIA 2007- МИН /ROOMSTER 2006- СТ ЗАДН ДВ ОП ЛВ ТЗЛ</t>
  </si>
  <si>
    <t>SKODA FABIA 2007- /ROOMSTER 2006- СТ БОК НЕП ЛВ ЗЛ+УО</t>
  </si>
  <si>
    <t>SKODA FABIA 2007- /ROOMSTER 2006- СТ ЗАДН ДВ ОП ПР</t>
  </si>
  <si>
    <t>SKODA FABIA 2007- /ROOMSTER 2006- СТ ПЕР ДВ ОП ПР+УО</t>
  </si>
  <si>
    <t>SKODA FABIA 2007- МИН /ROOMSTER 2006- СТ ПЕР ДВ ОП ПР+УО</t>
  </si>
  <si>
    <t>SKODA FABIA 2007- /ROOMSTER 2006- СТ БОК НЕП ПР+УО</t>
  </si>
  <si>
    <t>SKODA FABIA 2007- /ROOMSTER 2006- СТ ЗАДН ДВ ОП ПР PR ЗЛ</t>
  </si>
  <si>
    <t>SKODA FABIA 2007- /ROOMSTER 2006- СТ ЗАДН ДВ ОП ПР ТЗЛ</t>
  </si>
  <si>
    <t>SKODA FABIA 2007- /ROOMSTER 2006- СТ БОК НЕП ПР ТЗЛ+УО</t>
  </si>
  <si>
    <t>SKODA FABIA 2007- /ROOMSTER 2006- СТ БОК НЕП ПР ЗЛ+ИНК</t>
  </si>
  <si>
    <t>SKODA FABIA 2007- /ROOMSTER 2006- СТ ПЕР ДВ ОП ПР ЗЛ+УО</t>
  </si>
  <si>
    <t>SKODA FABIA 2007- /ROOMSTER 2006- СТ ЗАДН ДВ ОП ПР ЗЛ</t>
  </si>
  <si>
    <t>SKODA FABIA 2007- /ROOMSTER 2006- СТ ФОРТ ЗАДН НЕП ПР ЗЛ+ИНК</t>
  </si>
  <si>
    <t>SKODA FABIA 2007- МИН /ROOMSTER 2006- СТ ПЕР ДВ ОП ПР ЗЛ+УО</t>
  </si>
  <si>
    <t>SKODA FABIA 2007- МИН /ROOMSTER 2006- СТ ЗАДН ДВ ОП ПР ЗЛ</t>
  </si>
  <si>
    <t>SKODA FABIA 2007- /ROOMSTER 2006- СТ БОК НЕП ПР ЗЛ+УО</t>
  </si>
  <si>
    <t>FABIA II 2010-</t>
  </si>
  <si>
    <t>SKODA FABIA II 10- СТ ВЕТР ПР+АНТ+VIN+УО</t>
  </si>
  <si>
    <t>SKODA FABIA II 10- СТ ВЕТР ЗЛ+АНТ+VIN+УО</t>
  </si>
  <si>
    <t>FAVORIT 1989-2001/FELICIA 1995-2001</t>
  </si>
  <si>
    <t>SKODA FAVORIT 1989-2001/FELICIA 1995-2001 СТ ВЕТР</t>
  </si>
  <si>
    <t>SKODA FAVORIT 1989-2001/FELICIA 1995-2001 СТ ВЕТР+ШЕЛК+КР/VOLKSWAGEN CADDY PU 1996-  СТ ВЕТР КР</t>
  </si>
  <si>
    <t>SKODA FAVORIT 1989-2001/FELICIA 1995-2001 СТ ВЕТР ЗЛ</t>
  </si>
  <si>
    <t>SKODA FAVORIT 1989-2001/FELICIA 1995-2001 СТ ВЕТР ЗЛ+ШЕЛК+КР/VOLKSWAGEN CADDY PU 1996-  СТ ВЕТР ЗЛ+КР</t>
  </si>
  <si>
    <t>SKODA FAVORIT 1989-2001/FELICIA 1995-2001 СТ ВЕТР ЗЛГЛ+ШЕЛК+КР/VOLKSWAGEN CADDY PU 1996-  СТ ВЕТР ЗЛГЛ+КР</t>
  </si>
  <si>
    <t>SKODA FAVORIT 1989-2001/FELICIA 1995-2001 СТ ВЕТР ЗЛЗЛ</t>
  </si>
  <si>
    <t>SKODA FAVORIT 1989-2001/FELICIA 1995-2001 СТ ВЕТР ЗЛЗЛ+ШЕЛК+КР</t>
  </si>
  <si>
    <t>SKODA FAVORIT 1989-2001/FELICIA 1995-2001 РЕЗ ПРОФ ДЛЯ СТ ВЕТР</t>
  </si>
  <si>
    <t>SKODA FAVORIT ХБ 1989-2001/FELICIA 1995-2001 СТ ЗАДН ДВ</t>
  </si>
  <si>
    <t>SKODA FAVORIT ХБ 1989-2001/FELICIA 1995-2001 СТ ЗАДН ЭО+ИЗМ РАЗМ</t>
  </si>
  <si>
    <t>SKODA FAVORIT ХБ 1989-2001/FELICIA 1995-2001 СТ ЗАДН ЭО ЗЛ+ИЗМ РАЗМ</t>
  </si>
  <si>
    <t>SKODA FAVORIT 1989-2001/FELICIA 1995-2001 СТ БОК НЕП ЛВ+ИНК</t>
  </si>
  <si>
    <t>SKODA FAVORIT 1989-2001/FELICIA 1995-2001 СТ ПЕР ДВ ОП ЛВ</t>
  </si>
  <si>
    <t>SKODA FAVORIT 1989-2001/FELICIA 1995-2001 СТ ПЕР ДВ ОП ЛВ/VOLKSWAGEN CADDY PU 96  СТ ПЕР ДВ ОП ЛВ</t>
  </si>
  <si>
    <t>SKODA FAVORIT 1989-2001/FELICIA 1995-2001 СТ ЗАДН ДВ ОП ЛВ</t>
  </si>
  <si>
    <t>SKODA FAVORIT ХБК+УН 1989-2001 СТ ЗАДН ДВ ОП ЛВ</t>
  </si>
  <si>
    <t>SKODA FAVORIT 1989-2001/FELICIA 1995-2001 СТ ЗАДН ДВ НЕП ЛВ</t>
  </si>
  <si>
    <t>SKODA FAVORIT 1989-2001/FELICIA 1995-2001 СТ БОК НЕП ЛВ ЗЛ+ИНК</t>
  </si>
  <si>
    <t>SKODA FAVORIT 1989-2001/FELICIA 1995-2001 СТ ПЕР ДВ ОП ЛВ ЗЛ</t>
  </si>
  <si>
    <t>SKODA FAVORIT 1989-2001/FELICIA 1995-2001 СТ ПЕР ДВ ОП ЛВ ЗЛ/VOLKSWAGEN CADDY PU 96  СТ ПЕР ДВ ОП ЛВ ЗЛ</t>
  </si>
  <si>
    <t>SKODA FAVORIT 1989-2001/FELICIA 1995-2001 СТ ЗАДН ОП ЗЛ ЛВ</t>
  </si>
  <si>
    <t>SKODA FAVORIT 1989-2001/FELICIA 1995-2001 СТ ЗАДН ДВ ОП ЛВ ЗЛ</t>
  </si>
  <si>
    <t>SKODA FAVORIT 1989-2001/FELICIA 1995-2001 СТ ЗАДН ДВ НЕП ЛВ ЗЛ</t>
  </si>
  <si>
    <t>SKODA FAVORIT 1989-2001/FELICIA 1995-2001 СТ БОК НЕП ПР+ИНК</t>
  </si>
  <si>
    <t>SKODA FAVORIT 1989-2001/FELICIA 1995-2001 СТ ПЕР ДВ ОП ПР</t>
  </si>
  <si>
    <t>SKODA FAVORIT 1989-2001/FELICIA 1995-2001 СТ ПЕР ДВ ОП ПР/VOLKSWAGEN CADDY PU 96  СТ ПЕР ДВ ОП ПР</t>
  </si>
  <si>
    <t>SKODA FAVORIT 1989-2001/FELICIA 1995-2001 СТ ЗАДН ДВ ОП ПР</t>
  </si>
  <si>
    <t>SKODA FAVORIT 1989-2001/FELICIA 1995-2001 СТ ЗАДН ДВ НЕП ПР</t>
  </si>
  <si>
    <t>SKODA FAVORIT 1989-2001/FELICIA 1995-2001 СТ БОК НЕП ПР ЗЛ+ИНК</t>
  </si>
  <si>
    <t>SKODA FAVORIT 1989-2001/FELICIA 1995-2001 СТ ПЕР ДВ ОП ПР ЗЛ</t>
  </si>
  <si>
    <t>SKODA FAVORIT 1989-2001/FELICIA 1995-2001 СТ ПЕР ДВ ОП ПР ЗЛ/VOLKSWAGEN CADDY PU 96  СТ ПЕР ДВ ОП ПР ЗЛ</t>
  </si>
  <si>
    <t>SKODA FAVORIT 1989-2001/FELICIA 1995-2001 СТ ЗАДН ОП ЗЛ ПР</t>
  </si>
  <si>
    <t>SKODA FAVORIT 1989-2001/FELICIA 1995-2001 СТ ЗАДН ДВ ОП ПР ЗЛ</t>
  </si>
  <si>
    <t>SKODA FAVORIT 1989-2001/FELICIA 1995-2001 СТ ЗАДН ДВ НЕП ПР ЗЛ</t>
  </si>
  <si>
    <t>OCTAVIA I (TOUR) 1997-2004</t>
  </si>
  <si>
    <t>SKODA OCTAVIA 1999-2004 СТ ВЕТР ЗЛЗЛ+VIN+УО</t>
  </si>
  <si>
    <t>SKODA OCTAVIA 1999-2004 СТ ВЕТР ЗЛСР+ДД+VIN+УО</t>
  </si>
  <si>
    <t>SKODA OCTAVIA 1999-2004 СТ ВЕТР ЗЛСР+VIN+УО</t>
  </si>
  <si>
    <t>SKODA OCTAVIA 1999-2004 СТ ВЕТР ЗЛ+VIN+УО</t>
  </si>
  <si>
    <t>SKODA OCTAVIA 1997-1998 КОМП МОЛД ДЛЯ СТ ВЕТР</t>
  </si>
  <si>
    <t>SKODA OCTAVIA 1998-2004 МОЛД ДЛЯ СТ ВЕТР ВЕРХ</t>
  </si>
  <si>
    <t>SKODA OCTAVIA УН 1998-2004  СТ ЗАДН ЭО РЕЗ+УО</t>
  </si>
  <si>
    <t>SKODA OCTAVIA СД 1997-2004  СТ ЗАДН+СТОП+ИНК</t>
  </si>
  <si>
    <t>SKODA OCTAVIA СД 2002-2004 СТ ЗАДН 1ОТВ+СТОП+ИНК</t>
  </si>
  <si>
    <t>SKODA OCTAVIA УН 1998-2004  СТ ЗАДН ЭО ЗЛ9+УО</t>
  </si>
  <si>
    <t>SKODA OCTAVIA СД 2002-2004  СТ ЗАДН ЗЛ+СТОП+ИНК</t>
  </si>
  <si>
    <t>SKODA OCTAVIA СД 2002-2004 СТ ЗАДН 1 ОТВ+СТОП+ИНК</t>
  </si>
  <si>
    <t>SKODA OCTAVIA УН 1998-2004  СТ ЗАДН ТЗЛ РЕЗ+УО</t>
  </si>
  <si>
    <t>SKODA OCTAVIA УН 1998-2004 СТ ЗАДН ДВ ОП ЛВ</t>
  </si>
  <si>
    <t>SKODA OCTAVIA УН 1998-2004 СТ БОК ЛВ+ИНК</t>
  </si>
  <si>
    <t>SKODA OCTAVIA УН 1998-2004 СТ ЗАДН ДВ НЕП ЛВ</t>
  </si>
  <si>
    <t>SKODA OCTAVIA СД 1997-2004 /УН 1998-2004 СТ ПЕР ДВ ОП ЛВ</t>
  </si>
  <si>
    <t>SKODA OCTAVIA СД 1997-2004 СТ ЗАДН ДВ НЕП ЛВ</t>
  </si>
  <si>
    <t>SKODA OCTAVIA УН 1998-2004 СТ ЗАДН ДВ ОП ЛВ ЗЛ</t>
  </si>
  <si>
    <t>SKODA OCTAVIA УН 1998-2004 СТ БОК ЛВ ЗЛ+ИНК</t>
  </si>
  <si>
    <t>SKODA OCTAVIA УН 1998-2004 СТ ЗАДН ДВ НЕП ЛВ ЗЛ</t>
  </si>
  <si>
    <t>SKODA OCTAVIA СД 1997-2004 /УН 1998-2004 СТ ПЕР ДВ ОП ЛВ ЗЛ</t>
  </si>
  <si>
    <t>SKODA OCTAVIA СД 1997-2004 СТ ЗАДН ДВ ОП ЛВ ЗЛ</t>
  </si>
  <si>
    <t>SKODA OCTAVIA СД 1997-2004 СТ ЗАДН ДВ НЕП ЛВ ЗЛ</t>
  </si>
  <si>
    <t>SKODA OCTAVIA УН 1998-2004 СТ ЗАДН ДВ ОП ПР</t>
  </si>
  <si>
    <t>SKODA OCTAVIA УН 1998-2004 СТ БОК ПР+ИНК</t>
  </si>
  <si>
    <t>SKODA OCTAVIA УН 1998-2004 СТ ЗАДН ДВ НЕП ПР</t>
  </si>
  <si>
    <t>SKODA OCTAVIA СД 1997-2004 /УН 1998-2004 СТ ПЕР ДВ ОП ПР</t>
  </si>
  <si>
    <t>SKODA OCTAVIA СД 1997-2004 СТ ЗАДН ДВ ОП ПР</t>
  </si>
  <si>
    <t>SKODA OCTAVIA СД 1997-2004 СТ ЗАДН ДВ НЕП ПР</t>
  </si>
  <si>
    <t>SKODA OCTAVIA УН 1998-2004 СТ ЗАДН ДВ ОП ПР ЗЛ</t>
  </si>
  <si>
    <t>SKODA OCTAVIA УН 1998-2004 СТ БОК ПР ЗЛ+ИНК</t>
  </si>
  <si>
    <t>SKODA OCTAVIA УН 1998-2004 СТ ЗАДН ДВ НЕП ПР ЗЛ</t>
  </si>
  <si>
    <t>SKODA OCTAVIA СД 1997-2004 /УН 1998-2004 СТ ПЕР ДВ ОП ПР ЗЛ</t>
  </si>
  <si>
    <t>SKODA OCTAVIA СД 1997-2004 СТ ЗАДН ДВ ОП ПР ЗЛ</t>
  </si>
  <si>
    <t>SKODA OCTAVIA СД 1997-2004 СТ ЗАДН ДВ НЕП ПР ЗЛ</t>
  </si>
  <si>
    <t>OCTAVIA II (NEW) 2004-</t>
  </si>
  <si>
    <t>SKODA OCTAVIA II (NEW) 2004- СТ ВЕТР ТЕПЛООТРСР+ДД+VIN+ИНК</t>
  </si>
  <si>
    <t>SKODA OCTAVIA II (NEW) 2004- СТ ВЕТР ТЕПЛООТРСР+VIN+ИНК</t>
  </si>
  <si>
    <t>SKODA OCTAVIA II (NEW) 2004- СТ ВЕТР ИНК+VIN</t>
  </si>
  <si>
    <t>SKODA OCTAVIA II (NEW) 2004- СТ ВЕТР ЗЛСР+ДД+VIN+ИНК+ИЗМ КР</t>
  </si>
  <si>
    <t>SKODA OCTAVIA II (NEW) 2004- СТ ВЕТР ЗЛСР+VIN+ИНК</t>
  </si>
  <si>
    <t>SKODA OCTAVIA II (NEW) 2004- СТ ВЕТР ЗЛ+ДД+VIN+ИНК</t>
  </si>
  <si>
    <t>SKODA OCTAVIA II (NEW) 2004- СТ ВЕТР ЗЛ+VIN+ИНК</t>
  </si>
  <si>
    <t>SKODA OCTAVIA 2009- СТ ВЕТР ЗЛ ДД VIN ИНК</t>
  </si>
  <si>
    <t>SKODA OCTAVIA A5 HBK 2004-СТ ЗАДН ЗЛ+АНТ</t>
  </si>
  <si>
    <t>SKODA OCTAVIA II (NEW) ХБ 2004- СТ ЗАДН ОТВ+СТОП+ИНК</t>
  </si>
  <si>
    <t>SKODA OCTAVIA II (NEW) ХБ 2004- СТ ЗАДН+СТОП+ИНК</t>
  </si>
  <si>
    <t>SKODA OCTAVIA II (NEW) ХБ 2004- СТ ЗАДН ОТВ</t>
  </si>
  <si>
    <t>SKODA OCTAVIA II (NEW) ХБ 2004- СТ ЗАДН</t>
  </si>
  <si>
    <t>SKODA OCTAVIA II (NEW) УН 2004- СТ ЗАДН ЗЛ+УО</t>
  </si>
  <si>
    <t>SKODA OCTAVIA II (NEW) ХБ 2004- СТ ЗАДН ДВ ЗЛ+АНТ+СТОП+ИНК</t>
  </si>
  <si>
    <t>SKODA OCTAVIA II (NEW) ХБ 2004- СТ ЗАДН ТРИПЛ ЗЛ+СТОП+ИНК</t>
  </si>
  <si>
    <t>SKODA OCTAVIA II (NEW) ХБ 2004- СТ ЗАДН ЗЛ+СТОП+ИНК+1ОТВ</t>
  </si>
  <si>
    <t>SKODA OCTAVIA II (NEW) ХБ 2004- СТ ЗАДН ЗЛ+СТОП+ИНК+Б/ОТВ</t>
  </si>
  <si>
    <t>SKODA OCTAVIA II (NEW) ХБ 2004- СТ ЗАД ДВ ЗЛ</t>
  </si>
  <si>
    <t>SKODA OCTAVIA II (NEW) ХБ 2004- СТ ЗАД ГЛ ЗЛ СТОП ИНК+1ОТВ</t>
  </si>
  <si>
    <t>SKODA OCTAVIA II (NEW) ХБ 2004- СТ ЗАД ГЛЗЛ+СТОП+ИНК+Б/ОТВ</t>
  </si>
  <si>
    <t>SKODA OCTAVIA II (NEW) УН 2004- СТ ЗАДН ДВ ОП ЛВ ТРИПЛ+УО</t>
  </si>
  <si>
    <t>SKODA OCTAVIA II (NEW) ХБ 2004- СТ ПЕР ДВ ОП ЛВ ТРИПЛ+УО</t>
  </si>
  <si>
    <t>SKODA OCTAVIA II (NEW) ХБ 2004- СТ ЗАДН ДВ ОП ЛВ ТРИПЛ+УО</t>
  </si>
  <si>
    <t>SKODA OCTAVIA II (NEW) УН 2004- СТ ЗАДН ДВ ОП ЛВ</t>
  </si>
  <si>
    <t>SKODA OCTAVIA II (NEW) УН 2004- СТ БОК ЛВ ИНК</t>
  </si>
  <si>
    <t>SKODA OCTAVIA II (NEW) ХБ 2004- СТ ПЕР ДВ ОП ЛВ</t>
  </si>
  <si>
    <t>SKODA OCTAVIA II (NEW) ХБ 2004- СТ ЗАДН ДВ ОП ЛВ</t>
  </si>
  <si>
    <t>SKODA OCTAVIA II (NEW) УН 2004- СТ ЗАДН ДВ ОП ЛВ ЗЛ</t>
  </si>
  <si>
    <t>SKODA OCTAVIA II (NEW) УН 2004- СТ БОК ЛВ ЗЛ+ИНК</t>
  </si>
  <si>
    <t>SKODA OCTAVIA II (NEW) ХБ 2004- СТ ПЕР ДВ ОП ЛВ ЗЛ</t>
  </si>
  <si>
    <t>SKODA OCTAVIA II (NEW) ХБ 2004- СТ ЗАДН ДВ ОП ЛВ ЗЛ</t>
  </si>
  <si>
    <t>SKODA OCTAVIA II (NEW) УН 2004- СТ ЗУО ПР ТРИПЛ+УО</t>
  </si>
  <si>
    <t>SKODA OCTAVIA II (NEW) ХБ 2004- СТ ПЕР ДВ ОП ПР+ТРИПЛ+УО</t>
  </si>
  <si>
    <t>SKODA OCTAVIA II (NEW) ХБ 2004- СТ ЗАДН ДВ ОП ПР ТРИПЛ+УО</t>
  </si>
  <si>
    <t>SKODA OCTAVIA II (NEW) УН 2004- СТ ЗАДН ДВ ОП ПР</t>
  </si>
  <si>
    <t>SKODA OCTAVIA II (NEW) УН 2004- СТ БОК ПР +ИНК</t>
  </si>
  <si>
    <t>SKODA OCTAVIA II (NEW) ХБ 2004- СТ ПЕР ДВ ОП ПР</t>
  </si>
  <si>
    <t>SKODA OCTAVIA II (NEW) ХБ 2004- СТ ЗАДН ДВ ОП ПР</t>
  </si>
  <si>
    <t>SKODA OCTAVIA II (NEW) УН 2004- СТ ЗАДН ДВ ОП ПР ЗЛ</t>
  </si>
  <si>
    <t>SKODA OCTAVIA II (NEW) УН 2004- СТ БОК ПР ЗЛ+ИНК</t>
  </si>
  <si>
    <t>SKODA OCTAVIA II (NEW) ХБ 2004- СТ ПЕР ДВ ОП ПР ЗЛ</t>
  </si>
  <si>
    <t>SKODA OCTAVIA II (NEW) ХБ 2004- СТ ЗАДН ДВ ОП ПР ЗЛ</t>
  </si>
  <si>
    <t>SUPERB 2002-</t>
  </si>
  <si>
    <t>SKODA SUPERB 2002-  СТ ВЕТР ЗЛГЛ+ИНК/VOLKSWAGEN PASSAT 1996-  СТ ВЕТР ЗЛГЛ +ИНК</t>
  </si>
  <si>
    <t>SKODA SUPERB 2002-  СТ ВЕТР ЗЛЗЛ+ИНК+VIN/VOLKSWAGEN PASSAT B5 1996- СТ ВЕТР ЗЛЗЛ+ИНК+VIN</t>
  </si>
  <si>
    <t>SKODA SUPERB 2002-  СТ ВЕТР ЗЛЗЛ+ИНК/VOLKSWAGEN PASSAT 1996-  СТ ВЕТР ЗЛЗЛ+ИНК</t>
  </si>
  <si>
    <t>SKODA SUPERB 2002-  СТ ВЕТР ЗЛСР+ДД+VIN+ИНК/VOLKSWAGEN PASSAT B5 1996- СТ ВЕТР ЗЛСР+ДД+VIN+ИНК</t>
  </si>
  <si>
    <t>SKODA SUPERB 2002-  СТ ВЕТР ЗЛСР+ДД+ИНК/VOLKSWAGEN PASSAT 1996-  СТ ВЕТР ЗЛСР+ДД+ИНК</t>
  </si>
  <si>
    <t>SKODA SUPERB 2002-  СТ ВЕТР ЗЛСР+VIN+ИНК/VOLKSWAGEN PASSAT B5 1996- СТ ВЕТР ЗЛСР КР+ИНК+VIN</t>
  </si>
  <si>
    <t>SKODA SUPERB 2002-  СТ ВЕТР ЗЛ+ИНК+VIN/VOLKSWAGEN PASSAT B5 1996- СТ ВЕТР ЗЛ КР+ИНК+VIN</t>
  </si>
  <si>
    <t>SKODA SUPERB 2002-  СТ ВЕТР ЗЛ+ИНК/VOLKSWAGEN PASSAT 1996-  СТ ВЕТР ЗЛ ИНК</t>
  </si>
  <si>
    <t>SKODA SUPERB СД 2002-  СТ ЗАДН ЗЛ+СТОП+ИНК/VOLKSWAGEN PASSAT СД 1996-  СТ ЗАДН ЭО ЗЛ СТОП+ИНК</t>
  </si>
  <si>
    <t>SKODA SUPERB 2002-  СТ ПЕР ДВ ОП ЛВ ЗЛ/VOLKSWAGEN PASSAT СД 1996-  СТ ПЕР ДВ ОП ЛВ ЗЛ</t>
  </si>
  <si>
    <t>SKODA SUPERB 2002-  СТ ЗАДН ДВ ОП ЛВ ЗЛ</t>
  </si>
  <si>
    <t>SKODA SUPERB 2002-  СТ ФОРТ ЗАДН ЛВ ЗЛ</t>
  </si>
  <si>
    <t>SKODA SUPERB 2002-  СТ ПЕР ДВ ОП ПР ЗЛ/VOLKSWAGEN PASSAT СД 1996- СТ ПЕР ДВ ОП ПР ЗЛ</t>
  </si>
  <si>
    <t>SKODA SUPERB 2002-  СТ ФОРТ ЗАДН ПР ЗЛ</t>
  </si>
  <si>
    <t>SUPERB 5Д ХБ 2008-</t>
  </si>
  <si>
    <t>SKODA SUPERB 5Д ХБ 2008- СТ ВЕТР ЗЛСР+ДД+VIN+ИНК</t>
  </si>
  <si>
    <t>SKODA SUPERB ХБ 2008-  СТ ЗАДН ЗЛ+СТОП+УО</t>
  </si>
  <si>
    <t>SKODA SUPERB ХБ 2008-  СТ ЗАДН ТЗЛ+СТОП+УО</t>
  </si>
  <si>
    <t>SKODA SUPERB ХБ 2008-  СТ ЗАДН ЗЛ+АНТ+СТОП+УО</t>
  </si>
  <si>
    <t>SKODA SUPERB ХБ 2008-  СТ ЗАДН ТЗЛ+АНТ+СТОП+УО</t>
  </si>
  <si>
    <t>YETI SUV 2009-</t>
  </si>
  <si>
    <t>SKODA YETI SUV 2009- СТ ВЕТР ПР+VIN+ДО+ИНК</t>
  </si>
  <si>
    <t>SKODA YETI 09- СТ ВЕТР ЗЛ+ДД+VIN+УО</t>
  </si>
  <si>
    <t>SKODA YETI 09-СТ ЗАДН НЕП ПР ТЗЛ +УО</t>
  </si>
  <si>
    <t>SSANGYONG</t>
  </si>
  <si>
    <t>KORANDO 1994-1997</t>
  </si>
  <si>
    <t>1994-1997</t>
  </si>
  <si>
    <t>SSANGYONG KORANDO 1994-1997  СТ ВЕТР ЗЛГЛ</t>
  </si>
  <si>
    <t>KORANDO 1998-</t>
  </si>
  <si>
    <t>SSANGYONG KORANDO 1998- СТ ВЕТР ЗЛГЛ</t>
  </si>
  <si>
    <t>SSANGYONG KORANDO 1997- СТ ПЕР ДВ ОП ЛВ ЗЛ</t>
  </si>
  <si>
    <t>SSANGYONG KORANDO 1997- СТ ПЕР ДВ ОП ПР ЗЛ</t>
  </si>
  <si>
    <t>KYRON LHD 2006-/ACTYON LHD 2006</t>
  </si>
  <si>
    <t>SSANGYONG KYRON LHD 2006-/ACTYON LHD 2006 СТ ВЕТР ЗЛГЛ ЭО+VIN</t>
  </si>
  <si>
    <t>SSANGYONG KYRON LHD 2006-/ACTYON LHD 2006 СТ ВЕТР ЗЛГЛ+ЭО+ДД+VIN+ИЗМ ШЕЛК</t>
  </si>
  <si>
    <t>SSANGYONG KYRON LHD 2006-/ACTYON LHD 2006 МОЛД ДЛЯ СТ ВЕТР</t>
  </si>
  <si>
    <t>SSANGYONG KYRON LHD 2006- СТ ЗАДН ЗЛ+АНТ</t>
  </si>
  <si>
    <t>SSANGYONG KYRON LHD 2006-/ACTYON LHD 2006 СТ ПЕР ДВ ОП ЛВ ЗЛ</t>
  </si>
  <si>
    <t>SSANGYONG KYRON LHD 2006-/ACTYON LHD 2006 СТ ЗАДН ДВ ОП ЛВ ЗЛ</t>
  </si>
  <si>
    <t>SSANGYONG KYRON LHD 2006-/ACTYON LHD 2006 СТ ПЕР ДВ ОП ПР ЗЛ</t>
  </si>
  <si>
    <t>SSANGYONG KYRON LHD 2006-/ACTYON LHD 2006 СТ ЗАДН ДВ ОП ПР ЗЛ</t>
  </si>
  <si>
    <t>MUSSO 5Д 1995-2004</t>
  </si>
  <si>
    <t>SSANGYONG MUSSO 1995-2004  СТ ВЕТР ЗЛГЛ</t>
  </si>
  <si>
    <t>SSANGYONG MUSSO 1995-2004  МОЛД  ДЛЯ СТ ВЕТР ВЕРХ</t>
  </si>
  <si>
    <t>SSANGYONG MUSSO 1995-2004  СТ ПЕР ДВ ОП ЛВ ЗЛ</t>
  </si>
  <si>
    <t>SSANGYONG MUSSO 1995-2004  СТ ЗАДН ДВ ОП ЛВ ЗЛ</t>
  </si>
  <si>
    <t>SSANGYONG MUSSO 1995-2004  СТ ПЕР ДВ ОП ПР ЗЛ</t>
  </si>
  <si>
    <t>SSANGYONG MUSSO 1995-2004  СТ ЗАДН ДВ ОП ПР ЗЛ</t>
  </si>
  <si>
    <t>SSANGYONG MUSSO 1995-2004  СТ ФОРТ ЗАДН НЕП ПР ЗЛ</t>
  </si>
  <si>
    <t>REXTON JEEP 2002-</t>
  </si>
  <si>
    <t>SSANGYONG REXTON 2002- СТ ВЕТР ЗЛГЛ</t>
  </si>
  <si>
    <t>SSANGYONG REXTON 2002- СТ ВЕТР ЗЛГЛ+ЭО</t>
  </si>
  <si>
    <t>SSANGYONG REXTON 2002- МОЛД  ДЛЯ СТ ВЕТР</t>
  </si>
  <si>
    <t>SSANGYONG REXTON ВН 2002- СТ ЗАДН ТЗЛ+УО</t>
  </si>
  <si>
    <t>SSANGYONG REXTON ВН 2002- СТ ЗАДН ЗЛ ОТКР+УО+ИЗМ ОТВ</t>
  </si>
  <si>
    <t>SSANGYONG REXTON ВН 2002- СТ ЗАДН ЗЛ+УО</t>
  </si>
  <si>
    <t>SSANGYONG REXTON 2002- СТ ПЕР ДВ ОП ЛВ ПРОЗР</t>
  </si>
  <si>
    <t>SSANGYONG REXTON 2002- СТ ЗАДН ДВ ОП ЛВ ПРОЗР</t>
  </si>
  <si>
    <t>SSANGYONG REXTON 2002- СТ БОК НЕП ЛВ</t>
  </si>
  <si>
    <t>SSANGYONG REXTON 2002- СТ ЗАДН ДВ ОП ЛВ ТЗЛ</t>
  </si>
  <si>
    <t>SSANGYONG REXTON 2002- СТ БОК НЕП ЛВ ТЗЛ</t>
  </si>
  <si>
    <t>SSANGYONG REXTON 2002- СТ БОК НЕП ЛВ ТЗЛ+АНТ</t>
  </si>
  <si>
    <t>SSANGYONG REXTON 2002- СТ БОК НЕП ЛВ ТЗЛ+УО</t>
  </si>
  <si>
    <t>SSANGYONG REXTON 2002- СТ ПЕР ДВ ОП ЛВ ЗЛ</t>
  </si>
  <si>
    <t>SSANGYONG REXTON 2002- СТ ЗАДН ДВ ОП ЛВ ЗЛ</t>
  </si>
  <si>
    <t>SSANGYONG REXTON 2002- СТ БОК НЕП ЛВ ЗЛ</t>
  </si>
  <si>
    <t>SSANGYONG REXTON 2002- СТ ПЕР ДВ ОП ПР ПРОЗР</t>
  </si>
  <si>
    <t>SSANGYONG REXTON 2002- СТ ЗАДН ДВ ОП ПР</t>
  </si>
  <si>
    <t>SSANGYONG REXTON 2002- СТ БОК НЕП ПР</t>
  </si>
  <si>
    <t>SSANGYONG REXTON 2002- СТ ЗАДН ДВ ОП ПР ТЗЛ</t>
  </si>
  <si>
    <t>SSANGYONG REXTON 2002- СТ БОК НЕП ПР ТЗЛ</t>
  </si>
  <si>
    <t>SSANGYONG REXTON 2002- СТ БОК НЕП ПР ТЗЛ+АНТ</t>
  </si>
  <si>
    <t>SSANGYONG REXTON 2002- СТ БОК НЕП ПР ТЗЛ+УО</t>
  </si>
  <si>
    <t>SSANGYONG REXTON 2002- СТ ПЕР ДВ ОП ПР ЗЛ</t>
  </si>
  <si>
    <t>SSANGYONG REXTON 2002- СТ ЗАДН ДВ ОП ПР ЗЛ</t>
  </si>
  <si>
    <t>SSANGYONG REXTON 2002- СТ БОК НЕП ПР ЗЛ</t>
  </si>
  <si>
    <t>RODIUS MPV 2005-</t>
  </si>
  <si>
    <t>SSANGYONG RODIUS МИН 2005- СТ ВЕТР ЗЛГЛ ЭО+VIN</t>
  </si>
  <si>
    <t>SSANGYONG RODIUS МИН 2005- СТ ВЕТР ЗЛГЛ+ЭО+ДД+VIN</t>
  </si>
  <si>
    <t>SSANGYONG RODIUS МИН 2005- СТ ЗАДН ЗЛ+УО</t>
  </si>
  <si>
    <t>SSANGYONG RODIUS МИН 2005- СТ ЗАДН СР</t>
  </si>
  <si>
    <t>SSANGYONG RODIUS MPV 2005- СТ ПЕР ДВ ОП ЛВЗЛ</t>
  </si>
  <si>
    <t>SSANGYONG RODIUS MPV 2005- СТ ЗАДН ДВ ОП ЛВЗЛ</t>
  </si>
  <si>
    <t>SSANGYONG RODIUS MPV 2005- СТ ЗАДН ДВ ОП ЛВСР</t>
  </si>
  <si>
    <t>SSANGYONG RODIUS MPV 2005- СТ ЗАДН ДВ ОП ПРЗЛ</t>
  </si>
  <si>
    <t>SSANGYONG RODIUS MPV 2005- СТ ЗАДН ДВ ОП ПРСР</t>
  </si>
  <si>
    <t>SUBARU</t>
  </si>
  <si>
    <t>1600 1984-1992</t>
  </si>
  <si>
    <t>SUBARU 1600 1984-1992 СТ ВЕТР ГЛ</t>
  </si>
  <si>
    <t>1800 КП 1986-1990</t>
  </si>
  <si>
    <t>SUBARU 2Д КП 1986-1990 СТ ВЕТР ГЛ</t>
  </si>
  <si>
    <t>FORESTER 1997-2002</t>
  </si>
  <si>
    <t>SUBARU FORESTER 1997-2002 СТ ВЕТР ЗЛЗЛ</t>
  </si>
  <si>
    <t>SUBARU FORESTER 1997-2002  СТ ВЕТР ЗЛЗЛ ЭО</t>
  </si>
  <si>
    <t>SUBARU FORESTER 1997-2002 МОЛД  ДЛЯ СТ ВЕТР ВЕРХ</t>
  </si>
  <si>
    <t>SUBARU FORESTER ВН 1997/1999-2002 СТ ЗАДН ЗЛ+УО</t>
  </si>
  <si>
    <t>SUBARU FORESTER 1997-2002  СТ ПЕР ДВ ОП ЛВ ЗЛ+7ОТВ</t>
  </si>
  <si>
    <t>SUBARU FORESTER 1997-2002  СТ ПЕР ДВ ОП ПР ЗЛ+7ОТВ</t>
  </si>
  <si>
    <t>FORESTER 2002-2008</t>
  </si>
  <si>
    <t>SUBARU FORESTER ЛВРУЛЬ 2002-2008  СТ ВЕТР ЗЛ</t>
  </si>
  <si>
    <t>SUBARU FORESTER ЛВРУЛЬ 2002-2008 СТ ВЕТР ЗЛЗЛ</t>
  </si>
  <si>
    <t>SUBARU FORESTER ЛВРУЛЬ 2002-2008  СТ ВЕТР ЗЛЗЛ+ЭО</t>
  </si>
  <si>
    <t>SUBARU FORESTER 2002-2008 МОЛД  ДЛЯ СТ ВЕТР</t>
  </si>
  <si>
    <t>SUBARU FORESTER JEEP 2002- СТ ЗАДН ЗЛ+ДО</t>
  </si>
  <si>
    <t>FORESTER 2008-</t>
  </si>
  <si>
    <t>SUBARU FORESTER 2008- СТ ВЕТР ЗЛГЛ+ЭО+VIN</t>
  </si>
  <si>
    <t>SUBARU FORESTER 2008- МОЛД  ДЛЯ СТ ВЕТР</t>
  </si>
  <si>
    <t>IMPREZA 4Д СД 2000-2007</t>
  </si>
  <si>
    <t>SUBARU IMPREZA 4Д 12/2000-2007 СТ ВЕТР</t>
  </si>
  <si>
    <t>SUBARU IMPREZA 4Д 2003-2007 СТ ВЕТР ЗЛ+VIN+ИЗМ ШЕЛ</t>
  </si>
  <si>
    <t>SUBARU IMPREZA 4Д 12/2000-2007 МОЛД  ДЛЯ СТ ВЕТР</t>
  </si>
  <si>
    <t>SUBARU IMPREZA 12/2000-2007  СТ ПЕР ДВ ОП ЛВ ЗЛ+УО</t>
  </si>
  <si>
    <t>SUBARU IMPREZA 4Д 07/2001-2007  СЕД 4Д СТ ЗАДН ОП ЛВ ЗЛ</t>
  </si>
  <si>
    <t>SUBARU IMPREZA 12/2000-2007  СТ ПЕР ДВ ОП ПР ЗЛ</t>
  </si>
  <si>
    <t>SUBARU IMPREZA 12/2000-2007  СТ ПЕР ДВ ОП ПР ЗЛ+УО</t>
  </si>
  <si>
    <t>IMPREZA 5Д ХБ 2000-2007</t>
  </si>
  <si>
    <t>SUBARU IMPREZA 5Д 12/2000-2007  СТ ВЕТР ЗЛ+КР</t>
  </si>
  <si>
    <t>SUBARU IMPREZA 12/2000-2007 ХБ МОЛД  ДЛЯ СТ ВЕТР</t>
  </si>
  <si>
    <t>SUBARU IMPREZA 12/2000-2007  СТ ПЕР ДВ ОП ЛВ ЗЛ</t>
  </si>
  <si>
    <t>SUBARU IMPREZA 12/2000-2007  СТ ЗАДН ДВ ОП ЛВ ЗЛ+УО</t>
  </si>
  <si>
    <t>SUBARU IMPREZA 12/2000-2007  СТ ЗАДН ДВ ОП ПР ЗЛ+УО</t>
  </si>
  <si>
    <t>IMPREZA 5Д ХБ 2007-</t>
  </si>
  <si>
    <t>SUBARU IMPREZA 5Д ХБ 2007-  СТ ВЕТР ЗЛ</t>
  </si>
  <si>
    <t>SUBARU IMPREZA ХБ 2007- СТ ВЕТР ЗЛ+VIN</t>
  </si>
  <si>
    <t>SUBARU IMPREZA 2007- СТ ВЕТР ЗЛ+ЭО+VIN</t>
  </si>
  <si>
    <t>IMPREZA ХБ+СД 08/1992-2000</t>
  </si>
  <si>
    <t>SUBARU IMPREZA ХБ+СД 08/1992-2000 СТ ВЕТР ГЛ</t>
  </si>
  <si>
    <t>SUBARU IMPREZA ХБ+СД 08/1992-2000 СТ ВЕТР ГЛГЛ</t>
  </si>
  <si>
    <t>SUBARU IMPREZA ХБ+СД 08/1992-2000 СТ ВЕТР ЗЛ</t>
  </si>
  <si>
    <t>SUBARU IMPREZA ХБ+СД 08/1992-2000 СТ ВЕТР ЗЛГЛ</t>
  </si>
  <si>
    <t>SUBARU IMPREZA ХБ+СД 08/1992-2000 СТ ВЕТР ЗЛЗЛ</t>
  </si>
  <si>
    <t>SUBARU IMPREZA 08/1992-2000  МОЛД  ДЛЯ СТ ЗАДН</t>
  </si>
  <si>
    <t>SUBARU IMPREZA ХБ+СД 08/1992-2000  СТ ПЕР ДВ ОП ЛВ ГЛ</t>
  </si>
  <si>
    <t>SUBARU IMPREZA ХБ+СД 08/1992-2000  СТ ПЕР ДВ ОП ПР ГЛ</t>
  </si>
  <si>
    <t>JUSTY 1984-1989</t>
  </si>
  <si>
    <t>SUBARU JUSTY 1984-1989 СТ ВЕТР ГЛ</t>
  </si>
  <si>
    <t>SUBARU JUSTY 1984-1989 СТ ВЕТР</t>
  </si>
  <si>
    <t>JUSTY 1989-1995</t>
  </si>
  <si>
    <t>SUBARU JUSTY 1989-1995 СТ ВЕТР ГЛ</t>
  </si>
  <si>
    <t>SUBARU JUSTY 5Д 1989-1995  СТ ПЕР ДВ ОП ЛВ ГЛ</t>
  </si>
  <si>
    <t>SUBARU JUSTY 5Д 1989-1995  СТ ПЕР ДВ ОП ПР ГЛ</t>
  </si>
  <si>
    <t>JUSTY II 3P 1996-</t>
  </si>
  <si>
    <t>SUBARU JUSTY II 3P 1996- СТ ВЕТР ГЛ/SUZUKI SWIFT MK III  GTI 1988-  СТ ВЕТР ГЛ</t>
  </si>
  <si>
    <t>SUBARU JUSTY II 3P 1996- СТ ВЕТР ЗЛЗЛ/SUZUKI SWIFT MK III  GTI 1988-  СТ ВЕТР ГЛГЛ</t>
  </si>
  <si>
    <t>SUBARU JUSTY II 3P 1996- СТ ВЕТР/SUZUKI SWIFT MK III  GTI 1988-  СТ ВЕТР</t>
  </si>
  <si>
    <t>SUBARU JUSTY II ХБ 1996- СТ ЗАДН ГЛ/SUZUKI SWIFT MK III  GTI 1988-  СТ ЗАДН ЭО ГЛ</t>
  </si>
  <si>
    <t>SUBARU JUSTY II ХБ 1996- СТ ЗАДН/SUZUKI SWIFT MK III  GTI 1988-  СТ ЗАДН ЭО</t>
  </si>
  <si>
    <t>SUBARU JUSTY II 1996- СТ ПЕР ДВ ОП ЛВ ГЛ/SUZUKI SWIFT MK III  GTI 1988- СТ ПЕР ДВ ОП ЛВ ГЛ</t>
  </si>
  <si>
    <t>SUBARU JUSTY II 1996- СТ ЗАДН НЕП ЛВ ГЛ+ОТКР/SUZUKI SWIFT MK III  GTI 1988- СТ БОК ПОД ЛВ ГЛ ОТКР</t>
  </si>
  <si>
    <t>SUBARU JUSTY II 1996- СТ ПЕР ДВ ОП ЛВ/SUZUKI SWIFT MK III  GTI 1988-  СТ ПЕР ДВ ОП ЛВ</t>
  </si>
  <si>
    <t>SUBARU JUSTY II 1996- СТ ПЕР ДВ ОП ПР ГЛ/SUZUKI SWIFT MK III  GTI 1988- СТ ПЕР ДВ ОП ПР ГЛ</t>
  </si>
  <si>
    <t>SUBARU JUSTY II 1996- СТ ЗАДН НЕП ПР ГЛ+ОТКР/SUZUKI SWIFT MK III  GTI 1988- СТ БОК ПОД ПР ГЛ ОТКР</t>
  </si>
  <si>
    <t>SUBARU JUSTY II 1996- СТ ПЕР ДВ ОП ПР ГЛ/SUZUKI SWIFT MK III  GTI 1988- СТ ПЕР ДВ ОП ПР</t>
  </si>
  <si>
    <t>JUSTY II 5Д 1996-2001</t>
  </si>
  <si>
    <t>SUBARU JUSTY II 5Д 1996-2001 СТ ВЕТР ГЛ/SUZUKI SWIFT II GLX 5Д 1989-  СТ ВЕТР ГЛ</t>
  </si>
  <si>
    <t>SUBARU JUSTY II 5Д 1996-2001 СТ ВЕТР/SUZUKI SWIFT II GLX 5Д 1989-  СТ ВЕТР</t>
  </si>
  <si>
    <t>SUBARU JUSTY II 5Д ХБ 1996-2001 СТ ЗАДН ДВ ГЛ/SUZUKI SWIFT II GLX 5Д 1989-  СТ ЗАДН ГЛ</t>
  </si>
  <si>
    <t>SUBARU JUSTY II 5Д 1996-2001 СТ ПЕР ДВ ОП ЛВ ГЛ/SUZUKI SWIFT II GLX + 1989-  СТ ПЕР ДВ ОП ЛВ ГЛ</t>
  </si>
  <si>
    <t>SUBARU JUSTY II 5Д 1996-2001 СТ БОК НЕП ЛВ ГЛ/SUZUKI SWIFT II GLX 5Д 1989-  СТ БОК ЛВ ГЛ</t>
  </si>
  <si>
    <t>SUBARU JUSTY II 5Д 1996-2001 СТ ПЕР ДВ ОП ЛВ/SUZUKI SWIFT II GLX + 1989-  СТ ПЕР ДВ ОП ЛВ</t>
  </si>
  <si>
    <t>SUBARU JUSTY II 5Д 1996-2001 СТ БОК НЕП ПР ГЛ/SUZUKI SWIFT II GLX 5Д 1989-  СТ БОК ПР ГЛ</t>
  </si>
  <si>
    <t>SUBARU JUSTY II 5Д 1996-2001 СТ ПЕР ДВ ОП ПР/SUZUKI SWIFT II GLX + 1989-  СТ ПЕР ДВ ОП ПР</t>
  </si>
  <si>
    <t>JUSTY 5Д ХБ 2003-</t>
  </si>
  <si>
    <t>SUBARU JUSTY G3X ХБ 2003- СТ ВЕТР ЗЛ/SUZUKI IGNIS 5Д 2003- СТ ВЕТР ЗЛ</t>
  </si>
  <si>
    <t>SUBARU JUSTY G3X ХБ 2003- СТ ПЕР ДВ ОП ЛВ ЗЛ/SUZUKI IGNIS 5Д 2003- СТ ПЕР ДВ ОП ЛВ ЗЛ</t>
  </si>
  <si>
    <t>SUBARU JUSTY G3X ХБ 2003- СТ ЗАДН ДВ ОП ЛВ ЗЛ/SUZUKI IGNIS HBK 2003- СТ ЗАДН ДВ ОП ЛВ ЗЛ</t>
  </si>
  <si>
    <t>SUBARU JUSTY G3X ХБ 2003- СТ ПЕР ДВ ОП ПР/SUZUKI IGNIS 5Д 2003- СТ ПЕР ДВ ОП ПР ЗЛ</t>
  </si>
  <si>
    <t>SUBARU JUSTY G3X ХБ 2003- СТ ЗАДН ДВ ОП ПР ЗЛ/SUZUKI IGNIS 5D 2003- СТ ЗАДН ДВ ОП ПР ЗЛ</t>
  </si>
  <si>
    <t>LEGACY I 01.1989-08.1994</t>
  </si>
  <si>
    <t>SUBARU LEGACY 1989-1994 СТ ВЕТР ГЛ</t>
  </si>
  <si>
    <t>SUBARU LEGACY 1989-1994 НАБ КЛИПС ДЛЯ СТ ВЕТР</t>
  </si>
  <si>
    <t>SUBARU LEGACY 1989-1994 МОЛД  ДЛЯ СТ ВЕТР ВЕРХ МЕТАЛ С КЛИПС</t>
  </si>
  <si>
    <t>SUBARU LEGACY СД 1989-1994  СТ ЗАДН ГЛ</t>
  </si>
  <si>
    <t>SUBARU LEGACY СД+УН 1989-1994  СТ ПЕР ДВ ОП ЛВ ГЛ</t>
  </si>
  <si>
    <t>SUBARU LEGACY СД 1989-1994  СТ ЗАДН ДВ ОП ЛВ ГЛ</t>
  </si>
  <si>
    <t>SUBARU LEGACY СД 1989-1994  СТ БОК НЕП ЛВ ГЛ</t>
  </si>
  <si>
    <t>SUBARU LEGACY СД+УН 1989-1994  СТ ПЕР ДВ ОП ПР ГЛ</t>
  </si>
  <si>
    <t>SUBARU LEGACY СД 1989-1994  СТ ЗАДН ДВ ОП ПР ГЛ</t>
  </si>
  <si>
    <t>SUBARU LEGACY СД 1989-1994  СТ БОК НЕП ПР ГЛ</t>
  </si>
  <si>
    <t>LEGACY II 09.1994-03.1999</t>
  </si>
  <si>
    <t>SUBARU LEGACY II 09.1994-03.1999 СТ ВЕТР ЗЛ</t>
  </si>
  <si>
    <t>SUBARU LEGACY II 09.1994-03.1999 СТ ВЕТР ЗЛГЛ</t>
  </si>
  <si>
    <t>SUBARU LEGACY II 09.1994-03.1999 НАБ КЛИПС ДЛЯ СТ ВЕТР</t>
  </si>
  <si>
    <t>SUBARU LEGACY II 09.1994-03.1999 МОЛД  ДЛЯ СТ ВЕТР ВЕРХ</t>
  </si>
  <si>
    <t>LEGACY III 1999-2003</t>
  </si>
  <si>
    <t>SUBARU LEGACY СД+УН 1999-2003 СТ ВЕТР</t>
  </si>
  <si>
    <t>SUBARU LEGACY СД+УН 1999-2003  СТ ВЕТР ЗЛ ЭО+КР</t>
  </si>
  <si>
    <t>SUBARU LEGACY СД 1999-2003 МОЛД  ДЛЯ СТ ВЕТР</t>
  </si>
  <si>
    <t>SUBARU LEGACY УН 1999-2003  СТ ЗАДН ДВ ОП ЛВ ЗЛ+УО</t>
  </si>
  <si>
    <t>SUBARU LEGACY СД+УН 1999-2003  СТ ПЕР ДВ ОП ЛВ ЗЛ+УО</t>
  </si>
  <si>
    <t>SUBARU LEGACY СД 1999-2003  СТ ЗАДН ДВ ОП ЛВ ЗЛ+УО</t>
  </si>
  <si>
    <t>SUBARU LEGACY СД+УН 1999-2003  СТ ПЕР ДВ ОП ПР ЗЛ+УО</t>
  </si>
  <si>
    <t>SUBARU LEGACY СД 1999-2003  СТ ЗАДН ДВ ОП ПР ЗЛ+УО</t>
  </si>
  <si>
    <t>LEGACY IV 2003-</t>
  </si>
  <si>
    <t>SUBARU LEGACY IV 2003- СТ ВЕТР ЗЛГЛ+ЭО+VIN</t>
  </si>
  <si>
    <t>SUBARU LEGACY IV 2003- СТ ВЕТР ЭО ЗЛ+VIN</t>
  </si>
  <si>
    <t>SUBARU LEGACY IV 2003- СТ ВЕТР ЗЛ+ЭО+VIN+ИЗМ</t>
  </si>
  <si>
    <t>SUBARU LEGACY IV 2003- СТ ВЕТР ЗЛ+VIN</t>
  </si>
  <si>
    <t>SUBARU LEGACY IV 2003- МОЛД ДЛЯ СТ ВЕТР</t>
  </si>
  <si>
    <t>LEGACY 2009-</t>
  </si>
  <si>
    <t>SUBARU LEGACY 2009- СТ ВЕТР ЗЛ+ЭО+ДД+VIN</t>
  </si>
  <si>
    <t>SUBARU LEGACY 2009- СТ ВЕТР ЗЛ+ДД+VIN</t>
  </si>
  <si>
    <t>SUBARU LEGACY 2009- СТ ВЕТР ЗЛ+VIN</t>
  </si>
  <si>
    <t>TRIBECA 4Д UTILITY 2006-</t>
  </si>
  <si>
    <t>SUBARU B9 TRIBECA SUV 2006- СТ ВЕТР ЗЛГЛ ЭО+VIN</t>
  </si>
  <si>
    <t>SUZUKI</t>
  </si>
  <si>
    <t>ALTO 3Д+5Д 1995-2002</t>
  </si>
  <si>
    <t>SUZUKI ALTO 3Д+5Д 1995-2002  СТ ВЕТР ГЛ</t>
  </si>
  <si>
    <t>SUZUKI ALTO 3Д+5Д 1995-2002  СТ ВЕТР ЗЛ</t>
  </si>
  <si>
    <t>SUZUKI ALTO 3Д+5Д 1995-2002  МОЛД  ДЛЯ СТ ВЕТР</t>
  </si>
  <si>
    <t>SUZUKI ALTO 3Д 1995-2002  СТ ПЕР ДВ ОП ЛВ ЗЛ</t>
  </si>
  <si>
    <t>SUZUKI ALTO 3Д 1995-2002  СТ БОК НЕП ЛВ ЗЛ ОТКР</t>
  </si>
  <si>
    <t>SUZUKI ALTO 3Д 1995-2002  СТ ПЕР ДВ ОП ПР ЗЛ</t>
  </si>
  <si>
    <t>SUZUKI ALTO 3Д 1995-2002  СТ БОК ПОД ПР ЗЛ ОТКР</t>
  </si>
  <si>
    <t>ALTO 5Д 2002-</t>
  </si>
  <si>
    <t>SUZUKI ALTO 5Д 2002- СТ ВЕТР ЗЛ</t>
  </si>
  <si>
    <t>SUZUKI ALTO 5Д 2002- МОЛД  ДЛЯ СТ ВЕТР</t>
  </si>
  <si>
    <t>ALTO 1986-1988</t>
  </si>
  <si>
    <t>SUZUKI ALTO 1986-1988 СТ ВЕТР ГЛ</t>
  </si>
  <si>
    <t>SUZUKI ALTO 1986-1988 СТ ВЕТР/MARUTTI 800 1986-1988 СТ ВЕТР</t>
  </si>
  <si>
    <t>SUZUKI ALTO 1986-1988 СТ ПЕР ДВ ОП ПР/MARUTTI 800 1986-1988 СТ ПЕР ДВ ОП ПР</t>
  </si>
  <si>
    <t>BALENO 3Д+4Д 1995-2002</t>
  </si>
  <si>
    <t>SUZUKI BALENO 3Д+4Д 1995-2002  СТ ВЕТР ГЛ</t>
  </si>
  <si>
    <t>SUZUKI BALENO 3Д+4Д 1995-2002  СТ ВЕТР ЗЛ</t>
  </si>
  <si>
    <t>SUZUKI BALENO 3Д+4Д 1995-2002  СТ ВЕТР ЗЛЗЛ</t>
  </si>
  <si>
    <t>SUZUKI BALENO 1995-2002  МОЛД  ДЛЯ СТ ВЕТР</t>
  </si>
  <si>
    <t>SUZUKI BALENO 4Д СД 1995-2002  СТ ЗАДН ГЛ</t>
  </si>
  <si>
    <t>SUZUKI BALENO 4Д СД 1995-2002  СТ ЗАДН ЗЛ</t>
  </si>
  <si>
    <t>SUZUKI BALENO 4Д 1995-2002  СТ ПЕР ДВ ОП ЛВ ГЛ</t>
  </si>
  <si>
    <t>SUZUKI BALENO 4Д+УН 1995-2002  СТ ПЕР ДВ ОП ЛВ ЗЛ</t>
  </si>
  <si>
    <t>SUZUKI BALENO 4Д+УН 1995-2002 СТ ЗАДН ДВ ОП ЛВ ЗЛ</t>
  </si>
  <si>
    <t>SUZUKI BALENO 4Д 1995-2002  СТ ПЕР ДВ ОП ПР ГЛ</t>
  </si>
  <si>
    <t>SUZUKI BALENO 4Д 1995-2002  СТ ЗАДН ДВ ОП ПР ГЛ</t>
  </si>
  <si>
    <t>SUZUKI BALENO 4Д+УН 1995-2002  СТ ПЕР ДВ ОП ПР ЗЛ</t>
  </si>
  <si>
    <t>SUZUKI BALENO 4Д+УН 1995-2002 СТ ЗАДН ДВ ОП ПР ЗЛ</t>
  </si>
  <si>
    <t>IGNIS 3Д+5Д 2000-</t>
  </si>
  <si>
    <t>SUZUKI IGNIS 3Д+5Д 2000-2002 СТ ВЕТР ЗЛ</t>
  </si>
  <si>
    <t>SUZUKI IGNIS 3Д+5Д 2000-2002 МОЛД  ДЛЯ СТ ВЕТР</t>
  </si>
  <si>
    <t>SUZUKI IGNIS 5Д 2000-2002 СТ ПЕР ДВ ОП ЛВ ЗЛ</t>
  </si>
  <si>
    <t>SUZUKI IGNIS 5Д 2000-2002 СТ ПЕР ДВ ОП ПР ЗЛ</t>
  </si>
  <si>
    <t>IGNIS 5Д 2003-</t>
  </si>
  <si>
    <t>SUZUKI IGNIS 5Д 2003-  СТ ВЕТР ЗЛ/SUBARU JUSTY G3X ХБ 2003- СТ ВЕТР ЗЛ</t>
  </si>
  <si>
    <t>SUZUKI IGNIS ХБ 2003- МОЛД  ДЛЯ СТ ВЕТР ВЕРХ</t>
  </si>
  <si>
    <t>SUZUKI IGNIS 5Д 2003- СТ ПЕР ДВ ОП ЛВ ЗЛ/SUBARU JUSTY G3X ХБ 2003-  СТ ПЕР ДВ ОП ЛВ ЗЛ</t>
  </si>
  <si>
    <t>SUZUKI IGNIS 5Д 2003- СТ ПЕР ДВ ОП ПР ЗЛ/SUBARU JUSTY G3X ХБ 2003-  СТ ПЕР ДВ ОП ПР</t>
  </si>
  <si>
    <t>SUZUKI IGNIS ХБ 2003- СТ ЗАДН ДВ ОП ЛВ ЗЛ</t>
  </si>
  <si>
    <t>JIMNY 1998-</t>
  </si>
  <si>
    <t>SUZUKI JIMNY 1998- СТ ВЕТР СЗЛ</t>
  </si>
  <si>
    <t>SUZUKI JIMNY HARDTOP+SOFTTOP 1998- МОЛД  ДЛЯ СТ ВЕТР</t>
  </si>
  <si>
    <t>SUZUKI JIMNY ВН 1998- СТ ЗАДН СЗЛ</t>
  </si>
  <si>
    <t>SUZUKI JIMNY HARDTOP+SOFTTOP 1998- СТ ПЕР ДВ ОП ЛВ СЗЛ</t>
  </si>
  <si>
    <t>SUZUKI JIMNY HARDTOP+SOFTTOP 1998- СТ ПЕР ДВ ОП ПР СЗЛ</t>
  </si>
  <si>
    <t>LIANA 4Д, MPV 5Д  2001-</t>
  </si>
  <si>
    <t>SUZUKI LIANA 4Д СД+МИНИВЭН 2001-2006 СТ ВЕТР ЗЛ</t>
  </si>
  <si>
    <t>SUZUKI LIANA 4Д СД+МИНИВЭН 2001-2006 СТ ВЕТР ЗЛ+ШЕЛК/ЗЕРК</t>
  </si>
  <si>
    <t>SUZUKI LIANA 4Д СД+5Д МИНИВЭН  2006- СТ ВЕТР ЗЛ</t>
  </si>
  <si>
    <t>SUZUKI LIANA 4Д СД 2001-2006  СТ ВЕТР ЗЛГЛ</t>
  </si>
  <si>
    <t>SUZUKI LIANA МИН 2001-2006  МОЛД ДЛЯ СТ ВЕТР ВЕРХ</t>
  </si>
  <si>
    <t>SUZUKI LIANA 4Д СД 2001-2006  СТ ЗАДН ЗЛ</t>
  </si>
  <si>
    <t>SUZUKI LIANA СД 2001-2006  СТ ЗАДН ДВ ОП ЛВ ЗЛ+УО</t>
  </si>
  <si>
    <t>SUZUKI LIANA МИН 2001-2006  СТ ПЕР ДВ ОП ЛВ ЗЛ+УО</t>
  </si>
  <si>
    <t>SUZUKI LIANA МИН 2001-2006  СТ ЗАДН ДВ ОП ЛВ ЗЛ+УО</t>
  </si>
  <si>
    <t>SUZUKI LIANA СД 2001-2006  СТ ЗАДН ДВ ОП ПР ЗЛ+УО</t>
  </si>
  <si>
    <t>SUZUKI LIANA МИН 2001-2006  СТ ПЕР ДВ ОП ПР ЗЛ+УО</t>
  </si>
  <si>
    <t>SUZUKI LIANA МИН 2001-2006  СТ ЗАДН ДВ ОП ПР ЗЛ+УО</t>
  </si>
  <si>
    <t>SJ410 JEEP 1982-1990</t>
  </si>
  <si>
    <t>1982-1990</t>
  </si>
  <si>
    <t>SUZUKI SJ410 JEEP 1982-1990 СТ ВЕТР</t>
  </si>
  <si>
    <t>SUZUKI SJ410 JEEP 1982-1990 СТ ВЕТР ЗЛ</t>
  </si>
  <si>
    <t>SUZUKI SJ410 JEEP 1982-1990 РЕЗ ПРОФ ДЛЯ СТ ВЕТР</t>
  </si>
  <si>
    <t>SUZUKI SJ410 JEEP 1982-1990 СТ ПЕР ДВ ОП ЛВ</t>
  </si>
  <si>
    <t>SUZUKI SJ410 JEEP 1982-1990 СТ ПЕР ДВ ОП ПР</t>
  </si>
  <si>
    <t>SPLASH 2008-</t>
  </si>
  <si>
    <t>SUZUKI SPLASH ХБ 2008- СТ ЗАДН ДВ ТЗЛ ЭО ЗЛ+УО+ОТВ</t>
  </si>
  <si>
    <t>SUZUKI SPLASH ХБ 2008- СТ ЗАДН ДВ  ЗЛ+УО+ОТВ</t>
  </si>
  <si>
    <t>SWIFT 1983-1989</t>
  </si>
  <si>
    <t>SUZUKI SWIFT 1983-1989 СТ ВЕТР ГЛ</t>
  </si>
  <si>
    <t>SUZUKI SWIFT 1983-1989 СТ ВЕТР</t>
  </si>
  <si>
    <t>SUZUKI SWIFT 1983-1989 УСТ КОМПЛ ДЛЯ СТ ВЕТР</t>
  </si>
  <si>
    <t>SWIFT III GTI 3Д 1988-2005</t>
  </si>
  <si>
    <t>1988-2005</t>
  </si>
  <si>
    <t>SUZUKI SWIFT MK III GTI 1988-2005 СТ ВЕТР ГЛ/SUBARU JUSTY II 3P 1996- СТ ВЕТР ГЛ</t>
  </si>
  <si>
    <t>SUZUKI SWIFT MK III GTI 1988-2005 СТ ВЕТР ГЛГЛ/SUBARU JUSTY II 3P 1996- СТ ВЕТР ЗЛЗЛ</t>
  </si>
  <si>
    <t>SUZUKI SWIFT MK III GTI 1988-2005 СТ ВЕТР/SUBARU JUSTY II 3P 1996- СТ ВЕТР</t>
  </si>
  <si>
    <t>SUZUKI SWIFT МК III GTI 1988-2005 МОЛД  ДЛЯ СТ ВЕТР</t>
  </si>
  <si>
    <t>SUZUKI SWIFT MK III  GTI ХБ 1988-2005 СТ ЗАДН ЭО ГЛ/SUBARU JUSTY II 1996- СТ ЗАДН ГЛ</t>
  </si>
  <si>
    <t>SUZUKI SWIFT MK III  GTI ХБ 1988-2005 СТ ЗАДН ЭО/SUBARU JUSTY II 96 СТ ЗАДН</t>
  </si>
  <si>
    <t>SUZUKI SWIFT MK III  GTI 1988-2005 СТ ПЕР ДВ ОП ЛВ ГЛ/SUBARU JUSTY II 96 HB СТ ПЕР ДВ ОП ЛВ ГЛ</t>
  </si>
  <si>
    <t>SUZUKI SWIFT MK III  GTI 1988-2005 СТ БОК ПОД ЛВ ГЛ ОТКР/SUBARU JUSTY II 96 HB 3Д СТ ЗАДН НЕП ЛВ ГЛ+ОТКР</t>
  </si>
  <si>
    <t>SUZUKI SWIFT MK III  GTI 1988-2005 СТ ПЕР ДВ ОП ЛВ/SUBARU JUSTY II 96 HB 3Д СТ ПЕР ДВ ОП ЛВ</t>
  </si>
  <si>
    <t>SUZUKI SWIFT MK III  GTI 1988-2005 СТ ПЕР ДВ ОП ПР ГЛ/SUBARU JUSTY II 96 HB 3Д СТ ПЕР ДВ ОП ПР ГЛ</t>
  </si>
  <si>
    <t>SUZUKI SWIFT MK III  GTI 1988-2005 СТ БОК ПОД ПР ГЛ ОТКР/SUBARU JUSTY II 96 HB 3Д СТ ЗАДН НЕП ПР ГЛ+ОТКР</t>
  </si>
  <si>
    <t>SUZUKI SWIFT MK III  GTI 1988-2005 СТ ПЕР ДВ ОП ПР/SUBARU JUSTY II 96 HB 3Д СТ ПЕР ДВ ОП ПР ГЛ</t>
  </si>
  <si>
    <t>SWIFT III GLX 5Д 1989-2005</t>
  </si>
  <si>
    <t>1989-2005</t>
  </si>
  <si>
    <t>SUZUKI SWIFT III GLX 5Д 1989-2005 СТ ВЕТР ГЛ/SUBARU JUSTY II 5Д 1996-  СТ ВЕТР ГЛ</t>
  </si>
  <si>
    <t>SUZUKI SWIFT III GLX 5Д 1989-2005 СТ ВЕТР/SUBARU JUSTY II 5Д 1996-  СТ ВЕТР</t>
  </si>
  <si>
    <t>SUZUKI SWIFT III GLX 5Д 1989-2005  МОЛД  ДЛЯ СТ ВЕТР</t>
  </si>
  <si>
    <t>SUZUKI SWIFT III GLX 5Д ХБ 1989-2005 СТ ЗАДН ГЛ/SUBARU JUSTY II 5Д 1996- СТ ЗАДН ДВ ГЛ</t>
  </si>
  <si>
    <t>SUZUKI SWIFT III GLX 5Д 1989-2005 СТ ПЕР ДВ ОП ЛВ ГЛ/SUBARU JUSTY II 5Д 1996- СТ ПЕР ДВ ОП ЛВ ГЛ</t>
  </si>
  <si>
    <t>SUZUKI SWIFT III GLX 5Д 1989-2005 СТ БОК ЛВ ГЛ/SUBARU JUSTY II 5Д 1996- СТ БОК НЕП ЛВ ГЛ</t>
  </si>
  <si>
    <t>SUZUKI SWIFT III GLX 5Д 1989-2005 СТ БОК ПР ГЛ/SUBARU JUSTY II 5Д 1996- СТ БОК НЕП ПР ГЛ</t>
  </si>
  <si>
    <t>SUZUKI SWIFT III GLX 5Д 1989-2005 СТ ПЕР ДВ ОП ПР/SUBARU JUSTY II 5Д 1996- СТ ПЕР ДВ ОП ПР</t>
  </si>
  <si>
    <t>SWIFT 3Д+5Д 2005-</t>
  </si>
  <si>
    <t>SUZUKI SWIFT 3Д+5Д 2005-  СТ ВЕТР ЗЛ</t>
  </si>
  <si>
    <t>SUZUKI SWIFT 5Д ХБ 2005-  СТ ЗАДН ДВ ЗЛ+УО</t>
  </si>
  <si>
    <t>SUZUKI SWIFT 5Д 2005- СТ ПЕР ДВ ОП ЛВ ЗЛ</t>
  </si>
  <si>
    <t>SUZUKI SWIFT 5Д 2005- СТ ЗАДН ДВ ОП ЛВ ЗЛ</t>
  </si>
  <si>
    <t>SUZUKI SWIFT 5Д 2005- СТ ПЕР ДВ ОП ПР ЗЛ+УО</t>
  </si>
  <si>
    <t>SUZUKI SWIFT 5Д 2005- СТ ЗАДН ДВ ОП ПР ЗЛ</t>
  </si>
  <si>
    <t>SUZUKI SWIFT 5Д 2005- ФОРТ ЗАДН НЕПОД ПРЗЛ</t>
  </si>
  <si>
    <t>SWIFT 2010</t>
  </si>
  <si>
    <t>SUZUKI SWIFT 2010-СТ ВЕТР ЗЛ+ИНК</t>
  </si>
  <si>
    <t>SUZUKI SWIFT  10- СТ ПЕР ДВ ОП ЛВ ЗЛ+УО</t>
  </si>
  <si>
    <t>SUZUKI SWIFT  10- СТ ЗАДН ДВ ОП ЛВ ЗЛ+УО</t>
  </si>
  <si>
    <t>SUZUKI SWIFT ХБ 10- ФОРТ ЗАДН ДВ ЛВ ЗЛ</t>
  </si>
  <si>
    <t>SUZUKI SWIFT  10- СТ ЗАДН ДВ ОП ЛВ СР+УО</t>
  </si>
  <si>
    <t>SUZUKI SWIFT ХБ 10- ФОРТ ЗАДН ДВ ЛВ СР</t>
  </si>
  <si>
    <t>SUZUKI SWIFT  10- СТ ПЕР ДВ ОП ПР ЗЛ+УО</t>
  </si>
  <si>
    <t>SUZUKI SWIFT  10- СТ ЗАДН ДВ ОП ПР ЗЛ+УО</t>
  </si>
  <si>
    <t>SUZUKI SWIFT ХБ 10- ФОРТ ЗАДН ДВ ПР ЗЛ</t>
  </si>
  <si>
    <t>SUZUKI SWIFT 10- СТ ЗАДН ДВ ОП ПР СР+УО</t>
  </si>
  <si>
    <t>SUZUKI SWIFT ХБ 10- ФОРТ ЗАДН ДВ ПР СР</t>
  </si>
  <si>
    <t>SX4 SUV 2006-</t>
  </si>
  <si>
    <t>SUZUKI SX4 SUV 2006-/FIAT SEDICI SUV 2006- СТ ВЕТР ЗЛ /SUZUKI SX4 SUV 2006-/FIAT SEDICI SUV 2006- СТ ВЕТР ЗЛ</t>
  </si>
  <si>
    <t>SUZUKI SX4 SUV 2006- молдинг ветрового стекла</t>
  </si>
  <si>
    <t>SUZUKI SX4 SUV 2006-/FIAT SEDICI SUV 2006- СТ ПЕР ДВ ОП ЛВ ЗЛ/SUZUKI SX4 SUV 2006-/FIAT SEDICI SUV 2006-  СТ ПЕР ДВ ОП ЛВ ЗЛ</t>
  </si>
  <si>
    <t>SUZUKI SX4 SUV 2006-/FIAT SEDICI SUV 2006- СТ БОК ПЕР НЕП ЛВ ЗЛ+ИНК/SUZUKI SX4 SUV 2006-/FIAT SEDICI SUV 2006- СТ БОК ПЕР НЕП ЛВ ЗЛ+ИНК</t>
  </si>
  <si>
    <t>SUZUKI SX4 SUV 2006-/FIAT SEDICI SUV 2006- СТ ЗАДН ДВ ОП ЛВ ЗЛ/SUZUKI SX4 SUV 2006-/FIAT SEDICI SUV 2006-  СТ ЗАДН ДВ ОП ЛВ ЗЛ</t>
  </si>
  <si>
    <t>SUZUKI SX4 SUV 2006-/FIAT SEDICI SUV 2006- СТ ПЕР ДВ ОП ПР ЗЛ/SUZUKI SX4 SUV 2006-/FIAT SEDICI SUV 2006-  СТ ПЕР ДВ ОП ПР ЗЛ</t>
  </si>
  <si>
    <t>SUZUKI SX4 SUV 2006-/FIAT SEDICI SUV 2006- СТ БОК ПЕР НЕП ПР ЗЛ+ИНК/SUZUKI SX4 SUV 2006-/FIAT SEDICI SUV 2006- СТ БОК ПЕР НЕП ПР ЗЛ+ИНК</t>
  </si>
  <si>
    <t>SUZUKI SX4 SUV 2006-/FIAT SEDICI SUV 2006- СТ ЗАДН ДВ ОП ПР ЗЛ/SUZUKI SX4 SUV 2006-/FIAT SEDICI SUV 2006-  СТ ЗАДН ДВ ОП ПР ЗЛ</t>
  </si>
  <si>
    <t>SX4 SUV/ FIAT SEDICI SUV 2006-</t>
  </si>
  <si>
    <t>SUZUKI SX4 SUV 2006-/FIAT SEDICI SUV 2006- СТ ВЕТР ЗЛ</t>
  </si>
  <si>
    <t>SUZUKI SX4 SUV ВН 2006-/FIAT SEDICI SUV 2006- СТ ЗАДН ЗЛ ПР</t>
  </si>
  <si>
    <t>SUZUKI SX4 SUV 2006-/FIAT SEDICI SUV 2006-  СТ ПЕР ДВ ОП ЛВ ЗЛ</t>
  </si>
  <si>
    <t>SUZUKI SX4 SUV 2006-/FIAT SEDICI SUV 2006- СТ БОК ПЕР НЕП ЛВ ЗЛ+ИНК</t>
  </si>
  <si>
    <t>SUZUKI SX4 SUV 2006-/FIAT SEDICI SUV 2006-  СТ ЗАДН ДВ ОП ЛВ ЗЛ</t>
  </si>
  <si>
    <t>SUZUKI SX4 SUV 2006-/FIAT SEDICI SUV 2006-  СТ ПЕР ДВ ОП ПР ЗЛ</t>
  </si>
  <si>
    <t>SUZUKI SX4 SUV 2006-/FIAT SEDICI SUV 2006- СТ БОК ПЕР НЕП ПР ЗЛ+ИНК</t>
  </si>
  <si>
    <t>SUZUKI SX4 SUV 2006-/FIAT SEDICI SUV 2006-  СТ ЗАДН ДВ ОП ПР ЗЛ</t>
  </si>
  <si>
    <t>VITARA 1988-03.1998</t>
  </si>
  <si>
    <t>1988-1998</t>
  </si>
  <si>
    <t>SUZUKI VITARA 3Д+5Д 1988-1998  СТ ВЕТР ГЛ</t>
  </si>
  <si>
    <t>SUZUKI VITARA 3Д+5Д 1988-1998  СТ ВЕТР ГЛГЛ</t>
  </si>
  <si>
    <t>SUZUKI VITARA 3Д+5Д 1988-1998  СТ ВЕТР БР</t>
  </si>
  <si>
    <t>SUZUKI VITARA 3Д+5Д 1988-1998  СТ ВЕТР БРГЛ</t>
  </si>
  <si>
    <t>SUZUKI VITARA 3Д+5Д 1988-1998  СТ ВЕТР</t>
  </si>
  <si>
    <t>SUZUKI VITARA 3Д+5Д 1988-1998  СТ ВЕТР ЗЛ</t>
  </si>
  <si>
    <t>SUZUKI VITARA 1989-1996 УСТ КОМПЛ ДЛЯ СТ ВЕТР ДЛЯ СТ ВЕТР</t>
  </si>
  <si>
    <t>SUZUKI VITARA 3Д+5Д 1988-1998  МОЛД  ДЛЯ СТ ВЕТР</t>
  </si>
  <si>
    <t>SUZUKI VITARA 3Д+5Д ВН 1988-1998  СТ ЗАДН ГЛ</t>
  </si>
  <si>
    <t>SUZUKI VITARA 3Д+5Д ВН 1988-1998  СТ ЗАДН ЗЛ</t>
  </si>
  <si>
    <t>SUZUKI VITARA 3Д 1988-1998  СТ ПЕР ДВ ОП ЛВ ГЛ</t>
  </si>
  <si>
    <t>SUZUKI VITARA 5Д 1988-1998  СТ ПЕР ДВ ОП ЛВ ГЛ+ФИТ</t>
  </si>
  <si>
    <t>SUZUKI VITARA 5Д 1988-1998  СТ БОК НЕП ЛВ ГЛ</t>
  </si>
  <si>
    <t>SUZUKI VITARA 3Д 1988-1998  СТ ПЕР ДВ ОП ЛВ ЗЛ</t>
  </si>
  <si>
    <t>SUZUKI VITARA 5Д 1988-1998  СТ ПЕР ДВ ОП ЛВ ЗЛ</t>
  </si>
  <si>
    <t>SUZUKI VITARA 3Д 1988-1998  СТ ПЕР ДВ ОП ПР ГЛ</t>
  </si>
  <si>
    <t>SUZUKI VITARA 5Д 1988-1998  СТ ПЕР ДВ ОП ПР ГЛ+ФИТ</t>
  </si>
  <si>
    <t>SUZUKI VITARA 1988-1998  СТ ЗАДН ДВ ОП ПР ГЛ+ФИТ</t>
  </si>
  <si>
    <t>SUZUKI VITARA 5Д 1988-1998  СТ ФОРТ ЗАДН НЕП ПР ГЛ</t>
  </si>
  <si>
    <t>SUZUKI VITARA 3Д 1988-1998  СТ ПЕР ДВ ОП ПР БР</t>
  </si>
  <si>
    <t>SUZUKI VITARA 3Д 1988-1998  СТ ПЕР ДВ ОП ПР ЗЛ</t>
  </si>
  <si>
    <t>SUZUKI VITARA 5Д 1988-1998  СТ ПЕР ДВ ОП ПР ЗЛ</t>
  </si>
  <si>
    <t>VITARA 1989-1998</t>
  </si>
  <si>
    <t>SUZUKI VITARA 3Д 1988-1998  СТ ПЕР ДВ ОП ПР</t>
  </si>
  <si>
    <t>VITARA X90 1996-1998</t>
  </si>
  <si>
    <t>1996-1998</t>
  </si>
  <si>
    <t>SUZUKI X90 1996-1998  СТ ВЕТР ЗЛ</t>
  </si>
  <si>
    <t>SUZUKI X90 1996-1998  СТ ПЕР ДВ ОП ЛВ ЗЛ</t>
  </si>
  <si>
    <t>SUZUKI X90 1996-1998  СТ ФОРТ ПЕР НЕП ЛВ ЗЛ</t>
  </si>
  <si>
    <t>SUZUKI X90 1996-1998  СТ ФОРТ ПЕР НЕП ПР ЗЛ</t>
  </si>
  <si>
    <t>VITARA GRAND 1998-2005</t>
  </si>
  <si>
    <t>SUZUKI GRAND VITARA 1998-2005 СТ ВЕТР СЗЛ</t>
  </si>
  <si>
    <t>SUZUKI GRAND VITARA 2003-2005 СТ ВЕТР СЗЛ</t>
  </si>
  <si>
    <t>SUZUKI GRAND VITARA 1998-2005 СТ ВЕТР СВ СЗЛГЛ</t>
  </si>
  <si>
    <t>SUZUKI GRAND VITARA 2003-2005 СТ ВЕТР СЗЛГЛ</t>
  </si>
  <si>
    <t>SUZUKI GRAND VITARA 2003-2005 СТ ВЕТР СВ ЗЛ+УО (2 уплотнителя в нижней части стекла)</t>
  </si>
  <si>
    <t>SUZUKI GRAND VITARA 1998-2005 МОЛД  ДЛЯ СТ ВЕТР</t>
  </si>
  <si>
    <t>SUZUKI GRAND VITARA ВН 1998-2005 СТ ЗАДН СЗЛ+УО</t>
  </si>
  <si>
    <t>SUZUKI GRAND VITARA 1998-2005 СТ ПЕР ДВ ОП ЛВ СЗЛ</t>
  </si>
  <si>
    <t>SUZUKI GRAND VITARA 1998-2005 СТ ПЕР ДВ ОП ЛВ УДЛ 2ОТВ СЗЛ</t>
  </si>
  <si>
    <t>SUZUKI GRAND VITARA 1998-2005 СТ ЗАДН ДВ ОП ЛВ СЗЛ</t>
  </si>
  <si>
    <t>SUZUKI GRAND VITARA 1998-2005 СТ ЗАДН ДВ НЕП ЛВ СЗЛ</t>
  </si>
  <si>
    <t>SUZUKI GRAND VITARA 1998-2005 СТ ПЕР ДВ ОП ПР СЗЛ</t>
  </si>
  <si>
    <t>SUZUKI GRAND VITARA 1998-2005 СТ ЗАДН ДВ ОП ПР СЗЛ</t>
  </si>
  <si>
    <t>SUZUKI GRAND VITARA 1998-2005 СТ ЗАДН ДВ ОП</t>
  </si>
  <si>
    <t>SUZUKI GRAND VITARA 1998-2005 СТ ЗАДН ДВ НЕП ПР СЗЛ</t>
  </si>
  <si>
    <t>VITARA GRAND 2005-</t>
  </si>
  <si>
    <t>SUZUKI GRAND VITARA 2005- СТ ВЕТР ЗЛ</t>
  </si>
  <si>
    <t>SUZUKI GRAND VITARA 2005-СТ ВЕТР ЗЛСР</t>
  </si>
  <si>
    <t>SUZUKI GRAND VITARA 2005- МОЛД ДЛЯ СТ ВЕТР</t>
  </si>
  <si>
    <t>SUZUKI GRAND VITARA 2005- СТ ПЕР ДВ ОП ЛВ ЗЛ+УО</t>
  </si>
  <si>
    <t>SUZUKI GRAND VITARA 2005- СТ ЗАДН ДВ ОП ЛВ ЗЛ+УО</t>
  </si>
  <si>
    <t>SUZUKI GRAND VITARA 2005- СТ ФОРТ ЗАДН НЕП ЛВ ЗЛ</t>
  </si>
  <si>
    <t>SUZUKI GRAND VITARA 2005- СТ ПЕР ДВ ОП ПР ЗЛ+УО</t>
  </si>
  <si>
    <t>SUZUKI GRAND VITARA 2005- СТ ЗАДН ДВ ОП ПР ЗЛ+УО</t>
  </si>
  <si>
    <t>SUZUKI GRAND VITARA 2005- СТ ФОРТ ЗАДН НЕП ПР ЗЛ</t>
  </si>
  <si>
    <t>SUZUKI GRAND VITARA ВН 05- СТ ЗАДН ЗЛ УО</t>
  </si>
  <si>
    <t>WAGON R+1997-2000</t>
  </si>
  <si>
    <t>SUZUKI WAGON R+ 1997-2000 СТ ВЕТР ЗЛ</t>
  </si>
  <si>
    <t>SUZUKI WAGON R+ 1997-2000 МОЛД  ДЛЯ СТ ВЕТР</t>
  </si>
  <si>
    <t>SUZUKI WAGON R+ МИН 1997-2000  СТ ЗАДН ЭО ЗЛ</t>
  </si>
  <si>
    <t>SUZUKI WAGON R+ 1997-2000  СТ БОК НЕП ПР ЗЛ</t>
  </si>
  <si>
    <t>WAGON R+ 2000-</t>
  </si>
  <si>
    <t>SUZUKI WAGON R+ 2000- СТ ВЕТР/OPEL AGILA /SUZ WAG R+99 СТ ВЕТР</t>
  </si>
  <si>
    <t>SUZUKI WAGON R+ 2000- СТ ВЕТР ЗЛ/OPEL AGILA /SUZ WAG R+99 СТ ВЕТР ЗЛ</t>
  </si>
  <si>
    <t>SUZUKI WAGON R+ 2000- МОЛД ДЛЯ СТ ВЕТР</t>
  </si>
  <si>
    <t>SUZUKI WAGON  R+ МИН 2000- СТ ЗАДН+VIN+УО/OPEL AGILA /SUZ WAG R+99 СТ ЗАДН ЭО УО</t>
  </si>
  <si>
    <t>SUZUKI WAGON  R+ МИН 2000- СТ ЗАДН ЗЛ+VIN+УО/OPEL AGILA /SUZ WAG R+99 СТ ЗАДН ЭО ЗЛ УО</t>
  </si>
  <si>
    <t>SUZUKI WAGON  R+ 2000- СТ ПЕР ДВ ОП ЛВ+ФИТ/OPEL AGILA /SUZ WAG R+99 СТ ПЕР ДВ ОП ЛВ УО</t>
  </si>
  <si>
    <t>SUZUKI WAGON  R+ 2000- СТ ФОРТ ПЕР НЕП ЛВ/OPEL AGILA /SUZ WAG R+99 СТ ПЕР ДВ НЕП ЛВ</t>
  </si>
  <si>
    <t>SUZUKI WAGON  R+ 2000- СТ ЗАДН ДВ ОП ЛВ+ФИТ/OPEL AGILA /SUZ WAG R+99 СТ ЗАДН ДВ ОП ЛВ УО</t>
  </si>
  <si>
    <t>SUZUKI WAGON  R+ 2000- СТ БОК НЕП ЛВ +ИНК/OPEL AGILA /SUZ WAG R+99 СТ БОК НЕП ЛВ+ИНК</t>
  </si>
  <si>
    <t>SUZUKI WAGON  R+ 2000- СТ ПЕР ДВ ОП ЛВ ЗЛ+УО/OPEL AGILA /SUZ WAG R+99 СТ ПЕР ДВ ОП ЛВ ЗЛ УО</t>
  </si>
  <si>
    <t>SUZUKI WAGON  R+ 2000- СТ ФОРТ ПЕР НЕП ЛВ ЗЛ/OPEL AGILA /SUZ WAG R+99 СТ ПЕР ДВ НЕП ЛВ ЗЛ</t>
  </si>
  <si>
    <t>SUZUKI WAGON  R+ 2000- СТ ЗАДН ДВ ОП ЛВ ЗЛ+УО/OPEL AGILA /SUZ WAG R+99 СТ ЗАДН ДВ ОП ЛВ ЗЛ+УО</t>
  </si>
  <si>
    <t>SUZUKI WAGON  R+ 2000- СТ БОК НЕП ЛВ ЗЛ+ИНК/OPEL AGILA /SUZ WAG R+99 СТ БОК НЕП ЛВ ЗЛ+ИНК</t>
  </si>
  <si>
    <t>SUZUKI WAGON  R+ 2000- СТ ПЕР ДВ ОП ПР+ФИТ/OPEL AGILA /SUZ WAG R+99 СТ ПЕР ДВ ОП ПР УО</t>
  </si>
  <si>
    <t>SUZUKI WAGON  R+ 2000- СТ ФОРТ ПЕР ДВ НЕП ПР/OPEL AGILA /SUZ WAG R+99 СТ ПЕР ДВ НЕП ПР</t>
  </si>
  <si>
    <t>SUZUKI WAGON  R+ 2000- СТ ЗАДН ДВ ОП ПР+ФИТ/OPEL AGILA /SUZ WAG R+99 СТ ЗАДН ДВ ОП ПР УО</t>
  </si>
  <si>
    <t>SUZUKI WAGON  R+ 2000- СТ БОК НЕП ПР +ИНК/OPEL AGILA /SUZ WAG R+99 СТ БОК НЕП ПР+ИНК</t>
  </si>
  <si>
    <t>SUZUKI WAGON  R+ 2000- СТ ПЕР ДВ ОП ПР ЗЛ+УО/OPEL AGILA /SUZ WAG R+99 СТ ПЕР ДВ ОП ПР ЗЛ УО</t>
  </si>
  <si>
    <t>SUZUKI WAGON  R+ 2000- СТ ФОРТ ПЕР НЕП ПР ЗЛ/OPEL AGILA /SUZ WAG R+99 СТ ПЕР ДВ НЕП ПР ЗЛ</t>
  </si>
  <si>
    <t>SUZUKI WAGON  R+ 2000- СТ ЗАДН ДВ ОП ПР ЗЛ+УО/OPEL AGILA /SUZ WAG R+99 СТ ЗАДН ДВ ОП ПР ЗЛ УО</t>
  </si>
  <si>
    <t>SUZUKI WAGON  R+ 2000- СТ БОК НЕП ПР ЗЛ+ИНК/OPEL AGILA /SUZ WAG R+99 СТ БОК НЕП ПР ЗЛ+ИНК</t>
  </si>
  <si>
    <t>AURIS 5Д 2007-</t>
  </si>
  <si>
    <t>TOYOTA AURIS 2007- СТ ВЕТР ЗЛ АКУСТИК+ДД+VIN+УО+ПР РУЛЬ</t>
  </si>
  <si>
    <t>TOYOTA AURIS 2007- СТ ВЕТР ЗЛ АКУСТИК+ДД+УО</t>
  </si>
  <si>
    <t>TOYOTA AURIS 2007- СТ ВЕТР ЗЛ АКУСТИК+УО</t>
  </si>
  <si>
    <t>TOYOTA AURIS 3D+5D 07 СТ ВЕТР ЗЛ+ДД+УО</t>
  </si>
  <si>
    <t>TOYOTA AURIS 3D+5D 07 СТ ВЕТР ЗЛ+УО</t>
  </si>
  <si>
    <t>TOYOTA AURIS 2007- СТ ПЕР ДВ ОП ЛВ ЗЛ+УО</t>
  </si>
  <si>
    <t>TOYOTA AURIS 2007- СТ БОК ПЕР НЕП ЛВ ЗЛ</t>
  </si>
  <si>
    <t>TOYOTA AURIS 2007- СТ ЗАДН ДВ ОП ЛВ ЗЛ+УО</t>
  </si>
  <si>
    <t>TOYOTA AURIS 2007- СТ ЗАДН ДВ ОП ЛВ СР+ДО</t>
  </si>
  <si>
    <t>TOYOTA AURIS 2007- ФОРТ ЗАДН ЛВ СР</t>
  </si>
  <si>
    <t>TOYOTA AURIS 2007- СТ ФОРТ ЗАДН НЕП ЛЕВ ЗЛ</t>
  </si>
  <si>
    <t>TOYOTA AURIS 2007- СТ ПЕР ДВ ОП ПР ЗЛ+УО</t>
  </si>
  <si>
    <t>TOYOTA AURIS 2007- СТ БОК ПЕР НЕП ПР ЗЛ+УО</t>
  </si>
  <si>
    <t>TOYOTA AURIS 2007- СТ ЗАДН ДВ ОП ПР ЗЛ+УО</t>
  </si>
  <si>
    <t>TOYOTA AURIS 2007- СТ ЗАДН ДВ ОП ПР СР+ДО</t>
  </si>
  <si>
    <t>TOYOTA AURIS 2007- ФОРТ ЗАДН ПР СР</t>
  </si>
  <si>
    <t>TOYOTA AURIS 2007- СТ ФОРТ ЗАДН НЕП ПР ЗЛ</t>
  </si>
  <si>
    <t>AVENSIS I (T22) 1998-2003</t>
  </si>
  <si>
    <t>TOYOTA AVENSIS СД+ХБ+УН 02/1998-2003 СТ ВЕТР ЗЛ</t>
  </si>
  <si>
    <t>TOYOTA AVENSIS СД+ХБ+УН 02/1998-2003 СТ ВЕТР ЗЛГЛ</t>
  </si>
  <si>
    <t>TOYOTA AVENSIS 02/1998-2003 СТ ВЕТР ЗЛЗЛ</t>
  </si>
  <si>
    <t>TOYOTA AVENSIS СД+ХБ+УН 02/1998-2003  СТ ВЕТР ЗЛЗЛ ЭО</t>
  </si>
  <si>
    <t>TOYOTA AVENSIS СД+ХБ+УН 02/1998-2003 СТ ВЕТ ЭО ЗЛ+ФИТ</t>
  </si>
  <si>
    <t>TOYOTA AVENSIS 1998-2003 МОЛД  ДЛЯ СТ ВЕТР</t>
  </si>
  <si>
    <t>TOYOTA AVENSIS УН 02/1998-2003 СТ ЗАДН ЗЛ+УО</t>
  </si>
  <si>
    <t>TOYOTA AVENSIS ХБ 02/1998-2003 СТ ЗАДН ЗЛ+СТОП</t>
  </si>
  <si>
    <t>TOYOTA AVENSIS СД 02/1998-2003 СТ ЗАДН ЭО ЗЛ+ФИТ</t>
  </si>
  <si>
    <t>TOYOTA AVENSIS СД+ХБ+УН 02/1998-2003 СТ ПЕР ДВ ОП ЛВ ЗЛ+УО</t>
  </si>
  <si>
    <t>TOYOTA AVENSIS СД 02/1998-2003  СТ ЗАДН ДВ ОП ЛВ ЗЛ+УО</t>
  </si>
  <si>
    <t>TOYOTA AVENSIS СД 02/1998-2003 СТ БОК НЕП ЛВ ЗЛ</t>
  </si>
  <si>
    <t>TOYOTA AVENSIS СД+ХБ+УН 02/1998-2003 СТ ПЕР ДВ ОП ПР ЗЛ+УО</t>
  </si>
  <si>
    <t>TOYOTA AVENSIS СД 02/1998-2003  СТ ЗАДН ДВ ОП ПР ЗЛ+УО</t>
  </si>
  <si>
    <t>TOYOTA AVENSIS СД 02/1998-2003 СТ БОК НЕП ПР ЗЛ</t>
  </si>
  <si>
    <t>AVENSIS VERSO 2001-</t>
  </si>
  <si>
    <t>TOYOTA AVENSIS VERSO 2001- СТ ВЕТР</t>
  </si>
  <si>
    <t>TOYOTA AVENSIS VERSO ЛВРУЛЬ 2001- СТ ВЕТР ЗЛ</t>
  </si>
  <si>
    <t>TOYOTA AVENSIS VERSO 2001- МОЛД ДЛЯ СТ ВЕТР ВЕРХ</t>
  </si>
  <si>
    <t>AVENSIS II 2003-2008</t>
  </si>
  <si>
    <t>TOYOTA AVENSIS ХБ+СД+УН 07/2006-2008 СТ ВЕТР ЗЛ ЭО+ДД</t>
  </si>
  <si>
    <t>TOYOTA AVENSIS ХБ+СД+УН 2003-2008  СТ ВЕТР ЗЛ</t>
  </si>
  <si>
    <t>TOYOTA AVENSIS ХБ+СД+УН 2003-2008  СТ ВЕТР ЗЛ ЭО</t>
  </si>
  <si>
    <t>TOYOTA AVENSIS ХБ+СД+УН 2003-07/2006  СТ ВЕТР ЗЛ ЭО+ДД</t>
  </si>
  <si>
    <t>TOYOTA AVENSIS ХБ+СД+УН 08/2006-2008 СТ ВЕТР ЗЛ ЭО+ДД</t>
  </si>
  <si>
    <t>TOYOTA AVENSIS ХБ+СД+УН 2003-07/2006 СТ ВЕТР ЗЛ+ДД</t>
  </si>
  <si>
    <t>TOYOTA AVENSIS ХБ+СД+УН 2003-07/2006  СТ ВЕТР ЗЛ+ДД+VIN</t>
  </si>
  <si>
    <t>TOYOTA AVENSIS ХБ+СД+УН  08/2006-2008 СТ ВЕТР ЗЛ+ДД+VIN</t>
  </si>
  <si>
    <t>TOYOTA AVENSIS ХБ+СД+УН 2003-2008 СТ ВЕТР ЗЛ+VIN</t>
  </si>
  <si>
    <t>TOYOTA AVENSIS ХБ+СД+УН 2003-2008  МОЛД  ДЛЯ СТ ВЕТР</t>
  </si>
  <si>
    <t>TOYOTA AVENSIS ХБ+СД+УН 2003-2008 МОЛД ДЛЯ СТ ВЕТР</t>
  </si>
  <si>
    <t>TOYOTA AVENSIS УН 2003-2008  СТ ЗАДН ДВ ЗЛ+УО</t>
  </si>
  <si>
    <t>TOYOTA AVENSIS ХБ 2003-2008  СТ ЗАДН ЗЛ+СТОП+УО</t>
  </si>
  <si>
    <t>TOYOTA AVENSIS СД 2003-2008  СТ ЗАДН ЗЛ+АНТ</t>
  </si>
  <si>
    <t>TOYOTA AVENSIS УН 2003-2008  СТ ЗАДН ДВ ТСР+УО</t>
  </si>
  <si>
    <t>TOYOTA AVENSIS УН 2003-2008 СТ ЗАДН ДВ ОП ЛВ ЗЛ+УО</t>
  </si>
  <si>
    <t>TOYOTA AVENSIS УН 2003-2008 СТ БОК ЛВ+ИНК</t>
  </si>
  <si>
    <t>TOYOTA AVENSIS УН 2003-2008 СТ ЗАДН ДВ НЕП ЛВ ЗЛ</t>
  </si>
  <si>
    <t>TOYOTA AVENSIS УН 2003-2008 СТ ПЕР ДВ ОП ЛВ ЗЛ+УО</t>
  </si>
  <si>
    <t>TOYOTA AVENSIS ХБ 2003-2008 СТ ЗАДН ДВ НЕП ЛВ ЗЛ</t>
  </si>
  <si>
    <t>TOYOTA AVENSIS УН 2003-2008 СТ БОК ЛВ СР ИНК+АНТ+ТВ АНТ</t>
  </si>
  <si>
    <t>TOYOTA AVENSIS УН 2003-2008 СТ БОК ЛВ ТСР+ИНК</t>
  </si>
  <si>
    <t>TOYOTA AVENSIS УН 2003-2008 СТ ЗАДН ДВ НЕП ЛВ TСР</t>
  </si>
  <si>
    <t>TOYOTA AVENSIS УН 2003-2008 СТ ЗАДН ДВ ОП ПР ЗЛ+УО</t>
  </si>
  <si>
    <t>TOYOTA AVENSIS УН 2003-2008 СТ БОК ПР ЗЛ+ИНК</t>
  </si>
  <si>
    <t>TOYOTA AVENSIS УН 2003-2008 СТ ЗАДН ДВ НЕП ПР ЗЛ</t>
  </si>
  <si>
    <t>TOYOTA AVENSIS УН 2003-2008 СТ ПЕР ДВ ОП ПР ЗЛ+УО</t>
  </si>
  <si>
    <t>TOYOTA AVENSIS ХБ 2003-2008 СТ ЗАДН ДВ НЕП ПР ЗЛ</t>
  </si>
  <si>
    <t>TOYOTA AVENSIS УН 2003-2008 СТ БОК ПР ТСР+ИНК</t>
  </si>
  <si>
    <t>TOYOTA AVENSIS УН 2003-2008 СТ БОК ПР ТСР АНТ+ИНК</t>
  </si>
  <si>
    <t>TOYOTA AVENSIS УН 2003-2008 СТ ЗАДН ДВ НЕП ПР TСР</t>
  </si>
  <si>
    <t>AVENSIS УН 2008-</t>
  </si>
  <si>
    <t>TOYOTA AVENSIS 2008- СТ ВЕТР ЗЛ+АКУСТИК+ДД+УО</t>
  </si>
  <si>
    <t>TOYOTA AVENSIS 2008- СТ ВЕТР ЗЛ+АКУСТИК+УО</t>
  </si>
  <si>
    <t>TOYOTA AVENSIS 2008- СТ ВЕТР ЗЛ+АКУСТИК+ДД</t>
  </si>
  <si>
    <t>TOYOTA AVENSIS 2008- СТ ВЕТР ЗЛ+АКУСТИК+ДД+ИНК</t>
  </si>
  <si>
    <t>TOYOTA AVENSIS 2008- СТ ВЕТР ЗЛ+АКУСТИК+ЭО+ДД+ИНК</t>
  </si>
  <si>
    <t>TOYOTA AVENSIS 08- СТ ВЕТР ЗЛ+АК+ЭО+ДО</t>
  </si>
  <si>
    <t>TOYOTA AVENSIS УН 2008- СТ ФОРТ ПР ЗЛ</t>
  </si>
  <si>
    <t>TOYOTA AVENSIS УН 2008- СТ ФОРТ ЛВ ЗЛ</t>
  </si>
  <si>
    <t>AYGO 2005-</t>
  </si>
  <si>
    <t>TOYOTA AYGO 2005-  СТ ВЕТР ЗЛ/PEUGEOT 107 CIT C1 TYT AYGO 2005- СТ ВЕТР ЗЛ</t>
  </si>
  <si>
    <t>TOYOTA AYGO ХБ 2005- СТ ПОД ЗАДН ЭО ЗЛ ОТКР</t>
  </si>
  <si>
    <t>TOYOTA AYGO 2005-  СТ ПЕР ДВ ОП ЛВ ЗЛ/PEUGEOT 107 3Д 2005- СТ ПЕР ДВ ОП ЛВ ЗЛ</t>
  </si>
  <si>
    <t>TOYOTA AYGO 3Д 2005- СТ БОК ЛВ ЗЛ</t>
  </si>
  <si>
    <t>TOYOTA AYGO 2005-  СТ ПЕР ДВ ОП ЛВ ЗЛ/PEUGEOT 107 5Д 2005- СТ ПЕР ДВ ОП ЛВ ЗЛ</t>
  </si>
  <si>
    <t>TOYOTA AYGO 5Д 2005- СТ БОК ПОД ЛВ ЗЛ ОТКР+УО</t>
  </si>
  <si>
    <t>TOYOTA AYGO 2005-  СТ ПЕР ДВ ОП ПР ЗЛ/PEUGEOT 107 3Д 2005- СТ ПЕР ДВ ОП ПР ЗЛ</t>
  </si>
  <si>
    <t>TOYOTA AYGO 3Д 2005- СТ БОК ПР ЗЛ</t>
  </si>
  <si>
    <t>TOYOTA AYGO 2005-  СТ ПЕР ДВ ОП ПР ЗЛ/PEUGEOT 107 5Д 2005- СТ ПЕР ДВ ОП ПР ЗЛ</t>
  </si>
  <si>
    <t>TOYOTA AYGO 5Д 2005- СТ БОК ПОД ПР ЗЛ ОТКР+УО</t>
  </si>
  <si>
    <t>CAMRY СД+УН 10.1986-08.1991</t>
  </si>
  <si>
    <t>TOYOTA CAMRY СД+УН 1987-1991 СТ ВЕТР ГЛ</t>
  </si>
  <si>
    <t>TOYOTA CAMRY СД+УН 1987-1991 СТ ВЕТР ГЛГЛ</t>
  </si>
  <si>
    <t>TOYOTA CAMRY СД+УН 1987-1991 НАБ КЛИПС ДЛЯ СТ ВЕТР</t>
  </si>
  <si>
    <t>TOYOTA CAMRY СД+УН 1987-1991 МОЛД  ДЛЯ СТ ВЕТР ВЕРХ</t>
  </si>
  <si>
    <t>TOYOTA CAMRY СД+УН 1987-1991 СТ ПЕР ДВ ОП ЛВ ГЛ</t>
  </si>
  <si>
    <t>CAMRY 06.1991-09.1996</t>
  </si>
  <si>
    <t>TOYOTA CAMRY 1991-1996  СТ ВЕТР ГЛ</t>
  </si>
  <si>
    <t>TOYOTA CAMRY 1991-1996  СТ ВЕТР ГЛГЛ</t>
  </si>
  <si>
    <t>TOYOTA CAMRY 1991-1996  СТ ВЕТР ЗЛГЛ</t>
  </si>
  <si>
    <t>TOYOTA CAMRY 1991-1996  НАБ КЛИПС ДЛЯ СТ ВЕТР</t>
  </si>
  <si>
    <t>TOYOTA CAMRY 1991-1996  МОЛД  ДЛЯ СТ ВЕТР</t>
  </si>
  <si>
    <t>TOYOTA CAMRY 1991-1996  МОЛД  ДЛЯ СТ ВЕТР ВЕРХ</t>
  </si>
  <si>
    <t>TOYOTA CAMRY СД 1991-1996  СТ ЗАДН ГЛ</t>
  </si>
  <si>
    <t>TOYOTA CAMRY СД+УН 1991-1996  СТ ПЕР ДВ ОП ЛВ ГЛ ФИТ</t>
  </si>
  <si>
    <t>TOYOTA CAMRY СД 1991-1996  СТ ЗАДН ДВ ОП ЛВ ГЛ+ФИТ</t>
  </si>
  <si>
    <t>TOYOTA CAMRY СД+УН 1991-1996  СТ ПЕР ДВ ОП ПР ГЛ ФИТ</t>
  </si>
  <si>
    <t>TOYOTA CAMRY СД 1991-1996  СТ ЗАДН ДВ ОП ПР ГЛ+ФИТ</t>
  </si>
  <si>
    <t>CAMRY 10.1996-07.2001</t>
  </si>
  <si>
    <t>TOYOTA CAMRY 1996-2001  СТ ВЕТР ЗЛЗЛ</t>
  </si>
  <si>
    <t>TOYOTA CAMRY 1996-2001  МОЛД  ДЛЯ СТ ВЕТР ВЕРХ</t>
  </si>
  <si>
    <t>TOYOTA CAMRY 1996-2001  СТ ПЕР ДВ ОП ЛВ ЗЛ 2ОТВ</t>
  </si>
  <si>
    <t>TOYOTA CAMRY 1996-2001  СТ ЗАДН ДВ ОП ЛВ ЗЛ</t>
  </si>
  <si>
    <t>TOYOTA CAMRY 1996-2001  СТ ЗАДН ДВ ОП ПР ЗЛ</t>
  </si>
  <si>
    <t>TOYOTA CAMRY 1996-2001  СТ ПЕР ДВ ОП ПР ЗЛ+2ОТВ</t>
  </si>
  <si>
    <t>CAMRY 2001-2006</t>
  </si>
  <si>
    <t>TOYOTA CAMRY 2001-2006 СТ ВЕТР ЗЛГЛ+ДД+VIN</t>
  </si>
  <si>
    <t>TOYOTA CAMRY 2001-2006  МОЛД ДЛЯ СТ ВЕТР</t>
  </si>
  <si>
    <t>TOYOTA CAMRY СД 2001-2006  СТ ЗАДН ЗЛ+СТОП /TOYOTA CAMRY СД LHD 2001-2006 СТ ЗАДН ЗЛ+СТОП</t>
  </si>
  <si>
    <t>TOYOTA CAMRY СЕД LHD 2001-2006  СТ ЗАДН ДВ ОП ЛВ ЗЛ/ TOYOTA CAMRY СД 2001-2006 СТ ЗАДН ДВ ОП ЛВ ЗЛ</t>
  </si>
  <si>
    <t>TOYOTA CAMRY СЕД LHD 2001-2006  СТ ЗАДН ДВ ОП ПР ЗЛ/ TOYOTA CAMRY СД 2001-2006 СТ ЗАДН ДВ ОП ПР ЗЛ</t>
  </si>
  <si>
    <t>CAMRY VI 2006-</t>
  </si>
  <si>
    <t>TOYOTA CAMRY VI 2006-  СТ ВЕТР ЗЛЗЛ+ДД+ИЗМ КР</t>
  </si>
  <si>
    <t>TOYOTA CAMRY VI 2006- СТ ВЕТР ЗЛЗЛ+ДД+VIN+ДО+ИЗМ КР</t>
  </si>
  <si>
    <t>TOYOTA CAMRY VI 2006-  СТ ВЕТР ЗЛГЛ+УО</t>
  </si>
  <si>
    <t>TOYOTA CAMRY VI 2006-  СТ ВЕТР ЗЛГЛ</t>
  </si>
  <si>
    <t>TOYOTA CAMRY VI 2006-  СТ ВЕТР ЗЛГЛ+ДД+ИНК</t>
  </si>
  <si>
    <t>TOYOTA CAMRY VI 2006-  ВЕТР СТ МОЛДИНГ</t>
  </si>
  <si>
    <t>TOYOTA CAMRY VI 2006-  СТ ПЕР ДВ ОП ЛВ ЗЛ</t>
  </si>
  <si>
    <t>TOYOTA CAMRY VI 2006-  СТ ПЕР ДВ ОП ПР ЗЛ</t>
  </si>
  <si>
    <t>TOYOTA CAMRY VI 2006-  СТ ЗАДН ДВ ОП ЛВ ЗЛ</t>
  </si>
  <si>
    <t>TOYOTA CAMRY VI 2006-  СТ ЗАДН ДВ ОП ПР ЗЛ</t>
  </si>
  <si>
    <t>TOYOTA CAMRY VI 2006-  СТ ФОРТ ЗАДН НЕП ЛВ ЗЛ</t>
  </si>
  <si>
    <t>TOYOTA CAMRY VI 2006-  СТ ФОРТ ЗАДН НЕП ПР ЗЛ</t>
  </si>
  <si>
    <t>CAMRY 2011-</t>
  </si>
  <si>
    <t>TOYOTA CAMRY 11- СТ ВЕТР АКУСТ ЗЛЗЛ+ДД+УО+VIN</t>
  </si>
  <si>
    <t>TOYOTA CAMRY 11- СТ ВЕТР ЗЛЗЛ+VIN+УО</t>
  </si>
  <si>
    <t>TOYOTA CAMRY 11- СТ ПЕР ДВ ОП ПР ЗЛ</t>
  </si>
  <si>
    <t>TOYOTA CAMRY 11-СТ ПЕР ДВ ОП ЛВ ЗЛ</t>
  </si>
  <si>
    <t>TOYOTA CAMRY 11- СТ ЗАДН ДВ ОП ПР ЗЛ</t>
  </si>
  <si>
    <t>TOYOTA CAMRY 11- СТ ЗАДН ДВ ОП ЛВ ЗЛ</t>
  </si>
  <si>
    <t>TOYOTA CAMRY 11- ФОРТ ЗАДН НЕП ПР ЗЛ</t>
  </si>
  <si>
    <t>TOYOTA CAMRY 11- ФОРТ ЗАДН НЕП ЛВ ЗЛ</t>
  </si>
  <si>
    <t>CARINA II (AT/ST/CT150) 10.1983-11.1987</t>
  </si>
  <si>
    <t>TOYOTA CARINA II СЕД 1983-1987 СТ ВЕТР ГЛ</t>
  </si>
  <si>
    <t>CARINA II (AT171) 12.1987-03.1992</t>
  </si>
  <si>
    <t>TOYOTA CARINA II (AT171) СД+УН+ХБ 1987-1992 СТ ВЕТР ГЛ</t>
  </si>
  <si>
    <t>TOYOTA CARINA II (AT171) СД+УН+ХБ 1987-1992 СТ ВЕТ ГЛГЛ</t>
  </si>
  <si>
    <t>TOYOTA CARINA II (AT171) СД+УН+ХБ 1987-1992 СТ ВЕТР</t>
  </si>
  <si>
    <t>TOYOTA CARINA II (AT171) ХБ 1987-1992 СТ ЗАДН  ГЛ ЭО+ФИТ</t>
  </si>
  <si>
    <t>TOYOTA CARINA II (AT171) СД 1987-1992 СТ ЗАДН ГЛ</t>
  </si>
  <si>
    <t>TOYOTA CARINA II (AT171) СД+УН+ХБ 1987-1992 СТ ПЕР ДВ ОП ЛВ ГЛ</t>
  </si>
  <si>
    <t>TOYOTA CARINA II (AT171) СД 1987-1992 СТ ЗАДН ОП ЛВ ГЛ</t>
  </si>
  <si>
    <t>TOYOTA CARINA II (AT171) СД 1987-1992 СТ БОК НЕП ЛВ ГЛ</t>
  </si>
  <si>
    <t>TOYOTA CARINA II (AT171) СД+УН+ХБ 1987-1992 СТ ПЕР ДВ ОП ПР ГЛ</t>
  </si>
  <si>
    <t>TOYOTA CARINA II (AT171) ХБ 1987-1992 СТ ФОРТ ЗАДН НЕП ПР ГЛ</t>
  </si>
  <si>
    <t>TOYOTA CARINA II (AT171) СД 1987-1992 СТ ЗАДН ОП ПР ГЛ</t>
  </si>
  <si>
    <t>TOYOTA CARINA II (AT171) СД 1987-1992 СТ БОК НЕП ПР ГЛ</t>
  </si>
  <si>
    <t>CARINA E (AT190) 04.1992-01.1998</t>
  </si>
  <si>
    <t>TOYOTA CARINA E 4Д СД+5Д ХБ 1992-1998  СТ ВЕТР ГЛ</t>
  </si>
  <si>
    <t>TOYOTA CARINA E 4Д СД+5Д ХБ 1992-1998  СТ ВЕТР ГЛГЛ</t>
  </si>
  <si>
    <t>TOYOTA CARINA E 4Д СД+5Д ХБ 1992-1998  СТ ВЕТР ЗЛ</t>
  </si>
  <si>
    <t>TOYOTA CARINA E 4Д СД+5Д ХБ 1992-1998  СТ ВЕТР ЗЛГЛ</t>
  </si>
  <si>
    <t>TOYOTA CARINA E 4Д СД+5Д ХБ 1992-1998  СТ ВЕТР ЗЛЗЛ</t>
  </si>
  <si>
    <t>TOYOTA CARINA E 4Д СД+5Д ХБ 1992-1998  СТ ВЕТР ЭО ЗЛЗЛ</t>
  </si>
  <si>
    <t>TOYOTA CARINA E 4Д СД+5Д ХБ 1992-1998  МОЛД  ДЛЯ СТ ВЕТР</t>
  </si>
  <si>
    <t>TOYOTA CARINA E ХБ 1992-1998  СТ ЗАДН ДВ ГЛ+УО</t>
  </si>
  <si>
    <t>TOYOTA CARINA E СД 1992-1998  СТ ЗАДН ГЛ</t>
  </si>
  <si>
    <t>TOYOTA CARINA E ХБ 1992-1998  СТ ЗАДН ЭО ЗЛ ФИТ</t>
  </si>
  <si>
    <t>TOYOTA CARINA E СД 1992-1998  СТ ЗАДН ЭО ЗЛ</t>
  </si>
  <si>
    <t>TOYOTA CARINA E 4Д СД+5Д ХБ 1992-1998 СТ ПЕР ДВ ОП ЛВ ГЛ+ФИТ</t>
  </si>
  <si>
    <t>TOYOTA CARINA E СД 1992-1998  СТ ЗАДН ДВ ОП ЛВ ГЛ+УО</t>
  </si>
  <si>
    <t>TOYOTA CARINA E 4Д СД+5Д ХБ 1992-1998 СТ ПЕР ДВ ОП ЛВ ЗЛ+ФИТ</t>
  </si>
  <si>
    <t>TOYOTA CARINA E ХБ 1992-1998  СТ ЗАДН ДВ ОП ЛВ ЗЛ+УО</t>
  </si>
  <si>
    <t>TOYOTA CARINA E СД 1992-1998  СТ ЗАДН ДВ ОП ЛВ ЗЛ+УО</t>
  </si>
  <si>
    <t>TOYOTA CARINA E СД 1992-1998  СТ БОК НЕП ЛВ ЗЛ+УО</t>
  </si>
  <si>
    <t>TOYOTA CARINA E 4Д СД+5Д ХБ 1992-1998 СТ ПЕР ДВ ОП ПР ГЛ+ФИТ</t>
  </si>
  <si>
    <t>TOYOTA CARINA E СД 1992-1998  СТ ЗАДН ДВ ОП ПР ГЛ+УО</t>
  </si>
  <si>
    <t>TOYOTA CARINA E 4Д СД+5Д ХБ 1992-1998 СТ ФОРТ ЗАДН НЕП ПР ГЛ</t>
  </si>
  <si>
    <t>TOYOTA CARINA E 4Д СД+5Д ХБ 1992-1998 СТ ПЕР ДВ ОП ПР ЗЛ+ФИТ</t>
  </si>
  <si>
    <t>TOYOTA CARINA E ХБ 1992-1998  СТ ЗАДН ДВ ОП ПР ЗЛ+УО</t>
  </si>
  <si>
    <t>TOYOTA CARINA E СД 1992-1998  СТ ЗАДН ДВ ОП ПР ЗЛ+УО</t>
  </si>
  <si>
    <t>TOYOTA CARINA E СД 1992-1998  СТ БОК НЕП ПР ЗЛ+УО</t>
  </si>
  <si>
    <t>CELICA III LTB+SUPRA (TA60/70) 1982-1986</t>
  </si>
  <si>
    <t>TOYOTA CELICA III LTB+SUPRA (TA60/70) 1982-1986 СТ ВЕТР ГЛ</t>
  </si>
  <si>
    <t>CELICA IV (AT160/ST162) COUPE 08.1985-02.1990</t>
  </si>
  <si>
    <t>TOYOTA CELICA ST162 КП 1985-1990 СТ ВЕТР ГЛ</t>
  </si>
  <si>
    <t>TOYOTA CELICA ST162 КП 1985-1990 СТ ПЕР ДВ ОП ЛВ</t>
  </si>
  <si>
    <t>CELICA V (AT180/ST182) 03.1990-02.1994</t>
  </si>
  <si>
    <t>TOYOTA CELICA V (AT180/ST182) 03.1990-02.1994  СТ ВЕТР ГЛ</t>
  </si>
  <si>
    <t>TOYOTA CELICA V (AT180/ST182) 03.1990-02.1994  СТ ВЕТР ГЛГЛ</t>
  </si>
  <si>
    <t>TOYOTA CELICA V (AT180/ST182) 03.1990-02.1994  МОЛД  ДЛЯ СТ ВЕТР</t>
  </si>
  <si>
    <t>TOYOTA CELICA V (AT180/ST182) 03.1990-02.1994  СТ ПЕР ДВ ОП ЛВ ГЛ</t>
  </si>
  <si>
    <t>TOYOTA CELICA V (AT180/ST182) 03.1990-02.1994  СТ ПЕР ДВ ОП ПР ГЛ</t>
  </si>
  <si>
    <t>CELICA VI (AT200/ST202) 03.1994-10.1999</t>
  </si>
  <si>
    <t>TOYOTA CELICA VI (AT200/ST202) 03.1994-10.1999  СТ ВЕТР ГЛ</t>
  </si>
  <si>
    <t>TOYOTA CELICA VI (AT200/ST202) 03.1994-10.1999  СТ ВЕТР ЗЛ</t>
  </si>
  <si>
    <t>TOYOTA CELICA VI (AT200/ST202) 03.1994-10.1999  МОЛД  ДЛЯ СТ ВЕТР</t>
  </si>
  <si>
    <t>CELICA VII 8/1999-2005</t>
  </si>
  <si>
    <t>TOYOTA CELICA VII 8/1999-2005 СТ ВЕТР ЗЛ</t>
  </si>
  <si>
    <t>TOYOTA CELICA VII 8/1999-2005 МОЛД  ДЛЯ СТ ВЕТР</t>
  </si>
  <si>
    <t>COROLLA 4 (KE70) СД+УН 09.1979-06.1983</t>
  </si>
  <si>
    <t>TOYOTA COROLLA 4 (KE70) СД+УН 1979-1983 СТ ВЕТР ГЛ</t>
  </si>
  <si>
    <t>COROLLA 5 (AE80/EE80) 01.1985-09.1987</t>
  </si>
  <si>
    <t>1985-1987</t>
  </si>
  <si>
    <t>TOYOTA COROLLA 5 (AE80/EE80) 01.1985-09.1987 СТ ВЕТР ГЛ</t>
  </si>
  <si>
    <t>TOYOTA COROLLA 5 (AE80/EE80) 01.1985-09.1987 СТ ВЕТР ГЛГЛ</t>
  </si>
  <si>
    <t>TOYOTA COROLLA 5 (AE80/EE80) 01.1985-09.1987 СТ ВЕТР</t>
  </si>
  <si>
    <t>TOYOTA COROLLA 5 (AE80/EE80) 01.1985-09.1987 СТ ПЕР ДВ ОП ЛВ ГЛ</t>
  </si>
  <si>
    <t>TOYOTA COROLLA 5 (AE80/EE80) 01.1985-09.1987 СТ ФОРТ ЗАДН НЕП ЛВ ГЛ</t>
  </si>
  <si>
    <t>TOYOTA COROLLA 5 (AE80/EE80) 01.1985-09.1987 СТ ПЕР ДВ ОП ПР ГЛ</t>
  </si>
  <si>
    <t>TOYOTA COROLLA 5 (AE80/EE80) 01.1985-09.1987 СТ ЗАДН ОП ПР ГЛ</t>
  </si>
  <si>
    <t>COROLLA 5 (AE82) LFTB 06.1983-07.1987</t>
  </si>
  <si>
    <t>TOYOTA COROLLA 5 (AE82) LFTB 06.1983-07.1987 СТ ВЕТР ГЛ</t>
  </si>
  <si>
    <t>TOYOTA COROLLA 5 (AE82) LFTB 06.1983-07.1987 СТ ВЕТР</t>
  </si>
  <si>
    <t>TOYOTA COROLLA 5 (AE82) LFTB 06.1983-07.1987 СТ ПЕР ДВ ОП ПР ГЛ</t>
  </si>
  <si>
    <t>COROLLA 5 (E80-86) КП 08.1983-01.1988</t>
  </si>
  <si>
    <t>TOYOTA COROLLA 5 (E80-86) КП 08.1983-01.1988 СТ ВЕТР ГЛ</t>
  </si>
  <si>
    <t>COROLLA 6 (EE90/AE92) 07.1987-07.1992</t>
  </si>
  <si>
    <t>TOYOTA COROLLA 6 (EE90/AE92) 07.1987-07.1992 СТ ВЕТР ГЛ</t>
  </si>
  <si>
    <t>TOYOTA COROLLA 6 (EE90/AE92) 07.1987-07.1992 СТ ВЕТР ГЛГЛ</t>
  </si>
  <si>
    <t>TOYOTA COROLLA 6 (EE90/AE92) 07.1987-07.1992 СТ ВЕТР</t>
  </si>
  <si>
    <t>TOYOTA COROLLA 6 (EE90/AE92) 07.1987-07.1992 СТ ВЕТР ЗЛ</t>
  </si>
  <si>
    <t>TOYOTA COROLLA 6 (EE90/AE92) 07.1987-07.1992 НАБ КЛИПС ДЛЯ СТ ВЕТР</t>
  </si>
  <si>
    <t>TOYOTA COROLLA 6 (EE90/AE92) 07.1987-07.1992 МОЛД ДЛЯ СТ ВЕТР ВЕРХ ХРОМ</t>
  </si>
  <si>
    <t>TOYOTA COROLLA 6 (EE90/AE92) СД 07.1987-07.1992 СТ ЗАДН ГЛ</t>
  </si>
  <si>
    <t>TOYOTA COROLLA 6 (EE90/AE92) ХБ 3Д 07.1987-07.1992 СТ ПЕР ДВ ОП ЛВ ГЛ</t>
  </si>
  <si>
    <t>TOYOTA COROLLA 6 (EE90/AE92) ХБ 5Д 07.1987-07.1992 СТ ПЕР ДВ ОП ЛВ ГЛ+УО</t>
  </si>
  <si>
    <t>TOYOTA COROLLA 6 (EE90/AE92) СД 4Д 07.1987-07.1992 СТ ЗАДН ДВ ОП ЛВ ГЛ</t>
  </si>
  <si>
    <t>TOYOTA COROLLA 6 (EE90/AE92) СД 4Д 07.1987-07.1992 СТ ФОРТ ЗАДН НЕП ЛВ ГЛ</t>
  </si>
  <si>
    <t>TOYOTA COROLLA 6 (EE90/AE92) ХБ 5Д 07.1987-07.1992 СТ ПЕР ДВ ОП ЛВ+УО</t>
  </si>
  <si>
    <t>TOYOTA COROLLA 6 (EE90/AE92) ХБ 3Д 07.1987-07.1992 СТ ПЕР ДВ ОП ПР ГЛ</t>
  </si>
  <si>
    <t>TOYOTA COROLLA 6 (EE90/AE92) ХБ 5Д 07.1987-07.1992 СТ ПЕР ДВ ОП ПР+УО</t>
  </si>
  <si>
    <t>TOYOTA COROLLA 6 (EE90/AE92) СД 4Д 07.1987-07.1992 СТ ЗАДН ДВ ОП ПР ГЛ</t>
  </si>
  <si>
    <t>TOYOTA COROLLA 6 (EE90/AE92) СД 4Д 07.1987-07.1992 СТ ЗАДН ДВ ОП ПР</t>
  </si>
  <si>
    <t>COROLLA 6 (EE90/AE92) LFTB 07.1987-07.1992</t>
  </si>
  <si>
    <t>TOYOTA COROLLA 6 (EE90/AE92) LFTB 07.1987-07.1992 СТ ВЕТ ГЛ</t>
  </si>
  <si>
    <t>TOYOTA COROLLA 6 (EE90/AE92) LFTB 07.1987-07.1992 СТ ВЕТ ГЛГЛ</t>
  </si>
  <si>
    <t>TOYOTA COROLLA 6 (EE90/AE92) LFTB 07.1987-07.1992 СТ ВЕТР</t>
  </si>
  <si>
    <t>TOYOTA COROLLA 6 (EE90/AE92) LFTB 07.1987-07.1992  НАБ КЛИПС ДЛЯ СТ ВЕТР</t>
  </si>
  <si>
    <t>TOYOTA COROLLA 6 (EE90/AE92) LFTB 07.1987-07.1992  МОЛД  ДЛЯ СТ ВЕТР</t>
  </si>
  <si>
    <t>TOYOTA COROLLA 6 (EE90/AE92) LFTB 07.1987-07.1992 СТ ПЕР ДВ ОП ЛВ ГЛ+УО</t>
  </si>
  <si>
    <t>TOYOTA COROLLA 6 (EE90/AE92) LFTB 07.1987-07.1992 СТ ЗАДН ДВ ОП ЛВ ГЛ</t>
  </si>
  <si>
    <t>TOYOTA COROLLA 6 (EE90/AE92) LFTB 07.1987-07.1992 СТ ПЕР ДВ ОП ПР ГЛ+УО</t>
  </si>
  <si>
    <t>TOYOTA COROLLA 6 (EE90/AE92) LFTB 07.1987-07.1992 СТ ЗАДН ДВ ОП ПР ГЛ</t>
  </si>
  <si>
    <t>COROLLA 7 (52-54,64AE) 07.1992-04.1997</t>
  </si>
  <si>
    <t>TOYOTA COROLLA 7 (52-54,64AE) 07.1992-04.1997 СТ ВЕТР ГЛ</t>
  </si>
  <si>
    <t>TOYOTA COROLLA 7 (52-54,64AE) 07.1992-04.1997 СТ ВЕТР ГЛГЛ</t>
  </si>
  <si>
    <t>TOYOTA COROLLA 7 (52-54,64AE) 07.1992-04.1997 СТ ВЕТР</t>
  </si>
  <si>
    <t>TOYOTA COROLLA 7 (52-54,64AE) 07.1992-04.1997 СТ ВЕТР ЗЛ</t>
  </si>
  <si>
    <t>TOYOTA COROLLA 7 (52-54,64AE) 07.1992-04.1997 СТ ВЕТР ЗЛГЛ</t>
  </si>
  <si>
    <t>TOYOTA COROLLA 7 (52-54,64AE) 07.1992-04.1997 МОЛД  ДЛЯ СТ ВЕТР</t>
  </si>
  <si>
    <t>TOYOTA COROLLA 7 (52-54,64AE) ХБ 07.1992-04.1997 СТ ЗАДН ДВ ГЛ</t>
  </si>
  <si>
    <t>TOYOTA COROLLA 7 (52-54,64AE) СД 07.1992-04.1997 СТ ЗАДН ГЛ</t>
  </si>
  <si>
    <t>TOYOTA COROLLA 7 (52-54,64AE) УН 07.1992-04.1997 СТ ФОРТ ЗАДН НЕП ЛВ ГЛ</t>
  </si>
  <si>
    <t>TOYOTA COROLLA 7 (52-54,64AE) ХБ 3Д 07.1992-04.1997 СТ ПЕР ДВ ОП ЛВ ГЛ+ФИТ</t>
  </si>
  <si>
    <t>TOYOTA COROLLA 7 (52-54,64AE) ХБ 5Д 07.1992-04.1997 СТ ПЕР ДВ ОП ЛВ ГЛ+УО</t>
  </si>
  <si>
    <t>TOYOTA COROLLA 7 (52-54,64AE) ХБ 5Д 07.1992-04.1997 СТ ЗАДН ДВ ОП ЛВ ГЛ</t>
  </si>
  <si>
    <t>TOYOTA COROLLA 7 (52-54,64AE) СД 4Д 07.1992-04.1997 СТ ЗАДН ДВ ОП ЛВ ГЛ</t>
  </si>
  <si>
    <t>TOYOTA COROLLA 7 (52-54,64AE) СД 4Д 07.1992-04.1997 СТ ФОРТ ЗАДН НЕП ЛВ ГЛ</t>
  </si>
  <si>
    <t>TOYOTA COROLLA 7 (52-54,64AE) СД 4Д 07.1992-04.1997 СТ ЗАДН ДВ НЕП ЛВ</t>
  </si>
  <si>
    <t>TOYOTA COROLLA 7 (52-54,64AE) ХБ 3Д 07.1992-04.1997 СТ ПЕР ДВ ОП ПР ГЛ+ФИТ</t>
  </si>
  <si>
    <t>TOYOTA COROLLA 7 (52-54,64AE) ХБ 5Д 07.1992-04.1997 СТ ПЕР ДВ ОП ПР ГЛ+УО</t>
  </si>
  <si>
    <t>TOYOTA COROLLA 7 (52-54,64AE) ХБ 5Д 07.1992-04.1997 СТ ЗАДН ДВ ОП ПР ГЛ</t>
  </si>
  <si>
    <t>TOYOTA COROLLA 7 (52-54,64AE) СД 4Д 07.1992-04.1997 СТ ЗАДН ДВ ОП ПР</t>
  </si>
  <si>
    <t>TOYOTA COROLLA 7 (52-54,64AE) СД 4Д 07.1992-04.1997 СТ ФОРТ ЗАДН НЕП ПР ГЛ</t>
  </si>
  <si>
    <t>COROLLA 7 (AE100) LFTB CS 07.1992-04.1997</t>
  </si>
  <si>
    <t>TOYOTA COROLLA 7 (AE100) LFTB CS 07.1992-04.1997 СТ ВЕТР ГЛ</t>
  </si>
  <si>
    <t>TOYOTA COROLLA 7 (AE100) LFTB CS 07.1992-04.1997 СТ ВЕТР ГЛГЛ</t>
  </si>
  <si>
    <t>TOYOTA COROLLA 7 (AE100) LFTB CS 07.1992-04.1997 СТ ВЕТР</t>
  </si>
  <si>
    <t>TOYOTA COROLLA 7 (AE100) LFTB CS 07.1992-04.1997 СТ ВЕТР ЗЛ</t>
  </si>
  <si>
    <t>TOYOTA COROLLA 7 (AE100) LFTB CS 07.1992-04.1997 МОЛД ДЛЯ СТ ВЕТР ВЕРХ</t>
  </si>
  <si>
    <t>TOYOTA COROLLA 7 (AE100) LFTB CS 07.1992-04.1997 СТ ПЕР ДВ ОП ЛВ ГЛ+УО</t>
  </si>
  <si>
    <t>TOYOTA COROLLA 7 (AE100) LFTB CS 07.1992-04.1997 СТ ПЕР ДВ ОП ПР ГЛ+УО</t>
  </si>
  <si>
    <t>COROLLA 8 (E11) 04.1997-2002</t>
  </si>
  <si>
    <t>TOYOTA COROLLA 8 (E11) 04.1997-2002 СТ ВЕТР ЗЛ</t>
  </si>
  <si>
    <t>TOYOTA COROLLA 8 (E11) 04.1997-2002 СТ ВЕТР ЗЛГЛ</t>
  </si>
  <si>
    <t>TOYOTA COROLLA 8 (E11) 04.1997-2002 СТ ВЕТР ЗЛЗЛ</t>
  </si>
  <si>
    <t>TOYOTA COROLLA 8 (E11) 04.1997-2002 МОЛД  ДЛЯ СТ ВЕТР</t>
  </si>
  <si>
    <t>TOYOTA COROLLA 8 (E11) СД 04.1997-2002 СТ ЗАДН ЭО ЗЛ</t>
  </si>
  <si>
    <t>TOYOTA COROLLA 8 (E11) 04.1997-2002 СТ ПЕР ДВ ОП ЛВ ЗЛ+УО</t>
  </si>
  <si>
    <t>TOYOTA COROLLA 8 (E11) 04.1997-2002 СТ ЗАДН ДВ ОП ЛВ ТЗЛ+УО</t>
  </si>
  <si>
    <t>TOYOTA COROLLA 8 (E11) 04.1997-2002 СТ ЗАДН ДВ ОП ЛВ ЗЛ+УО</t>
  </si>
  <si>
    <t>TOYOTA COROLLA 8 (E11) 04.1997-2002 СТ БОК НЕП ЛВ ЗЛ</t>
  </si>
  <si>
    <t>TOYOTA COROLLA 8 (E11) 04.1997-2002 СТ ПЕР ДВ ОП ПР ЗЛ+УО</t>
  </si>
  <si>
    <t>TOYOTA COROLLA 8 (E11) 04.1997-2002 СТ ЗАДН ДВ ОП ПР ЗЛ+УО</t>
  </si>
  <si>
    <t>TOYOTA COROLLA 8 (E11) 04.1997-2002 СТ БОК НЕП ПР ЗЛ</t>
  </si>
  <si>
    <t>COROLLA 9 2002-2007</t>
  </si>
  <si>
    <t>TOYOTA COROLLA 9 3Д/5Д 07/2004-2007  СТ ВЕТР ЗЛ+АКУСТИК+ДД+ИЗМ ДЕРЖ ЗЕРК</t>
  </si>
  <si>
    <t>TOYOTA COROLLA 9 4Д СД/5Д УН 2002-2007 СТ ВЕТР ЗЛ</t>
  </si>
  <si>
    <t>TOYOTA COROLLA 9 3Д/5Д 07/2004-2007 СТ ВЕТР ЗЛ</t>
  </si>
  <si>
    <t>TOYOTA COROLLA 9 3Д/5Д 2002-2007 СТ ВЕТР ЗЛ</t>
  </si>
  <si>
    <t>TOYOTA COROLLA 9 3Д/5Д 07/2004-2007  СТ ВЕТР ЗЛ+ДД+ИЗМ ДЕРЖ ЗЕРК</t>
  </si>
  <si>
    <t>TOYOTA COROLLA 9 3Д/5Д 2002-2007 МОЛД  ДЛЯ СТ ВЕТР</t>
  </si>
  <si>
    <t>TOYOTA COROLLA 9 2002-2007  4Д МОЛД  ДЛЯ СТ ВЕТР</t>
  </si>
  <si>
    <t>TOYOTA COROLLA 9 4Д СД 2002-2007 СТ ЗАДН ЗЛ</t>
  </si>
  <si>
    <t>TOYOTA COROLLA 9 3Д/5Д ХБ 2002-2007  СТ ЗАДН ЗЛ+УО</t>
  </si>
  <si>
    <t>TOYOTA COROLLA 9 3Д/5Д ХБ 2002-2007  СТ ЗАДН ДВ ЗЛ+УО+ИЗМ ЭО</t>
  </si>
  <si>
    <t>TOYOTA COROLLA 9 5Д УН 2002-2007 СТ ЗАДН ДВ ОП ЛВ ЗЛ</t>
  </si>
  <si>
    <t>TOYOTA COROLLA 9 5Д УН 2002-2007  СТ ФОРТ НЕП ЛВ ЗЛ</t>
  </si>
  <si>
    <t>TOYOTA COROLLA 9 4Д СД/5Д УН 2002-2007 СТ ПЕР ДВ ОП ЛВ ЗЛ+УО</t>
  </si>
  <si>
    <t>TOYOTA COROLLA 9 4Д СД 2002-2007  ЗАДН ДВ ОП ЛВ ЗЛ</t>
  </si>
  <si>
    <t>TOYOTA COROLLA 9 4Д СД 2002-2007  СТ ФОРТ ЗАДН НЕП ЛВ ЗЛ</t>
  </si>
  <si>
    <t>TOYOTA COROLLA 9 2002-2007  СТ ПЕР ДВ ОП ЛВ ЗЛ+УО</t>
  </si>
  <si>
    <t>TOYOTA COROLLA 9 3Д 2002-2007  СТ БОК НЕП ЛВ ЗЛ+УО</t>
  </si>
  <si>
    <t>TOYOTA COROLLA 9 5Д 2002-2007 СТ ПЕР ДВ ОП ЛВ ЗЛ+УО</t>
  </si>
  <si>
    <t>TOYOTA COROLLA 9 2002-2007  СТ ЗАДН ДВ ОП ЛВ ЗЛ+УО</t>
  </si>
  <si>
    <t>TOYOTA COROLLA 9 5Д 2002-2007  СТ ФОРТ ЗАДН НЕП ЛВ ЗЛ</t>
  </si>
  <si>
    <t>TOYOTA COROLLA 9 5Д УН 2002-2007  СТ ЗАДН ДВ ОП ПР ЗЛ</t>
  </si>
  <si>
    <t>TOYOTA COROLLA 9 5Д УН 2002-2007  СТ ФОРТ НЕП ПР ЗЛ</t>
  </si>
  <si>
    <t>TOYOTA COROLLA 9 4Д СД/ 5Д УН 2002-2007 СТ ПЕР ДВ ОП ПР ЗЛ+УО</t>
  </si>
  <si>
    <t>TOYOTA COROLLA 9 4Д СД 2002-2007  СТ ЗАДН ДВ ОП ПР ЗЛ</t>
  </si>
  <si>
    <t>TOYOTA COROLLA 9 4Д СД 2002-2007  СТ ФОРТ ЗАДН НЕП ПР ЗЛ</t>
  </si>
  <si>
    <t>TOYOTA COROLLA 9 2002-2007  СТ ПЕР ДВ ОП ПР ЗЛ+УО</t>
  </si>
  <si>
    <t>TOYOTA COROLLA 9 3Д 2002-2007  СТ БОК НЕП ПР ЗЛ+УО</t>
  </si>
  <si>
    <t>TOYOTA COROLLA 9 5Д 2002-2007 СТ ПЕР ДВ ОП ПР ЗЛ+УО</t>
  </si>
  <si>
    <t>TOYOTA COROLLA 9 2002-2007  СТ ЗАДН ДВ ОП ПР ЗЛ+УО</t>
  </si>
  <si>
    <t>TOYOTA COROLLA 9 5Д 2002-2007  СТ ЗАДН ДВ НЕП ПР ЗЛ</t>
  </si>
  <si>
    <t>COROLLA 10 2007-</t>
  </si>
  <si>
    <t>TOYOTA COROLLA 10 2007- СТ ВЕТР ЗЛ+УО</t>
  </si>
  <si>
    <t>TOYOTA COROLLA 10 2007- СТ ВЕТР ЗЛ+ДД+УО+ИЗМ ДЕРЖ ЗЕРК</t>
  </si>
  <si>
    <t>TOYOTA COROLLA 10 2007- СТ ВЕТР ЗЛ+АКУСТИК+ДД+УО+ИЗМ ДЕРЖ ЗЕРК</t>
  </si>
  <si>
    <t>TOYOTA COROLLA 10 2007- СТ ВЕТР ЗЛ+АКУСТИК+УО</t>
  </si>
  <si>
    <t>TOYOTA COROLLA 10 2007- СТ ЗАДН ДВ ОП ЛВ ЗЛ</t>
  </si>
  <si>
    <t>TOYOTA COROLLA 10 2007- СТ ЗАДН ДВ ОП ПР ЗЛ</t>
  </si>
  <si>
    <t>COROLLA VERSO 2002-2004</t>
  </si>
  <si>
    <t>TOYOTA COROLLA VERSO 2002-2004 СТ ВЕТР ЗЛ</t>
  </si>
  <si>
    <t>TOYOTA COROLLA VERSO 2002-2004 МОЛД  ДЛЯ СТ ВЕТР</t>
  </si>
  <si>
    <t>TOYOTA COROLLA VERSO 2002-2004 СТ ПЕР ДВ ОП ЛВ ЗЛ+УО</t>
  </si>
  <si>
    <t>TOYOTA COROLLA VERSO 2002-2004 СТ ЗАДН ДВ ОП ЛВ ТЗЛ УО</t>
  </si>
  <si>
    <t>TOYOTA COROLLA VERSO 2002-2004 СТ ПЕР ДВ ОП ПР ЗЛ УО</t>
  </si>
  <si>
    <t>TOYOTA COROLLA VERSO 2002-2004 СТ ЗАДН ДВ ОП ПР ЗЛ УО</t>
  </si>
  <si>
    <t>COROLLA VERSO 05/2004-</t>
  </si>
  <si>
    <t>TOYOTA COROLLA VERSO 05/2004- СТ ВЕТР ЗЛ</t>
  </si>
  <si>
    <t>TOYOTA COROLLA VERSO 05/2004-  СТ ВЕТР ЗЛ+ДД</t>
  </si>
  <si>
    <t>TOYOTA COROLLA VERSO 05/2004- МОЛД ДЛЯ СТ ВЕТР</t>
  </si>
  <si>
    <t>F MINIBUS,SPACE CRUISER 11.1982-01.1990</t>
  </si>
  <si>
    <t>TOYOTA F MINIBUS,SPACE CRUISER 11.1982-01.1990 СТ ВЕТР ГЛ</t>
  </si>
  <si>
    <t>HI-ACE III 03.1983-11.1989</t>
  </si>
  <si>
    <t>TOYOTA HI ACE III 1983-1989 СТ ВЕТР</t>
  </si>
  <si>
    <t>TOYOTA HI ACE III МИН 1983-1989 СТ ЗАДН</t>
  </si>
  <si>
    <t>TOYOTA HI ACE III 1983-1989 СТ ПЕР ДВ ОП ЛВ</t>
  </si>
  <si>
    <t>TOYOTA HI ACE III 1983-1989 СТ ПЕР ДВ ОП ПР</t>
  </si>
  <si>
    <t>HI-ACE IV 08.1989-08.1995</t>
  </si>
  <si>
    <t>TOYOTA HI-ACE IV 08.1989-08.1995  СТ ВЕТР ГЛ</t>
  </si>
  <si>
    <t>TOYOTA HI-ACE IV 08.1989-08.1995  СТ ВЕТР</t>
  </si>
  <si>
    <t>TOYOTA HI-ACE IV 08.1989-08.1995  СТ ВЕТР ЗЛ</t>
  </si>
  <si>
    <t>TOYOTA HI-ACE IV 08.1989-08.1995  РЕЗ ПРОФ ДЛЯ СТ ВЕТР</t>
  </si>
  <si>
    <t>TOYOTA HI-ACE IV МИН 08.1989-08.1995 СТ ЗАДН ЭО</t>
  </si>
  <si>
    <t>TOYOTA HI-ACE IV 08.1989-08.1995 СТ ПЕР ДВ ОП ЛВ</t>
  </si>
  <si>
    <t>TOYOTA HI-ACE IV 08.1989-08.1995 СТ ПЕР ДВ ОП ПР</t>
  </si>
  <si>
    <t>HI-ACE V 08.1995-</t>
  </si>
  <si>
    <t>1995-2004 </t>
  </si>
  <si>
    <t>TOYOTA HI-ACE V 08.1995-  СТ ВЕТР</t>
  </si>
  <si>
    <t>1996-2004 </t>
  </si>
  <si>
    <t>TOYOTA HI ACE V 12/1996-  СТ ВЕТР ЗЛ</t>
  </si>
  <si>
    <t>2001-2004 </t>
  </si>
  <si>
    <t>TOYOTA HI ACE V 2001- СТ ВЕТР ЗЛ</t>
  </si>
  <si>
    <t>TOYOTA HI ACE V 1995-  СТ ВЕТР ЗЛГЛ</t>
  </si>
  <si>
    <t>TOYOTA HI ACE V 2001- СТ ВЕТР ЗЛГЛ</t>
  </si>
  <si>
    <t>TOYOTA HI ACE V 1996- МОЛД ДЛЯ СТ ВЕТР</t>
  </si>
  <si>
    <t>TOYOTA HI-ACE V МИН 08.1995- СТ ЗАДН ЭО</t>
  </si>
  <si>
    <t>TOYOTA HI-ACE V МИН 08.1995- СТ ЗАДН Б/ЭО</t>
  </si>
  <si>
    <t>TOYOTA HI ACE V МИН 12/1996-  СТ ЗАДН ЭО ЗЛ</t>
  </si>
  <si>
    <t>TOYOTA HI-ACE V 08.1995- СТ ПЕР ДВ ОП ЛВ +ФИТ</t>
  </si>
  <si>
    <t>TOYOTA HI ACE V 12/1996-  СТ ПЕР ДВ ОП ЛВ ЗЛ ФИТ</t>
  </si>
  <si>
    <t>TOYOTA HI-ACE V 08.1995- СТ ПЕР ДВ ОП ПР +ФИТ</t>
  </si>
  <si>
    <t>TOYOTA HI ACE V 12/1996-  СТ ПЕР ДВ ОП ПР ЗЛ+ФИТ</t>
  </si>
  <si>
    <t>HI-ACE RH11 1977-1983</t>
  </si>
  <si>
    <t>TOYOTA HI ACE RH11 1977-1983 СТ ВЕТР</t>
  </si>
  <si>
    <t>HI-LUX IV 1983-07.1988</t>
  </si>
  <si>
    <t>TOYOTA HI-LUX IV 1983-07.1988 СТ ВЕТР</t>
  </si>
  <si>
    <t>HI-LUX YN106/LN105 1989-1997</t>
  </si>
  <si>
    <t>TOYOTA HI-LUX YN106/LN105 1989-1997  СТ ВЕТР/ VOLKSWAGEN TARRO HIGH СТ ВЕТР</t>
  </si>
  <si>
    <t>HI-LUX VI PICK-UP 11.1997-2005</t>
  </si>
  <si>
    <t>TOYOTA HI-LUX VI PICK-UP 11.1997-2005 СТ ВЕТР ЗЛ</t>
  </si>
  <si>
    <t>TOYOTA HI-LUX VI PICK-UP 11.1997-2005 СТ ВЕТР ЗЛГЛ</t>
  </si>
  <si>
    <t>TOYOTA HI-LUX VI PICK-UP 11.1997-2005 СТ ВЕТР ЗЛЗЛ</t>
  </si>
  <si>
    <t>TOYOTA HI-LUX VI PICK-UP 11.1997-2005 МОЛД  ДЛЯ СТ ВЕТР ХРОМ</t>
  </si>
  <si>
    <t>TOYOTA HI-LUX VI PICK-UP 11.1997-2005 СТ ПЕР ДВ ОП ЛВ ЗЛ ФИТ</t>
  </si>
  <si>
    <t>TOYOTA HI-LUX VI PICK-UP 11.1997-2005 СТ ПЕР ДВ ОП ПР ЗЛ ФИТ</t>
  </si>
  <si>
    <t>HI-LUX 4Д PU 2005-</t>
  </si>
  <si>
    <t>TOYOTA HI-LUX 4Д PU 2005-  СТ ВЕТР ЗЛ</t>
  </si>
  <si>
    <t>TOYOTA HI-LUX 2Д+4Д PU 2005-  СТ ВЕТР ЗЛЗЛ</t>
  </si>
  <si>
    <t>LANDCRUISER (J40) 1975-1981</t>
  </si>
  <si>
    <t>1960-1984</t>
  </si>
  <si>
    <t>TOYOTA LANDCRUISER (J40) 1975-1981 СТ ВЕТР</t>
  </si>
  <si>
    <t>LANDCRUISER (J60) 1981-1989</t>
  </si>
  <si>
    <t>1981-1989</t>
  </si>
  <si>
    <t>TOYOTA LANDCRUISER (J60) 1981-1989 СТ ВЕТР ГЛ</t>
  </si>
  <si>
    <t>TOYOTA LANDCRUISER (J60) 1981-1989 СТ ВЕТР</t>
  </si>
  <si>
    <t>LANDCRUISER (J70) HARDTOP 11.1984-05.1996</t>
  </si>
  <si>
    <t>1984-1996</t>
  </si>
  <si>
    <t>TOYOTA LANDCRUISER (J70) HARDTOP 11.1984-05.1996 СТ ВЕТ ГЛ</t>
  </si>
  <si>
    <t>TOYOTA LANDCRUISER (J70) HARDTOP 11.1984-05.1996 СТ ВЕТР</t>
  </si>
  <si>
    <t>LANDCRUISER (J70) SOFTTOP 11.1984-05.1996</t>
  </si>
  <si>
    <t>TOYOTA LANDCRUISER (J70) SOFTTOP 11.1985-05.1996 СТ ВЕТР ГЛ</t>
  </si>
  <si>
    <t>TOYOTA LANDCRUISER (J70) SOFTTOP 11.1985-05.1996 СТ ВЕТР</t>
  </si>
  <si>
    <t>LANDCRUISER (J80) 01.1990-12.1997</t>
  </si>
  <si>
    <t>TOYOTA LANDCRUISER (J80) 01.1990-12.1997 СТ ВЕТР ГЛ</t>
  </si>
  <si>
    <t>TOYOTA LANDCRUISER (J80) 01.1990-12.1997 СТ ВЕТР ГЛГЛ</t>
  </si>
  <si>
    <t>TOYOTA LANDCRUISER (J80) 01.1990-12.1997 РЕЗ ПРОФ ДЛЯ СТ ВЕТР</t>
  </si>
  <si>
    <t>TOYOTA LANDCRUISER (J80) 01.1990-12.1997 СТ ЗАДН ГЛ</t>
  </si>
  <si>
    <t>TOYOTA LANDCRUISER (J80) 01.1990-12.1997 СТ ПЕР ДВ ОП ЛВ ГЛ</t>
  </si>
  <si>
    <t>TOYOTA LANDCRUISER (J80) 01.1990-12.1997 СТ ПЕР ДВ ОП ПР ГЛ</t>
  </si>
  <si>
    <t>LANDCRUISER (J90)/PRADO 08.1996-2003</t>
  </si>
  <si>
    <t>TOYOTA LANDCRUISER (J90)/PRADO 08.1996-2003 СТ ВЕТР</t>
  </si>
  <si>
    <t>TOYOTA LANDCRUISER (J90)/PRADO 08.1996-2003 СТ ВЕТР СЗЛЗЛ</t>
  </si>
  <si>
    <t>TOYOTA LANDCRUISER (J90)/PRADO 08.1996-2003 МОЛД  ДЛЯ СТ ВЕТР</t>
  </si>
  <si>
    <t>TOYOTA LANDCRUISER (J90)/PRADO 3Д+5Д ВН 1996-2003  СТ ЗАДН СЗЛ</t>
  </si>
  <si>
    <t>TOYOTA LANDCRUISER (J90)/PRADO 1996-2003  СТ ПЕР ДВ ОП ЛВ СЗЛ+ФИТ</t>
  </si>
  <si>
    <t>TOYOTA LANDCRUISER (J90)/PRADO 1996-2003  СТ ЗАДН ДВ ОП ЛВ СЗЛ</t>
  </si>
  <si>
    <t>TOYOTA LANDCRUISER (J90)/PRADO 5Д 1996-2003  СТ ЗАДН ДВ НЕП ЛВ СЗЛ</t>
  </si>
  <si>
    <t>TOYOTA LANDCRUISER (J90)/PRADO 1996-2003  СТ ПЕР ДВ ОП ПР СЗЛ+ФИТ</t>
  </si>
  <si>
    <t>TOYOTA LANDCRUISER (J90)/PRADO 1996-2003  СТ ЗАДН ДВ ОП ПР СЗЛ</t>
  </si>
  <si>
    <t>TOYOTA LANDCRUISER (J90)/PRADO 1996-2003  СТ ФОРТ ЗАДН НЕП ПР СЗЛ</t>
  </si>
  <si>
    <t>LANDCRUISER (J100) 05.1998-2007</t>
  </si>
  <si>
    <t>TOYOTA LANDCRUISER (J100) 05.1998-2007/ LEXUS 470 СТ ВЕТР ЗЛЗЛ</t>
  </si>
  <si>
    <t>TOYOTA LANDCRUISER (J100) 05.1998-2007/ LEXUS 470 СТ ВЕТР ЗЛЗЛ+ДД+VIN</t>
  </si>
  <si>
    <t>TOYOTA LANDCRUISER (J100) 05.1998-2007/ LEXUS 470 СТ ВЕТР ЗЛЗЛ+VIN</t>
  </si>
  <si>
    <t>TOYOTA LANDCRUISER (J100) 05.1998-2007 МОЛД  ДЛЯ СТ ВЕТР ВЕРХ</t>
  </si>
  <si>
    <t>TOYOTA LANDCRUISER (J100) 05.1998-2007- СТ ЗАДН ЗЛ</t>
  </si>
  <si>
    <t>TOYOTA LANDCRUISER (J100) 05.1998-2007 СТ ПЕР ДВ ОП ЛВ ЗЛ+УО</t>
  </si>
  <si>
    <t>TOYOTA LANDCRUISER (J100) 05.1998-2007 СТ ЗАДН ДВ ОП ЛВ ЗЛ</t>
  </si>
  <si>
    <t>TOYOTA LANDCRUISER (J100) 05.1998-2007 СТ ФОРТ ЗАДН НЕП ЛВ ЗЛ</t>
  </si>
  <si>
    <t>TOYOTA LANDCRUISER (J100) 05.1998-2007 СТ ПЕР ДВ ОП ПР ЗЛ+УО</t>
  </si>
  <si>
    <t>TOYOTA LANDCRUISER (J100) 05.1998-2007 СТ ЗАДН ДВ ОП ПР ЗЛ</t>
  </si>
  <si>
    <t>TOYOTA LANDCRUISER (J100) 05.1998-2007 СТ ФОРТ ЗАДН НЕП ПР ЗЛ</t>
  </si>
  <si>
    <t>LANDCRUISER (J120) PRADO 3/5Д 2003-</t>
  </si>
  <si>
    <t>TOYOTA LEXUS GX470 2003- СТ ВЕТР ЗЛ</t>
  </si>
  <si>
    <t>TOYOTA LEXUS GX470 2003- СТ ВЕТР ЗЛЗЛ</t>
  </si>
  <si>
    <t>TOYOTA LANDCRUISER (120) PRADO 3/5Д 2003- СТ ВЕТР ЗЛ+VIN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</si>
  <si>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</si>
  <si>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</si>
  <si>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</si>
  <si>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</si>
  <si>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TOYOTA LANDCRUISER (120) PRADO 3Д 2003- СТ ПЕР ДВ ОП ЛВ ЗЛ+ФИТ</t>
  </si>
  <si>
    <t>TOYOTA LANDCRUISER (120) PRADO 5Д 2003- СТ ЗАДН ДВ ОП ЛВ ЗЛ</t>
  </si>
  <si>
    <t>TOYOTA LANDCRUISER (120) PRADO 5Д 2003- СТ ФОРТ ЗАДН НЕП ЛВ ЗЛ</t>
  </si>
  <si>
    <t>TOYOTA LANDCRUISER (120) PRADO 3Д 2003- СТ ПЕР ДВ ОП ПР ЗЛ+ФИТ</t>
  </si>
  <si>
    <t>TOYOTA LANDCRUISER (120) PRADO 5Д 2003- СТ ЗАДН ДВ ОП ПР ЗЛ</t>
  </si>
  <si>
    <t>TOYOTA LANDCRUISER (120) PRADO 5Д 2003- СТ ФОРТ ЗАДН НЕП ПР ЗЛ</t>
  </si>
  <si>
    <t>LANDCRUISER (J200) V8 2008-</t>
  </si>
  <si>
    <t>TOYOTA LANDCRUISER (J200) V8 2008- СТ ВЕТР ЗЛЗЛ+VIN</t>
  </si>
  <si>
    <t>TOYOTA LANDCRUISER (J200) V8 2008- СТ ВЕТР ЗЛЗЛ+ЭО+VIN</t>
  </si>
  <si>
    <t>TOYOTA LANDCRUISER (J200) V8 2008- СТ ВЕТР ЗЛЗЛ+ЭО+ДД+VIN</t>
  </si>
  <si>
    <t>TOYOTA LANDCRUISER (J200) V8 2008- МОЛД ДЛЯ СТ ВЕТР ВЕРХ</t>
  </si>
  <si>
    <t>LANDCRUISER PRADO 150 2009-</t>
  </si>
  <si>
    <t>TOYOTA LANDCRUISER PRADO 150 2009- СТ ВЕТР ЗЛЗЛ+ЭО+ДД</t>
  </si>
  <si>
    <t>TOYOTA LANDCRUISER PRADO 150 2009- СТ ВЕТР ЗЛ ЗЛ+ОБОГР+ДД+ИНК</t>
  </si>
  <si>
    <t>TOYOTA LANDCRUISER PRADO 150 2009- СТ ВЕТР ЗЛЗЛ+VIN+ИНК</t>
  </si>
  <si>
    <t>TOYOTA LANDCRUISER PRADO 150 2009- СТ ВЕТР ЗЛЗЛ+АКУСТИК+ЭО+ИНК</t>
  </si>
  <si>
    <t>LITE-ACE (KM20) 1981-1985</t>
  </si>
  <si>
    <t>TOYOTA LITE-ACE 1981-1985 СТ ВЕТР</t>
  </si>
  <si>
    <t>LITE-ACE (KM36) 1986-1992</t>
  </si>
  <si>
    <t>TOYOTA LITE ACE (KM36) 1986-1992 СТ ВЕТР ГЛ</t>
  </si>
  <si>
    <t>TOYOTA LITE ACE (KM36) 1986-1992 СТ ВЕТР</t>
  </si>
  <si>
    <t>LITE-ACE (YR30) 1992-1995</t>
  </si>
  <si>
    <t>TOYOTA LITE-ACE (YR30) 1992-1995 СТ ВЕТР</t>
  </si>
  <si>
    <t>LUCIDA ESTIMA МИН 4Д 2006-</t>
  </si>
  <si>
    <t>TOYOTA LUCIDA ESTIMA МИН 4Д 2006- СТ ПЕР ДВ ОП ЛВ ГЛ+УО/TOYOTA PREVIA 1990-  СТ ПЕР ДВ ОП ЛВ ГЛ ФИТ</t>
  </si>
  <si>
    <t>TOYOTA LUCIDA ESTIMA МИН 4Д 2006- СТ ПЕР ДВ ОП ПР ГЛ+УО/TOYOTA PREVIA 1990-  СТ ПЕР ДВ ОП ПР ГЛ ФИТ</t>
  </si>
  <si>
    <t>MATRIX 5Д ХБ 2003-</t>
  </si>
  <si>
    <t>TOYOTA MATRIX/PONTIAC VIBE 5Д ХБ 2003- СТ ВЕТР ЗЛ</t>
  </si>
  <si>
    <t>MR2 (AW11) 11.1984-06.1990</t>
  </si>
  <si>
    <t>TOYOTA MR2 (AW11) 1985-1990 СТ ВЕТР ГЛ</t>
  </si>
  <si>
    <t>MR2 (SW20) КП 07.1990-1999</t>
  </si>
  <si>
    <t>1990-1999</t>
  </si>
  <si>
    <t>TOYOTA MR2 (SW20) КП 07.1990-1999  СТ ВЕТР ГЛ</t>
  </si>
  <si>
    <t>TOYOTA MR2 (SW20) КП 07.1990-1999  МОЛД  ДЛЯ СТ ВЕТР</t>
  </si>
  <si>
    <t>PASEO КП+КБ 1996-2000</t>
  </si>
  <si>
    <t>TOYOTA PASEO КП+КБ 1996-2000 СТ ВЕТР СЗЛ</t>
  </si>
  <si>
    <t>TOYOTA PASEO КП+КБ 1996-2000 СТ ВЕТР СЗЛГЛ</t>
  </si>
  <si>
    <t>TOYOTA PASEO КП+КБ 1996-2000 СТ ПЕР ДВ ОП ЛВ СЗЛ+ФИТ</t>
  </si>
  <si>
    <t>PICNIC 1996-2001</t>
  </si>
  <si>
    <t>TOYOTA PICNIC 1996-2001 СТ ВЕТР СЗЛ</t>
  </si>
  <si>
    <t>TOYOTA PICNIC 1996-2001 СТ ВЕТР СЗЛГЛ</t>
  </si>
  <si>
    <t>TOYOTA PICNIC 1996-2001 МОЛД  ДЛЯ СТ ВЕТР</t>
  </si>
  <si>
    <t>PREVIA LHD 2000-2005</t>
  </si>
  <si>
    <t>TOYOTA PREVIA LHD 2000-2005 СТ ВЕТР ЗЛ</t>
  </si>
  <si>
    <t>TOYOTA PREVIA LHD 2000-2005 МОЛД ДЛЯ СТ ВЕТР ВЕРХ</t>
  </si>
  <si>
    <t>TOYOTA PREVIA LHD 2000-2005  СТ ЗАДН ДВ ОП ЛВ ЗЛ+УО</t>
  </si>
  <si>
    <t>TOYOTA PREVIA LHD 2000-2005  СТ ПЕР ДВ ОП ПР ЗЛ+УО</t>
  </si>
  <si>
    <t>TOYOTA PREVIA LHD 2000-2005  СТ ЗАДН ДВ ОП ПР ЗЛ+УО</t>
  </si>
  <si>
    <t>PREVIA I 09.1990-2000</t>
  </si>
  <si>
    <t>1990-2000</t>
  </si>
  <si>
    <t>TOYOTA PREVIA I 09.1990-2000  СТ ВЕТР ГЛ</t>
  </si>
  <si>
    <t>TOYOTA PREVIA I 09.1990-2000  СТ ВЕТР ГЛГЛ</t>
  </si>
  <si>
    <t>TOYOTA PREVIA I 09.1990-2000  МОЛД  ДЛЯ СТ ВЕТР</t>
  </si>
  <si>
    <t>TOYOTA PREVIA I МИН 09.1990-2000  СТ ЗАДН ЭО ГЛ</t>
  </si>
  <si>
    <t>TOYOTA PREVIA I 09.1990-2000  СТ ПЕР ДВ ОП ЛВ ГЛ ФИТ/ TOYOTA LUCIDA ESTIMA VAN 4Д СТ ПЕР ДВ ОП ЛВ ГЛ+УО</t>
  </si>
  <si>
    <t>TOYOTA PREVIA I 09.1990-2000  СТ ПЕР ДВ ОП ПР ГЛ ФИТ/ TOYOTA LUCIDA ESTIMA VAN 4Д СТ ПЕР ДВ ОП ПР ГЛ+УО</t>
  </si>
  <si>
    <t>PRIUS 2000-2003</t>
  </si>
  <si>
    <t>TOYOTA PRIUS 2000-2003 СТ ВЕТР ЗЛ</t>
  </si>
  <si>
    <t>TOYOTA PRIUS 2000-2003 МОЛД  ДЛЯ СТ ВЕТР</t>
  </si>
  <si>
    <t>PRIUS 5Д ХБ 2003-</t>
  </si>
  <si>
    <t>TOYOTA PRIUS 5Д ХБ 2003- СТ ВЕТР ЗЛ</t>
  </si>
  <si>
    <t>TOYOTA PRIUS 5Д ХБ 2003- МОЛД  ДЛЯ СТ ВЕТР ВЕРХ</t>
  </si>
  <si>
    <t>4-RUNNER/HI-LUX 1989-1996</t>
  </si>
  <si>
    <t>TOYOTA 4 RUNNER 1989-1996  СТ ВЕТР ГЛ</t>
  </si>
  <si>
    <t>TOYOTA 4 RUNNER 1989-1996  СТ ВЕТР ГЛГЛ</t>
  </si>
  <si>
    <t>TOYOTA 4 RUNNER 1988-1996  НАБ КЛИПС ДЛЯ СТ ВЕТР</t>
  </si>
  <si>
    <t>TOYOTA 4 RUNNER 1989-1996  МОЛД  ДЛЯ СТ ВЕТР</t>
  </si>
  <si>
    <t>TOYOTA 4 RUNNER 1989-1996  МОЛД  ДЛЯ СТ ВЕТР ВЕРХ ХРОМ</t>
  </si>
  <si>
    <t>TOYOTA 4-RUNNER 89- СТ ПЕР ДВ ОП ЛВ</t>
  </si>
  <si>
    <t>RAV-4 I 1994-2000</t>
  </si>
  <si>
    <t>TOYOTA RAV-4 I 1994-2000  СТ ВЕТР ГЛ</t>
  </si>
  <si>
    <t>TOYOTA RAV-4 I 1994-2000  СТ ВЕТР СЗЛ</t>
  </si>
  <si>
    <t>TOYOTA RAV-4 I 1994-2000  СТ ВЕТР СЗЛГЛ</t>
  </si>
  <si>
    <t>TOYOTA RAV-4 I 1994-2000  СТ ВЕТР СЗЛЗЛ</t>
  </si>
  <si>
    <t>TOYOTA RAV-4 I 1994-2000 02/97 МОЛД  ДЛЯ СТ ВЕТР</t>
  </si>
  <si>
    <t>TOYOTA RAV-4 02/1997-2000 МОЛД ДЛЯ СТ ВЕТР</t>
  </si>
  <si>
    <t>TOYOTA RAV-4 I ВН 1994-2000  СТ ЗАДН СЗЛ</t>
  </si>
  <si>
    <t>TOYOTA RAV-4 I 3Д 1994-2000 СТ ПЕР ДВ ОП ЛВ+УО</t>
  </si>
  <si>
    <t>TOYOTA RAV-4 I 5Д 1994-2000 СТ ПЕР ДВ ОП ЛВ СЗЛ+ФИТ</t>
  </si>
  <si>
    <t>TOYOTA RAV-4 I 5Д 1994-2000 СТ ЗАДН ДВ ОП ЛВ СЗЛ</t>
  </si>
  <si>
    <t>TOYOTA RAV-4 I 5Д 1994-2000 СТ ФОРТ ЗАДН НЕП ЛВ СЗЛ</t>
  </si>
  <si>
    <t>TOYOTA RAV-4 I 3Д 1994-2000 СТ ПЕР ДВ ОП ПР+УО</t>
  </si>
  <si>
    <t>TOYOTA RAV-4 I 5Д 1994-2000 СТ ПЕР ДВ ОП ПР СЗЛ+ФИТ</t>
  </si>
  <si>
    <t>TOYOTA RAV-4 I 5Д 1994-2000 СТ ЗАДН ДВ ОП ПР СЗЛ</t>
  </si>
  <si>
    <t>TOYOTA RAV-4 I 5Д 1994-2000 СТ ЗАДН ДВ НЕП ПР СЗЛ</t>
  </si>
  <si>
    <t>RAV-4 II 2000-2006</t>
  </si>
  <si>
    <t>TOYOTA RAV-4 II 2000-2006 СТ ВЕТР ЗЛ</t>
  </si>
  <si>
    <t>TOYOTA RAV-4 II 2000-2006 СТ ВЕТР ЗЛ+ИЗМ SS</t>
  </si>
  <si>
    <t>TOYOTA RAV-4 II 7/2000-2003 СТ ВЕТР ЗЛГЛ</t>
  </si>
  <si>
    <t>TOYOTA RAV-4 II 2000-2006  СТ ВЕТР ЗЛГЛ</t>
  </si>
  <si>
    <t>TOYOTA RAV-4 II 7/2000-2006 СТ ВЕТР ЗЛЗЛ</t>
  </si>
  <si>
    <t>TOYOTA RAV-4 II 5Д 2000-2006 СТ ВЕТР ЗЛЗЛ</t>
  </si>
  <si>
    <t>TOYOTA RAV-4 II 2000-2006  СТ ВЕТР ЗЛ+VIN</t>
  </si>
  <si>
    <t>TOYOTA RAV-4 II 2003-2006 СТ ВЕТР ЗЛ VIN+ИЗМ ШЕЛК</t>
  </si>
  <si>
    <t>TOYOTA RAV-4 II 2000-2006 МОЛД  ДЛЯ СТ ВЕТР ВЕРХ</t>
  </si>
  <si>
    <t>TOYOTA RAV-4 II ВН 2000-2006 СТ ЗАДН ЗЛ+СТОП</t>
  </si>
  <si>
    <t>TOYOTA RAV-4 II 3Д 2000-2006  СТ ПЕР ДВ ОП ЛВ ЗЛ+ФИТ</t>
  </si>
  <si>
    <t>TOYOTA RAV-4 II 5Д 2000-2006 СТ ПЕР ДВ ОП ЛВ ЗЛ+УО</t>
  </si>
  <si>
    <t>TOYOTA RAV-4 II 5Д 2000-2006  СТ ЗАДН ДВ ОП ЛВ ЗЛ</t>
  </si>
  <si>
    <t>TOYOTA RAV-4 II 5Д 2000-2006 СТ ЗАДН ДВ НЕП ЛВ ЗЛ</t>
  </si>
  <si>
    <t>TOYOTA RAV-4 II 3Д 2000-2006  СТ ПЕР ДВ ОП ПР ЗЛ+ФИТ</t>
  </si>
  <si>
    <t>TOYOTA RAV-4 II 5Д 2000-2006 СТ ПЕР ДВ ОП ПР ЗЛ+УО</t>
  </si>
  <si>
    <t>TOYOTA RAV-4 II 5Д 2000-2006  СТ ЗАДН ДВ ОП ПР ЗЛ</t>
  </si>
  <si>
    <t>TOYOTA RAV-4 II 5Д 2000-2006 СТ ЗАДН ДВ НЕП ПР ЗЛ</t>
  </si>
  <si>
    <t>RAV-4 III 2006-</t>
  </si>
  <si>
    <t>TOYOTA RAV-4 III 2006- СТ ВЕТР ЗЛ+АКУСТИК+ЭО+ДД+УО</t>
  </si>
  <si>
    <t>TOYOTA RAV-4 III 2006- СТ ВЕТР ЗЛ ЭО+VIN+ДД+УО</t>
  </si>
  <si>
    <t>TOYOTA RAV-4 III 2006- СТ ВЕТР ЗЛ ЭО+VIN+УО</t>
  </si>
  <si>
    <t>TOYOTA RAV-4 III 2006- СТ ВЕТР ЗЛ+АКУСТИК+ДД+УО</t>
  </si>
  <si>
    <t>TOYOTA RAV-4 III 2006- СТ ВЕТР ЗЛ+VIN+УО</t>
  </si>
  <si>
    <t>TOYOTA RAV-4 III ВН 2006- СТ ЗАДН ЗЛ+АНТ+УО</t>
  </si>
  <si>
    <t>TOYOTA RAV-4 III 2006- СТ ФОРТ ЗАДН НЕП ЛВ ЗЛ</t>
  </si>
  <si>
    <t>TOYOTA RAV-4 III 2006- СТ ФОРТ ЗАДН НЕП ПР ЗЛ</t>
  </si>
  <si>
    <t>TOYOTA RAV 4 06 СТ ЗАДН ДВ ОП ЛВ ЗЛ+УО</t>
  </si>
  <si>
    <t>TOYOTA RAV 4 06 СТ ПЕР ДВ ОП ЛВ ЗЛ+УО</t>
  </si>
  <si>
    <t>TOYOTA RAV 4 06 СТ ПЕР ДВ ОП ПР ЗЛ+УО</t>
  </si>
  <si>
    <t>TOYOTA RAV 4 06 СТ ЗАДН ДВ ОП ПР ЗЛ+УО</t>
  </si>
  <si>
    <t>SEQUOIA 2001-</t>
  </si>
  <si>
    <t>TOYOTA SEQUOIA 2001-  СТ ВЕТР ЗЛГЛ</t>
  </si>
  <si>
    <t>STARLET II (P7) 10.1984-12.1989</t>
  </si>
  <si>
    <t>TOYOTA STARLET II (P7) 10.1984-12.1989 СТ ВЕТР ГЛ</t>
  </si>
  <si>
    <t>TOYOTA STARLET II (P7) 10.1984-12.1989 СТ ВЕТР</t>
  </si>
  <si>
    <t>TOYOTA STARLET II (P7) 10.1984-12.1989 СТ ПЕР ДВ ОП ЛВ ГЛ</t>
  </si>
  <si>
    <t>TOYOTA STARLET II (P7) 10.1984-12.1989 СТ ПЕР ДВ ОП ЛВ</t>
  </si>
  <si>
    <t>TOYOTA STARLET II (P7) 10.1984-12.1989 СТ ПЕР ДВ ОП ПР ГЛ</t>
  </si>
  <si>
    <t>STARLET III (P8) 12.1989-03.1996</t>
  </si>
  <si>
    <t>TOYOTA STARLET III (P8) 12.1989-03.1996 СТ ВЕТР ГЛ</t>
  </si>
  <si>
    <t>TOYOTA STARLET III (P8) 12.1989-03.1996 СТ ВЕТР</t>
  </si>
  <si>
    <t>TOYOTA STARLET III (P8) 12.1989-03.1996 МОЛД  ДЛЯ СТ ВЕТР</t>
  </si>
  <si>
    <t>TOYOTA STARLET III (P8) ХБ 12.1989-03.1996 СТ ЗАДН ГЛ</t>
  </si>
  <si>
    <t>TOYOTA STARLET III (P8) ХБ 12.1989-03.1996 СТ ЗАДН</t>
  </si>
  <si>
    <t>STARLET IV (P9) 04.1996-03.1999</t>
  </si>
  <si>
    <t>TOYOTA STARLET IV (P9) 3Д/5Д 1996-1999  СТ ВЕТР ЗЛ</t>
  </si>
  <si>
    <t>TOYOTA STARLET IV (P9) 3Д/5Д 1996-1999  МОЛД  ДЛЯ СТ ВЕТР</t>
  </si>
  <si>
    <t>TOYOTA STARLET IV (P9) 3Д/5Д ХБ 1996-1999 СТ ЗАДН ЗЛ</t>
  </si>
  <si>
    <t>TOYOTA STARLET IV (P9) 3Д 1996-1999  СТ ПЕР ДВ ОП ЛВ ЗЛ+2ОТВ</t>
  </si>
  <si>
    <t>TOYOTA STARLET IV (P9) 5Д 1996-1999  СТ ПЕР ДВ ОП ЛВ ЗЛ+2ОТВ</t>
  </si>
  <si>
    <t>TOYOTA STARLET IV (P9) 5Д 1996-1999  СТ БОК НЕП ЛВ ЗЛ</t>
  </si>
  <si>
    <t>TOYOTA STARLET IV (P9) 3Д 1996-1999 СТ ПЕР ДВ ОП ПР 2ОТВ ЗЛ</t>
  </si>
  <si>
    <t>TOYOTA STARLET IV (P9) 5Д 1996-1999  СТ ПЕР ДВ ОП ПР ЗЛ+2ОТВ</t>
  </si>
  <si>
    <t>TOYOTA STARLET IV (P9) 5Д 1996-1999  СТ БОК НЕП ПР ЗЛ</t>
  </si>
  <si>
    <t>SUPRA MA КП 01.1986-05.1993</t>
  </si>
  <si>
    <t>TOYOTA SUPRA MA КП 01.1986-05.1993 СТ ВЕТР ГЛ</t>
  </si>
  <si>
    <t>TERCEL 1982-1987</t>
  </si>
  <si>
    <t>TOYOTA TERCEL 1982-1987 СТ ВЕТР ГЛ</t>
  </si>
  <si>
    <t>YARIS 3Д+5Д 04.1999-2005</t>
  </si>
  <si>
    <t>TOYOTA YARIS 3Д+5Д 04.1999-2005 (JAPANESE) СТ ВЕТР ЗЛ</t>
  </si>
  <si>
    <t>TOYOTA YARIS 3Д+5Д 04.1999-2005 (EUROPEAN) СТ ВЕТР ЗЛ</t>
  </si>
  <si>
    <t>TOYOTA YARIS 3Д+5Д 2003-2005 СТ ВЕТР ЗЛ</t>
  </si>
  <si>
    <t>TOYOTA YARIS 3Д+5Д 04.1999-2005 СТ ВЕТР ЗЛ ГЛ</t>
  </si>
  <si>
    <t>TOYOTA YARIS 3Д+5Д 04.1999-2005 СТ ВЕТР ЗЛЗЛ</t>
  </si>
  <si>
    <t>TOYOTA YARIS 3Д+5Д 04.1999-2005 МОЛД  ДЛЯ СТ ВЕТР</t>
  </si>
  <si>
    <t>TOYOTA YARIS 1999-2005 ХБ СТ ЗАДН ДВ ЗЛ+ИНК</t>
  </si>
  <si>
    <t>TOYOTA YARIS 3Д 1999-2005 СТ ПЕР ДВ ОП ЛВ ЗЛ+УО</t>
  </si>
  <si>
    <t>TOYOTA YARIS 3Д 1999-2005 СТ БОК ЛВ ЗЛ</t>
  </si>
  <si>
    <t>TOYOTA YARIS 1999-2005 СТ ПЕР ДВ ОП ЛВ ЗЛ+УО</t>
  </si>
  <si>
    <t>TOYOTA YARIS 5Д 1999-2005 СТ ЗАДН ДВ ОП ЛВ ЗЛ</t>
  </si>
  <si>
    <t>TOYOTA YARIS 1999-2005 СТ ЗАДН ДВ НЕП ЛВ ЗЛ</t>
  </si>
  <si>
    <t>TOYOTA YARIS 3Д 1999-2005 СТ ПЕР ДВ ОП ПР ЗЛ+УО</t>
  </si>
  <si>
    <t>TOYOTA YARIS 3Д 1999-2005 СТ БОК ПР ЗЛ</t>
  </si>
  <si>
    <t>TOYOTA YARIS 1999-2005 СТ ПЕР ДВ ОП ПР ЗЛ+УО</t>
  </si>
  <si>
    <t>TOYOTA YARIS 5Д 1999-2005 СТ ЗАДН ДВ ОП ПР ЗЛ</t>
  </si>
  <si>
    <t>TOYOTA YARIS 1999-2005 СТ ЗАДН ДВ НЕП ПР ЗЛ</t>
  </si>
  <si>
    <t>YARIS 3Д+5Д 2006-</t>
  </si>
  <si>
    <t>TOYOTA YARIS 3Д+5Д 2006- СТ ВЕТР ЗЛ+УО</t>
  </si>
  <si>
    <t>TOYOTA YARIS 3Д+5Д 2006- СТ ВЕТР ЗЛ+УО (кроншт. - европ. ориг.)</t>
  </si>
  <si>
    <t>TOYOTA YARIS 3Д ХБ 2006- СТ ПЕР ДВ ОП ЛВ ЗЛ+УО</t>
  </si>
  <si>
    <t>TOYOTA YARIS 3Д ХБ 2006- СТ БОК НЕП ПР ЗЛ</t>
  </si>
  <si>
    <t>TOYOTA YARIS 5Д ХБ 2006- СТ ПЕР ДВ ОП ЛВ ЗЛ УО</t>
  </si>
  <si>
    <t>TOYOTA YARIS 5Д ХБ 2006- СТ ЗАДН ДВ ОП ЛВ ТЗЛ УО</t>
  </si>
  <si>
    <t>TOYOTA YARIS 5Д ХБ 2006- СТ ЗАДН ДВ НЕП ЛВ ЗЛ</t>
  </si>
  <si>
    <t>TOYOTA YARIS 5Д ХБ 2006- СТ ФОРТ ЗАДН ЛВ</t>
  </si>
  <si>
    <t>TOYOTA YARIS 3Д ХБ 2006- СТ ПЕР ДВ ОП ПР ЗЛ+УО</t>
  </si>
  <si>
    <t>TOYOTA YARIS 3Д ХБ 2006- СТ БОК НЕП ЛВ ЗЛ</t>
  </si>
  <si>
    <t>TOYOTA YARIS 5Д ХБ 2006- СТ ПЕР ДВ ОП ПР ЗЛ+УО</t>
  </si>
  <si>
    <t>TOYOTA YARIS 5Д ХБ 2006- СТ ЗАДН ДВ ОП ПР ЗЛ+УО</t>
  </si>
  <si>
    <t>TOYOTA YARIS 5Д ХБ 2006- СТ ЗАДН ДВ НЕП ПР ЗЛ</t>
  </si>
  <si>
    <t>TOYOTA YARIS 5Д ХБ 2006- СТ ФОРТ ЗАДН ПР</t>
  </si>
  <si>
    <t>YARIS VERSO 1999-2002</t>
  </si>
  <si>
    <t>TOYOTA YARIS VERSO 1999-2002 СТ ВЕТР ЗЛ/ TOYOTA YARIS VERSO 2000-2002 СТ ВЕТР ЗЛ</t>
  </si>
  <si>
    <t>TOYOTA YARIS VERSO 1999-2002 СТ ВЕТР ЗЛ+ИЗМ КР/ TOYOTA YARIS VERSO 2000-2003 СТ ВЕТР ЗЛ</t>
  </si>
  <si>
    <t>TOYOTA YARIS VERSO 1999-2002  МОЛД  ДЛЯ СТ ВЕТР</t>
  </si>
  <si>
    <t>TOYOTA YARIS VERSO МИН 1999-2002 СТ ЗАДН ЗЛ</t>
  </si>
  <si>
    <t>TOYOTA YARIS VERSO 1999-2002 СТ ПЕР ДВ ОП ЛВ ЗЛ+УО</t>
  </si>
  <si>
    <t>TOYOTA YARIS VERSO 1999-2002 СТ ЗАДН ДВ ОП ЛВ ЗЛ+УО</t>
  </si>
  <si>
    <t>TOYOTA YARIS VERSO 1999-2002 СТ БОК ЛВ ЗЛ</t>
  </si>
  <si>
    <t>TOYOTA YARIS VERSO 1999-2002 СТ ПЕР ДВ ОП ПР ЗЛ+УО</t>
  </si>
  <si>
    <t>TOYOTA YARIS VERSO 1999-2002 СТ ЗАДН ДВ ОП ПР ЗЛ+УО</t>
  </si>
  <si>
    <t>TOYOTA YARIS VERSO 1999-2002 СТ БОК ПР ЗЛ</t>
  </si>
  <si>
    <t>TOYOTA YARIS VERSO 1999-2002 СТ ВЕТР ЗЛ/TOYOTA YARIS VERSO ЛВРУЛЬ 1999-2002 СТ ВЕТР ЗЛ</t>
  </si>
  <si>
    <t>TOYOTA YARIS VERSO 1999-2002 СТ ВЕТР ЗЛ/TOYOTA YARIS VERSO ЛВРУЛЬ 1999-2002 СТ ВЕТР ЗЛ+ИЗМ КР</t>
  </si>
  <si>
    <t>VOLKSWAGEN</t>
  </si>
  <si>
    <t>AMAROK 2010- PU</t>
  </si>
  <si>
    <t>VOLKSWAGEN AMAROK 2010 PU СТ ВЕТР ЗЛ+VIN+ДО</t>
  </si>
  <si>
    <t>BEETLE 1303 1972-1977</t>
  </si>
  <si>
    <t>1972-1977</t>
  </si>
  <si>
    <t>VOLKSWAGEN BEETLE 1303 1972-1977 СТ ВЕТР</t>
  </si>
  <si>
    <t>VOLKSWAGEN BEETLE 1303 1972-1977 РЕЗ ПРОФ ДЛЯ СТ ВЕТР</t>
  </si>
  <si>
    <t>BEETLE 1964-1968</t>
  </si>
  <si>
    <t>1964-1968</t>
  </si>
  <si>
    <t>VOLKSWAGEN BEETLE 1964-1968 СТ ВЕТР</t>
  </si>
  <si>
    <t>VOLKSWAGEN BEETLE 1964-1968 РЕЗ ПРОФ ДЛЯ СТ ВЕТР</t>
  </si>
  <si>
    <t>BEETLE NEW 1997-2003</t>
  </si>
  <si>
    <t>VOLKSWAGEN NEW BEETLE 1997-2003  СТ ВЕТР ЗЛСР+ИНК</t>
  </si>
  <si>
    <t>VOLKSWAGEN NEW BEETLE СД 1997-2003  СТ ЗАДН ЗЛ+ИНК</t>
  </si>
  <si>
    <t>VOLKSWAGEN NEW BEETLE 1997-2003  СТ ПЕР ДВ ОП ЛВ ЗЛ</t>
  </si>
  <si>
    <t>VOLKSWAGEN NEW BEETLE 1997-2003  СТ ПЕР ДВ ОП ПР ЗЛ</t>
  </si>
  <si>
    <t>CADDY ПИ 1996-2004</t>
  </si>
  <si>
    <t>VOLKSWAGEN CADDY ПИ 1996-2004  СТ ВЕТР КР/ SKODA FELICIA 1995-2004 СТ ВЕТР+ШЕЛК+КР</t>
  </si>
  <si>
    <t>VOLKSWAGEN CADDY ПИ 1996-2004  СТ ВЕТР ЗЛ+КР/ SKODA FELICIA 1995-2004 СТ ВЕТР ЗЛ+ШЕЛК+КР</t>
  </si>
  <si>
    <t>VOLKSWAGEN CADDY ПИ 1996-2004  СТ ВЕТР ЗЛГЛ+КР/ SKODA FELICIA 1995-2004 СТ ВЕТР ЗЛГЛ+ШЕЛК+КР</t>
  </si>
  <si>
    <t>VOLKSWAGEN CADDY ПИ 1996-2004  СТ ПЕР ДВ ОП ЛВ/ SKODA FELICIA 1995-2004 СТ ПЕР ДВ ОП ЛВ</t>
  </si>
  <si>
    <t>VOLKSWAGEN CADDY ПИ 1996-2004  СТ ПЕР ДВ ОП ЛВ ЗЛ/ SKODA FELICIA 1995-2004 СТ ПЕР ДВ ОП ЛВ ЗЛ</t>
  </si>
  <si>
    <t>VOLKSWAGEN CADDY ПИ 1996-2004  СТ ПЕР ДВ ОП ПР/ SKODA FELICIA 1995-2004 СТ ПЕР ДВ ОП ПР</t>
  </si>
  <si>
    <t>VOLKSWAGEN CADDY ПИ 1996-2004  СТ ПЕР ДВ ОП ПР ЗЛ/ SKODA FELICIA 1995-2004 СТ ПЕР ДВ ОП ПР ЗЛ</t>
  </si>
  <si>
    <t>CADDY 2004-</t>
  </si>
  <si>
    <t>VOLKSWAGEN CADDY ПРРУЛЬ 2004- СТ ВЕТР ЗЛ GPS+ИНК+VIN</t>
  </si>
  <si>
    <t>VOLKSWAGEN CADDY ЛВРУЛЬ 2004- СТ ВЕТР ЗЛ ТЗЛ+ИНК+АНТ</t>
  </si>
  <si>
    <t>VOLKSWAGEN CADDY 2004-  СТ ВЕТР ПР СР ЗП GPS ПРРУЛЬ</t>
  </si>
  <si>
    <t>VOLKSWAGEN CADDY 2004-  СТ ВЕТР ЛВ ЗЛСР+АНТ+VIN+ИНК</t>
  </si>
  <si>
    <t>VOLKSWAGEN CADDY ПРРУЛЬ 2004- СТ ВЕТ ЗЛ АНТ+GPS+ИН+V</t>
  </si>
  <si>
    <t>VOLKSWAGEN CADDY ПРРУЛЬ 2004- СТ ВЕТ ЗЛ АНТ+ИН+V</t>
  </si>
  <si>
    <t>VOLKSWAGEN CADDY ЛВРУЛЬ 2004- СТ ВЕТ ЗЛ АНТ+GPS+ИНК+VIN</t>
  </si>
  <si>
    <t>VOLKSWAGEN CADDY 2007- СТ ВЕТР ЗЛ+АНТ+ДД+VIN</t>
  </si>
  <si>
    <t>VOLKSWAGEN CADDY 08/2007- СТ ВЕТР ЗЛ+ДД+VIN</t>
  </si>
  <si>
    <t>VOLKSWAGEN CADDY ЛВРУЛЬ 2004- СТ ВЕТ ЗЛ АНТ+ИНК+VIN</t>
  </si>
  <si>
    <t>VOLKSWAGEN CADDY 2004- СТ ВЕТР ПР СР ЗП GPS ПРРУЛЬ</t>
  </si>
  <si>
    <t>VOLKSWAGEN CADDY 2004-  СТ ВЕТР ПР СР ЗП АНТ ПРРУЛЬ</t>
  </si>
  <si>
    <t>VOLKSWAGEN CADDY ЛР 2004- СТ ВЕТ ЛВ ЗЛСР+ИНК+АНТ+GPS+VIN</t>
  </si>
  <si>
    <t>VOLKSWAGEN CADDY 2004- СТ ВЕТР ЛВ ЗЛСР+АНТ+VIN+ИНК</t>
  </si>
  <si>
    <t>VOLKSWAGEN CADDY 2004-  СТ ВЕТР ЗЛСР+VIN+ИНК</t>
  </si>
  <si>
    <t>VOLKSWAGEN CADDY ЛВРУЛЬ 10/2005- СТ ВЕТР ЗЛ+VIN+ИНК</t>
  </si>
  <si>
    <t>VOLKSWAGEN CADDY МИН 2004- СТ ЗАДН ЛВ ЭО ТЗЛ ЛВ+УО</t>
  </si>
  <si>
    <t>VOLKSWAGEN CADDY МИН 2004- СТ ЗАДН ПР ЭО ТЗЛ ПР+УО+ИЗМ РАЗМ</t>
  </si>
  <si>
    <t>VOLKSWAGEN CADDY МИН 2004- СТ ЗАДН ЛВ ЭО ЗЛ ЛВ+УО</t>
  </si>
  <si>
    <t>VOLKSWAGEN CADDY МИН 2004- СТ ЗАДН ПР ЭО ЗЛ ПР+УО+ИЗМ РАЗМ</t>
  </si>
  <si>
    <t>VOLKSWAGEN CADDY МИН 2004- СТ ЗАДН ЗЛ+VIN+УО</t>
  </si>
  <si>
    <t>VOLKSWAGEN CADDY МИН 2004- СТ ЗАДН СР+ФИТ</t>
  </si>
  <si>
    <t>VOLKSWAGEN CADDY 2004- СТ ПЕР ДВ ОП ЛВ ЗЛ</t>
  </si>
  <si>
    <t>VOLKSWAGEN CADDY 2004- СТ БОК ПЕР НЕП ЛВ ЗЛ+ИНК</t>
  </si>
  <si>
    <t>VOLKSWAGEN CADDY 2004- СТ СР ЗЛ ЛВ+УО</t>
  </si>
  <si>
    <t>VOLKSWAGEN CADDY 2004- СТ ПЕР ДВ ОП ПР ЗЛ</t>
  </si>
  <si>
    <t>VOLKSWAGEN CADDY 2004- СТ БОК ПЕР НЕП ПР ЗЛ+ИНК</t>
  </si>
  <si>
    <t>VOLKSWAGEN CADDY 2004- СТ СР ЗЛ ПР+УО</t>
  </si>
  <si>
    <t>COMBI,T2 МИН+ПИ 1967-1979</t>
  </si>
  <si>
    <t>1967-1979</t>
  </si>
  <si>
    <t>VOLKSWAGEN COMBI,T2 МИН+ПИ 1967-1979 СТ ВЕТР</t>
  </si>
  <si>
    <t>VOLKSWAGEN COMBI,T2 МИН+ПИ 1967-1979 РЕЗ ПРОФ ДЛЯ СТ ВЕТР</t>
  </si>
  <si>
    <t>CORRADO 1987-1995</t>
  </si>
  <si>
    <t>VOLKSWAGEN CORRADO 1987-1995 СТ ВЕТР ЗЛГЛ+КР</t>
  </si>
  <si>
    <t>VOLKSWAGEN CORRADO 1987-1995 СТ ВЕТР ЗЛЗЛ</t>
  </si>
  <si>
    <t>VOLKSWAGEN CORRADO 1987-1995  УСТ КОМПЛ ДЛЯ СТ ВЕТР</t>
  </si>
  <si>
    <t>FOX 2005-</t>
  </si>
  <si>
    <t>VOLKSWAGEN FOX LHD 2005- СТ ВЕТР ЗЛ+АНТ+УО</t>
  </si>
  <si>
    <t>VOLKSWAGEN FOX LHD 2005- УСТ КОМПЛ ДЛЯ СТ ВЕТР</t>
  </si>
  <si>
    <t>GOLF I /JETTA/RABBIT 1974-1983</t>
  </si>
  <si>
    <t>1974-1983</t>
  </si>
  <si>
    <t>VOLKSWAGEN GOLF/JETTA/RABBIT СД 1974-1983 СТ ВЕТР</t>
  </si>
  <si>
    <t>VOLKSWAGEN GOLF/JETTA/RABBIT СД 1974-1983 СТ ВЕТР ЗЛ</t>
  </si>
  <si>
    <t>VOLKSWAGEN GOLF/JETTA/RABBIT СД 1974-1983 СТ ВЕТР ЗЛГЛ</t>
  </si>
  <si>
    <t>VOLKSWAGEN GOLF/JETTA/RABBIT СД 1974-1983 СТ ВЕТР ЗЛЗЛ</t>
  </si>
  <si>
    <t>VOLKSWAGEN GOLF/JETTA/RABBIT СД 1974-1983 РЕЗ ПРОФ ДЛЯ СТ ВЕТР</t>
  </si>
  <si>
    <t>VOLKSWAGEN GOLF/JETTA/RABBIT СД 1974-1983 СТ ФОРТ ПЕР ДВ ЛВ ЗЛ</t>
  </si>
  <si>
    <t>GOLF II/JETTA 1983-1991</t>
  </si>
  <si>
    <t>VOLKSWAGEN GOLF II/JETTA 1983-1991 СТ ВЕТР</t>
  </si>
  <si>
    <t>VOLKSWAGEN GOLF II/JETTA 1983-1991 СТ ВЕТР ЗЛ</t>
  </si>
  <si>
    <t>VOLKSWAGEN GOLF II/JETTA 1983-1991 СТ ВЕТР ЗЛГЛ</t>
  </si>
  <si>
    <t>VOLKSWAGEN GOLF II/JETTA 1983-1991 СТ ВЕТР ЗЛЗЛ</t>
  </si>
  <si>
    <t>VOLKSWAGEN GOLF II/JETTA 1983-1991 РЕЗ ПРОФ ДЛЯ СТ ВЕТР</t>
  </si>
  <si>
    <t>VOLKSWAGEN GOLF II/JETTA ХБ 1983-1991 СТ ЗАДН ЭО</t>
  </si>
  <si>
    <t>VOLKSWAGEN GOLF II/JETTA ХБ 1983-1991 СТ ЗАДН ДВ +3ОТВ</t>
  </si>
  <si>
    <t>VOLKSWAGEN GOLF II/JETTA СД 1983-1991 СТ ЗАДН</t>
  </si>
  <si>
    <t>VOLKSWAGEN GOLF II/JETTA ХБ 1983-1991 СТ ЗАДН ЭО ЗЛ</t>
  </si>
  <si>
    <t>VOLKSWAGEN GOLF II/JETTA ХБ 1983-1991 СТ ЗАДН ЭО ЗЛ+3 ОТВ</t>
  </si>
  <si>
    <t>VOLKSWAGEN GOLF II/JETTA СД 1983-1991 СТ ЗАДН ЭО ЗЛ</t>
  </si>
  <si>
    <t>VOLKSWAGEN GOLF II/JETTA ХБ 1983-1991 РЕЗ ПРОФ ДЛЯ СТ ЗАДН</t>
  </si>
  <si>
    <t>VOLKSWAGEN GOLF II/JETTA ХБ 3Д 1983-1991 СТ ПЕР ДВ ОП ЛВ</t>
  </si>
  <si>
    <t>VOLKSWAGEN GOLF II/JETTA ХБ 3Д 1983-1991 СТ БОК ЛВ</t>
  </si>
  <si>
    <t>VOLKSWAGEN GOLF II/JETTA ХБ 5Д 1983-1991 СТ ПЕР ДВ ОП ЛВ</t>
  </si>
  <si>
    <t>VOLKSWAGEN GOLF II/JETTA ХБ 5Д 1983-1991 СТ ЗАДН ДВ ОП ЛВ</t>
  </si>
  <si>
    <t>VOLKSWAGEN GOLF II/JETTA ХБ 5Д 1983-1991 СТ БОК НЕП ЛВ</t>
  </si>
  <si>
    <t>VOLKSWAGEN GOLF II/JETTA ХБ 3Д 1983-1991 СТ ПЕР ДВ ОП ЛВ ЗЛ</t>
  </si>
  <si>
    <t>VOLKSWAGEN GOLF II/JETTA ХБ 3Д 1983-1991 СТ БОК ЛВ ЗЛ</t>
  </si>
  <si>
    <t>VOLKSWAGEN GOLF II/JETTA ХБ 5Д 1983-1991 СТ ПЕР ДВ ОП ЛВ ЗЛ</t>
  </si>
  <si>
    <t>VOLKSWAGEN GOLF II/JETTA ХБ 5Д 1983-1991 СТ ЗАДН ДВ ОП ЛВ ЗЛ</t>
  </si>
  <si>
    <t>VOLKSWAGEN GOLF II/JETTA ХБ 5Д 1983-1991 СТ БОК НЕП ЛВ ЗЛ</t>
  </si>
  <si>
    <t>VOLKSWAGEN GOLF II/JETTA ХБ 3Д 1983-1991 СТ ПЕР ДВ ОП ПР</t>
  </si>
  <si>
    <t>VOLKSWAGEN GOLF II/JETTA ХБ 3Д 1983-1991 СТ БОК ПР</t>
  </si>
  <si>
    <t>VOLKSWAGEN GOLF II/JETTA ХБ 5Д 1983-1991 СТ ПЕР ДВ ОП ПР</t>
  </si>
  <si>
    <t>VOLKSWAGEN GOLF II/JETTA ХБ 5Д 1983-1991 СТ ЗАДН ДВ ОП ПР</t>
  </si>
  <si>
    <t>VOLKSWAGEN GOLF II/JETTA ХБ 5Д 1983-1991 СТ БОК НЕП ПР</t>
  </si>
  <si>
    <t>VOLKSWAGEN GOLF II/JETTA ХБ 3Д 1983-1991 СТ ПЕР ДВ ОП ПР ЗЛ</t>
  </si>
  <si>
    <t>VOLKSWAGEN GOLF II/JETTA ХБ 3Д 1983-1991 СТ БОК ПР ЗЛ</t>
  </si>
  <si>
    <t>VOLKSWAGEN GOLF II/JETTA ХБ 5Д 1983-1991 СТ ПЕР ДВ ОП ПР ЗЛ</t>
  </si>
  <si>
    <t>VOLKSWAGEN GOLF II/JETTA ХБ 5Д 1983-1991 СТ ЗАДН ДВ ОП ПР ЗЛ</t>
  </si>
  <si>
    <t>VOLKSWAGEN GOLF II/JETTA ХБ 5Д 1983-1991 СТ БОК НЕП ПР ЗЛ</t>
  </si>
  <si>
    <t>GOLF III КБ 1993-1994</t>
  </si>
  <si>
    <t>1993-1994</t>
  </si>
  <si>
    <t>VOLKSWAGEN GOLF III КБ 1993-1994  СТ ВЕТР ЗЛЗЛ+ИНК</t>
  </si>
  <si>
    <t>VOLKSWAGEN GOLF III КБ 1993-1994  УСТ КОМПЛ ДЛЯ СТ ВЕТР</t>
  </si>
  <si>
    <t>VOLKSWAGEN GOLF III КБ 1993-1994  СТ ПЕР ДВ ОП ЛВ ЗЛ</t>
  </si>
  <si>
    <t>GOLF III/VENTO 1991-1996</t>
  </si>
  <si>
    <t>VOLKSWAGEN GOLF III/VENTO 1991-08/1994 СТ ВЕТР ИНК</t>
  </si>
  <si>
    <t>VOLKSWAGEN GOLF III/VENTO 08/1994-1997 СТ ВЕТР ИНК+ИЗМ КР</t>
  </si>
  <si>
    <t>VOLKSWAGEN GOLF III/VENTO 08/1994-1997 СТ ВЕТ ЗЛГЛ ИНК</t>
  </si>
  <si>
    <t>VOLKSWAGEN GOLF III/VENTO 08/1994-1997 СТ ВЕТР ЗЛГЛ ИНК+ИЗКР</t>
  </si>
  <si>
    <t>VOLKSWAGEN GOLF III/VENTO 08/1994-1997 СТ ВЕТ ЗЛЗЛ ИНК</t>
  </si>
  <si>
    <t>VOLKSWAGEN GOLF III/VENTO 08/1994-1997 СТ ВЕТ ЗЛЗЛ ИНК+ИЗКР</t>
  </si>
  <si>
    <t>VOLKSWAGEN GOLF III/VENTO 08/1994-1997 СТ ВЕТ ЗЛ ИНК</t>
  </si>
  <si>
    <t>VOLKSWAGEN GOLF III/VENTO 08/1994-1997 СТ ВЕТР ЗЛ ИНК+ИЗКР</t>
  </si>
  <si>
    <t>VOLKSWAGEN GOLF III/VENTO 08/1994-1997 НАБ КЛИПС ДЛЯ СТ ВЕТР</t>
  </si>
  <si>
    <t>VOLKSWAGEN GOLF III/VENTO 1991-08/1994 МОЛД  ДЛЯ СТ ВЕТР ВЕРХ</t>
  </si>
  <si>
    <t>VOLKSWAGEN GOLF III ХБ 1991-1997 СТ ЗАДН ЭО +ИНК</t>
  </si>
  <si>
    <t>VOLKSWAGEN GOLF III УН 1994-1997 СТ ЗАДН ЭО ЗЛ+ИНК+СТОП</t>
  </si>
  <si>
    <t>VOLKSWAGEN GOLF III УН 1994-1997 СТ ЗАДН ЭО ЗЛ+ИНК</t>
  </si>
  <si>
    <t>1996-1997</t>
  </si>
  <si>
    <t>VOLKSWAGEN GOLF III ХБ 1996-1997 СТ ЗАДН ЭО ЗЛ+СТОП+ИНК</t>
  </si>
  <si>
    <t>VOLKSWAGEN GOLF III ХБ 1996-1997 СТ ЗАДН ЭО ЗЛ+ИНК+3ОТВ+СТОП</t>
  </si>
  <si>
    <t>VOLKSWAGEN GOLF III ХБ 1991-1997 СТ ЗАДН ЭО ЗЛ+ИНК</t>
  </si>
  <si>
    <t>VOLKSWAGEN GOLF III ХБ 1991-1997 СТ ЗАДН ЭО ЗЛ 3 ОТВ+ИНК</t>
  </si>
  <si>
    <t>VOLKSWAGEN GOLF III УН 1994-1997 СТ ЗАДН ДВ ОП ЛВ</t>
  </si>
  <si>
    <t>VOLKSWAGEN GOLF III 3Д 1991-1997  СТ ПЕР ДВ ОП ЛВ</t>
  </si>
  <si>
    <t>VOLKSWAGEN GOLF III 3Д 1991-1997 СТ БОК ЛВ +ИНК</t>
  </si>
  <si>
    <t>VOLKSWAGEN GOLF III 5Д/VENTO 1991-1997 СТ ПЕР ДВ ОП ЛВ</t>
  </si>
  <si>
    <t>VOLKSWAGEN GOLF III 5Д/VENTO 1991-1997 СТ ЗАДН ДВ ОП ЛВ</t>
  </si>
  <si>
    <t>VOLKSWAGEN GOLF III 5Д/VENTO 1991-1997 СТ БОК НЕП ЛВ</t>
  </si>
  <si>
    <t>VOLKSWAGEN GOLF III УН 1994-1997 СТ ЗАДН ДВ ОП ЛВ ЗЛ</t>
  </si>
  <si>
    <t>VOLKSWAGEN GOLF III УН 1994-1997 СТ БОК ЛВ ЗЛ+ИНК</t>
  </si>
  <si>
    <t>VOLKSWAGEN GOLF III УН 1994-1997 СТ БОК НЕП ЛВ ЗЛ</t>
  </si>
  <si>
    <t>VOLKSWAGEN GOLF III 3Д 1991-1997 СТ ПЕР ДВ ОП ЛВ ЗЛ</t>
  </si>
  <si>
    <t>VOLKSWAGEN GOLF III 3Д 1991-1997 СТ БОК ЛВ ЗЛ+ИНК</t>
  </si>
  <si>
    <t>VOLKSWAGEN GOLF III 5Д+УН/VENTO 1991-1997 СТ ПЕР ДВ ОП ЛВ ЗЛ</t>
  </si>
  <si>
    <t>VOLKSWAGEN GOLF III 5Д/VENTO 1991-1997 СТ ЗАДН ДВ ОП ЛВ ТЗЛ</t>
  </si>
  <si>
    <t>VOLKSWAGEN GOLF III 5Д/VENTO 1991-1997 СТ БОК НЕП ЛВ ЗЛ</t>
  </si>
  <si>
    <t>VOLKSWAGEN GOLF III УН 1994-1997 СТ ЗАДН ДВ ОП ПР</t>
  </si>
  <si>
    <t>VOLKSWAGEN GOLF III 3Д 1991-1997  СТ ПЕР ДВ ОП ПР</t>
  </si>
  <si>
    <t>VOLKSWAGEN GOLF III 3Д 1991-1997 СТ БОК ПР +ИНК</t>
  </si>
  <si>
    <t>VOLKSWAGEN GOLF III 5Д/VENTO 1991-1997  СТ ПЕР ДВ ОП ПР</t>
  </si>
  <si>
    <t>VOLKSWAGEN GOLF III 5Д/VENTO 1991-1997 СТ ЗАДН ДВ ОП ПР</t>
  </si>
  <si>
    <t>VOLKSWAGEN GOLF III 5Д/VENTO 1991-1997  СТ БОК НЕП ПР</t>
  </si>
  <si>
    <t>VOLKSWAGEN GOLF III УН 1994-1997  СТ ЗАДН ДВ ОП ПР ЗЛ</t>
  </si>
  <si>
    <t>VOLKSWAGEN GOLF III УН 1994-1997  СТ БОК ПР ЗЛ+ИНК</t>
  </si>
  <si>
    <t>VOLKSWAGEN GOLF III УН 1994-1997  СТ БОК НЕП ПР ЗЛ</t>
  </si>
  <si>
    <t>VOLKSWAGEN GOLF III 3Д 1991-1997  СТ ПЕР ДВ ОП ПР ЗЛ</t>
  </si>
  <si>
    <t>VOLKSWAGEN GOLF III 3Д 1991-1997  СТ БОК ПР ЗЛ+ИНК</t>
  </si>
  <si>
    <t>VOLKSWAGEN GOLF III 5Д+УН/VENTO 1991-1997  СТ ПЕР ДВ ОП ПР ЗЛ</t>
  </si>
  <si>
    <t>VOLKSWAGEN GOLF III 5Д/VENTO 1991-1997  СТ ЗАДН ДВ ОП ПР ЗЛ</t>
  </si>
  <si>
    <t>VOLKSWAGEN GOLF III 5Д/VENTO 1991-1997 СТ БОК НЕП ПР ЗЛ</t>
  </si>
  <si>
    <t>GOLF IV 1997-2003/ BORA 1999- /VENTO</t>
  </si>
  <si>
    <t>VOLKSWAGEN GOLF IV 1997-2003/ BORA 1999- /VENTO СТ ВЕТР ЗЛГЛ ИНК+VIN</t>
  </si>
  <si>
    <t>VOLKSWAGEN GOLF IV 1997-2003/ BORA 1999- /VENTO СТ ВЕТР ЗЛЗЛ VIN ИНК</t>
  </si>
  <si>
    <t>VOLKSWAGEN GOLF IV 1997-2003/ BORA 1999- /VENTO СТ ВЕТ ЗЛСР+ИНК+VIN+ДД</t>
  </si>
  <si>
    <t>VOLKSWAGEN GOLF IV 1997-2003/ BORA 1999- /VENTO СТ ВЕТР ЗЛСР+ДД+ИНК</t>
  </si>
  <si>
    <t>VOLKSWAGEN GOLF IV 1997-2003/ BORA 1999- /VENTO СТ ВЕТР ЗЛСР+VIN+ИНК</t>
  </si>
  <si>
    <t>VOLKSWAGEN GOLF IV 1997-2003/ BORA 1999- /VENTO СТ ВЕТР ЗЛСР+ИНК</t>
  </si>
  <si>
    <t>VOLKSWAGEN GOLF IV 1997-2003/ BORA 1999- /VENTO СТ ВЕТР ЗЛ VIN ДД+ИНК</t>
  </si>
  <si>
    <t>VOLKSWAGEN GOLF IV 1997-2003/ BORA 1999- /VENTO СТ ВЕТР ЗЛ+ДД+ИНК</t>
  </si>
  <si>
    <t>VOLKSWAGEN GOLF IV 1997-2003/ BORA 1999- /VENTO СТ ВЕТР ЗЛ+ИНК+VIN</t>
  </si>
  <si>
    <t>VOLKSWAGEN GOLF IV 1997-2003/ BORA 1999- /VENTO СТ ВЕТР ЗЛ+ИНК</t>
  </si>
  <si>
    <t>VOLKSWAGEN GOLF IV УН 1997-2003/ BORA 1999- /VENTO УН СТ ЗАДН ЗЛ+ИНК</t>
  </si>
  <si>
    <t>VOLKSWAGEN GOLF IV ХБ 1997-2003/ BORA 1999- /VENTO ХБ СТ ЗАДН ДВ ЗЛ+СТОП+ИНК</t>
  </si>
  <si>
    <t>VOLKSWAGEN GOLF IV СД 1997-2003/ BORA 1999- /VENTO СД СТ ЗАДН ЭО ЗЛ+ИНК+СТОП</t>
  </si>
  <si>
    <t>VOLKSWAGEN GOLF IV 1997-2003/ BORA 1999- /VENTO УН СТ ЗАДН ДВ ОП ЛВ ГЛ+УО</t>
  </si>
  <si>
    <t>VOLKSWAGEN GOLF IV 1997-2003/ BORA 1999- /VENTO ХБ 3Д СТ ПЕР ДВ ОП ЛВ ГЛ</t>
  </si>
  <si>
    <t>VOLKSWAGEN GOLF IV 1997-2003/ BORA 1999- /VENTO ХБ 5Д СТ ЗАДН ДВ ОП ЛВ ГЛ</t>
  </si>
  <si>
    <t>VOLKSWAGEN GOLF IV 1997-2003/ BORA 1999- /VENTO УН СТ ЗАДН ДВ ОП ЛВ ЗЛ ФИТ</t>
  </si>
  <si>
    <t>VOLKSWAGEN GOLF IV 1997-2003/ BORA 1999- /VENTO ХБ 3Д СТ ПЕР ДВ ОП ЛВ ЗЛ</t>
  </si>
  <si>
    <t>VOLKSWAGEN GOLF IV 1997-2003/ BORA 1999- /VENTO ХБ 5Д СТ ЗАДН ДВ ОП ЛВ ЗЛ+ФИТ</t>
  </si>
  <si>
    <t>VOLKSWAGEN GOLF IV 1997-2003/ BORA 1999- /VENTO ХБ 5Д СТ БОК НЕП ЛВ ЗЛ</t>
  </si>
  <si>
    <t>VOLKSWAGEN GOLF IV 1997-2003/ BORA 1999- /VENTO СД СТ ЗАДН ДВ ОП ЛВ ЗЛ ФИТ</t>
  </si>
  <si>
    <t>VOLKSWAGEN GOLF IV 1997-2003/ BORA 1999- /VENTO СД СТ ФОРТ ЗАДН НЕП ЛВ ЗЛ</t>
  </si>
  <si>
    <t>VOLKSWAGEN GOLF IV 1997-2003/ BORA 1999- /VENTO УН СТ ЗАДН ДВ ОП ЛВ ТЗЛ+УО</t>
  </si>
  <si>
    <t>VOLKSWAGEN GOLF IV 1997-2003/ BORA 1999- /VENTO УН СТ ЗАДН ДВ ОП ПР ГЛ+УО</t>
  </si>
  <si>
    <t>VOLKSWAGEN GOLF IV 1997-2003/ BORA 1999- /VENTO ХБ 3Д СТ ПЕР ДВ ОП ПР ГЛ</t>
  </si>
  <si>
    <t>VOLKSWAGEN GOLF IV 1997-2003/ BORA 1999- /VENTO ХБ 5Д СТ ЗАДН ДВ ОП ПР ГЛ+УО</t>
  </si>
  <si>
    <t>VOLKSWAGEN GOLF IV 1997-2003/ BORA 1999- /VENTO ХБ 5Д СТ ЗАДН ДВ ОП ПР+ФИТ</t>
  </si>
  <si>
    <t>VOLKSWAGEN GOLF IV 1997-2003/ BORA 1999- /VENTO УН СТ ЗАДН ДВ ОП ПР ЗЛ ФИТ</t>
  </si>
  <si>
    <t>VOLKSWAGEN GOLF IV 1997-2003/ BORA 1999- /VENTO ХБ 3Д СТ ПЕР ДВ ОП ПР ЗЛ</t>
  </si>
  <si>
    <t>VOLKSWAGEN GOLF IV 1997-2003/ BORA 1999- /VENTO ХБ 5Д СТ ПЕР ДВ ОП ПР ЗЛ</t>
  </si>
  <si>
    <t>VOLKSWAGEN GOLF IV 1997-2003/ BORA 1999- /VENTO ХБ 5Д СТ ЗАДН ДВ ОП ПР ЗЛ+ФИТ</t>
  </si>
  <si>
    <t>VOLKSWAGEN GOLF IV 1997-2003/ BORA 1999- /VENTO ХБ 5Д СТ БОК НЕП ПР ЗЛ</t>
  </si>
  <si>
    <t>VOLKSWAGEN GOLF IV 1997-2003/ BORA 1999- /VENTO СД СТ ЗАДН ДВ ОП ПР ЗЛ ФИТ</t>
  </si>
  <si>
    <t>VOLKSWAGEN GOLF IV 1997-2003/ BORA 1999- /VENTO СД СТ ФОРТ ЗАДН НЕП ПР ЗЛ</t>
  </si>
  <si>
    <t>VOLKSWAGEN GOLF IV 1997-2003/ BORA 1999- /VENTO УН СТ ЗАДН ДВ ОП ПР ТЗЛ+УО</t>
  </si>
  <si>
    <t>GOLF V 2003-2008</t>
  </si>
  <si>
    <t>VOLKSWAGEN GOLF V 2003-2008 СТ ВЕТР ГЛ+ДД+VIN+ИНК+ИЗМ ДЕРЖ ЗЕРК</t>
  </si>
  <si>
    <t>VOLKSWAGEN GOLF V 2004-2008 СТ ВЕТР ГЛ+VIN+ИНК</t>
  </si>
  <si>
    <t>VOLKSWAGEN GOLF V 2003-2008 СТ ВЕТР ЗЛСР+ДД+VIN+ИНК+ИЗМ ДЕРЖ ЗЕРК</t>
  </si>
  <si>
    <t>VOLKSWAGEN GOLF V 2003-2008 СТ ВЕТР ЗЛСР+VIN+ИНК</t>
  </si>
  <si>
    <t>VOLKSWAGEN GOLF V 2003-2008 СТ ВЕТР ЗЛ+ДД+VIN+ИНК+ИЗМ ДЕРЖ ЗЕРК</t>
  </si>
  <si>
    <t>VOLKSWAGEN GOLF V 2003-2008 СТ ВЕТР ЗЛ+VIN+ИНК</t>
  </si>
  <si>
    <t>VOLKSWAGEN GOLF V 2006-2008 СТ ВЕТР ЗЛ+VIN+ИНК+ИЗМ КР</t>
  </si>
  <si>
    <t>VOLKSWAGEN GOLF V ХБ 2003-2008 СТ ЗАДН ЗЛ+АНТ+УО</t>
  </si>
  <si>
    <t>VOLKSWAGEN GOLF V ХБ 2003-2008 СТ ЗАДН ЗЛ+УО</t>
  </si>
  <si>
    <t>VOLKSWAGEN GOLF V 2003-2008 СТ ПЕР ДВ ОП ЛВ ЗЛ</t>
  </si>
  <si>
    <t>VOLKSWAGEN GOLF V 2003-2008 СТ ЗАДН ДВ ОП ЛВ ЗЛ+УО</t>
  </si>
  <si>
    <t>VOLKSWAGEN GOLF V 2003-2008 СТ ФОРТ ЗАДН НЕП ЛВ ЗЛ</t>
  </si>
  <si>
    <t>VOLKSWAGEN GOLF V 2003-2008 СТ ПЕР ДВ ОП ПР ЗЛ</t>
  </si>
  <si>
    <t>VOLKSWAGEN GOLF V 2003-2008 СТ БОК НЕП ПР ЗЛ+ИНК</t>
  </si>
  <si>
    <t>VOLKSWAGEN GOLF V 2003-2008 СТ ЗАДН ДВ ОП ПР ЗЛ+УО</t>
  </si>
  <si>
    <t>VOLKSWAGEN GOLF V 2003-2008 СТ ФОРТ ЗАДН НЕП ПР ЗЛ</t>
  </si>
  <si>
    <t>GOLF V PLUS 2005-</t>
  </si>
  <si>
    <t>VOLKSWAGEN GOLF V PLUS 2005- СТ ВЕТР ЗЛСР+VIN+ИНК</t>
  </si>
  <si>
    <t>VOLKSWAGEN GOLF V PLUS 2005- СТ ВЕТР ЗЛ+ДД+ИНК+VIN</t>
  </si>
  <si>
    <t>VOLKSWAGEN GOLF V PLUS 2005- СТ ВЕТР ЗЛ+ИНК+VIN</t>
  </si>
  <si>
    <t>VOLKSWAGEN GOLF V PLUS 2006- СТ ВЕТР ЗЛ+VIN+ИНК</t>
  </si>
  <si>
    <t>VOLKSWAGEN GOLF V PLUS МИН 2005- СТ ЗАДН ЭО ТЗЛ УО+АНТ</t>
  </si>
  <si>
    <t>VOLKSWAGEN GOLF V PLUS МИН 2005- СТ ЗАДН ЭО ТЗЛ УО+2 АНТ</t>
  </si>
  <si>
    <t>VOLKSWAGEN GOLF V PLUS МИН 2005- CТ ЗАДН ЭО ЗЛ УО+АНТ</t>
  </si>
  <si>
    <t>VOLKSWAGEN GOLF V PLUS МИН 2005- СТ ЗАДН ЗЛ+АНТ+УО</t>
  </si>
  <si>
    <t>VOLKSWAGEN GOLF V PLUS 2005- СТ ПЕР ДВ ОП ЛВ ЗЛ</t>
  </si>
  <si>
    <t>VOLKSWAGEN GOLF V PLUS 2005- СТ ПЕР ДВ НЕП ЛВ ЗЛ+ИНК</t>
  </si>
  <si>
    <t>VOLKSWAGEN GOLF V PLUS 2005- СТ ЗАДН ДВ ОП ЛВ ЗЛ+УО</t>
  </si>
  <si>
    <t>VOLKSWAGEN GOLF V PLUS 2005- СТ ПЕР ДВ ОП ПР ЗЛ</t>
  </si>
  <si>
    <t>VOLKSWAGEN GOLF V PLUS 2005- СТ ПЕР ДВ НЕП ПР ЗЛ+ИНК</t>
  </si>
  <si>
    <t>VOLKSWAGEN GOLF V PLUS 2005- СТ ЗАДН ОП ПР ЗЛ+УО</t>
  </si>
  <si>
    <t>GOLF VI 2008-</t>
  </si>
  <si>
    <t>VOLKSWAGEN GOLF VI 2008-  СТ ВЕТР ЗЛ АКУСТИК+VIN+ИНК</t>
  </si>
  <si>
    <t>VOLKSWAGEN GOLF VI 2008- СТ ВЕТР ЗЛ+АК+ДД+VIN+ИНК</t>
  </si>
  <si>
    <t>VOLKSWAGEN GOLF VI ХБ 2008- СТ ЗАДН ЗЛ</t>
  </si>
  <si>
    <t>VOLKSWAGEN GOLF VI ХБ 2008- СТ ЗАДН ЗЛ+АНТ+ИЗМ АНТ КР</t>
  </si>
  <si>
    <t>VOLKSWAGEN GOLF VI ХБ 2008- СТ ЗАДН ЗЛ+АНТ+ИЗМ АНТ</t>
  </si>
  <si>
    <t>VOLKSWAGEN GOLF VI ХБ 2008- СТ ЗАДН ЗЛ+АНТ</t>
  </si>
  <si>
    <t>VOLKSWAGEN GOLF VI ХБ 2008- СТ ЗАДН ТЗЛ+АНТ+ИЗМ АНТ КР</t>
  </si>
  <si>
    <t>VOLKSWAGEN GOLF VI ХБ 2008- СТ ЗАДН ТЗЛ+АНТ+ИЗМ АНТ</t>
  </si>
  <si>
    <t>JETTA 4Д СД 2005-2011</t>
  </si>
  <si>
    <t>VOLKSWAGEN JETTA 4Д СД 2005-2011 СТ ВЕТР ЗЛ+ДД+VIN+ИНК+ИЗМ ШЕЛК</t>
  </si>
  <si>
    <t>VOLKSWAGEN JETTA 4D СД 2005-2011  СТ ВЕТР ЗЛ+VIN+ИНК</t>
  </si>
  <si>
    <t>VOLKSWAGEN JETTA 4D СД 2005-2011 СТ ВЕТР ЗЛ+VIN+ИНК+ИЗМ КР</t>
  </si>
  <si>
    <t>VOLKSWAGEN JETTA СД 2005-2011 СТ ЗАДН ТЗЛ+АНТ+СТОП+ИНК</t>
  </si>
  <si>
    <t>VOLKSWAGEN JETTA СД 2005-2011 СТ ПЕР ДВ ОП ЛВ ЗЛ</t>
  </si>
  <si>
    <t>VOLKSWAGEN JETTA СД 2005-2011 СТ ЗАДН ДВ ОП ЛВ ЗЛ+УО</t>
  </si>
  <si>
    <t>VOLKSWAGEN JETTA СД 2005-2011 СТ ФОРТ ЗАДН НЕП ЛВ ЗЛ</t>
  </si>
  <si>
    <t>VOLKSWAGEN JETTA СД 2005-2011 СТ ПЕР ДВ ОП ПР ЗЛ</t>
  </si>
  <si>
    <t>VOLKSWAGEN JETTA СД 2005-2011 СТ ЗАДН ДВ ОП ПР ЗЛ+УО</t>
  </si>
  <si>
    <t>VOLKSWAGEN JETTA СД 2005-2011 СТ ФОРТ ЗАДН НЕП ПР ЗЛ</t>
  </si>
  <si>
    <t>JETTA 4Д СД 2011-</t>
  </si>
  <si>
    <t>VOLKSWAGEN JETTA СД 2011-СТ ВЕТР ЗЛ+ДД+VIN+ИНК</t>
  </si>
  <si>
    <t>VOLKSWAGEN JETTA 2011-СТ ВЕТР ЗЛАК+VIN+ИНК</t>
  </si>
  <si>
    <t>LT 28/31/35/40/45 1975-1996</t>
  </si>
  <si>
    <t>1975-1996</t>
  </si>
  <si>
    <t>VOLKSWAGEN LT 28/31/35/40/45 1975-1996 СТ ВЕТР</t>
  </si>
  <si>
    <t>VOLKSWAGEN LT 28/31/35/40/45 1975-1996 СТ ВЕТР ЗЛ</t>
  </si>
  <si>
    <t>VOLKSWAGEN LT 28/31/35/40/45 1975-1996 СТ ВЕТР ЗЛЗЛ</t>
  </si>
  <si>
    <t>VOLKSWAGEN LT 28/31/35/40/45 1975-1996 РЕЗ ПРОФ ДЛЯ СТ ВЕТР</t>
  </si>
  <si>
    <t>VOLKSWAGEN LT 28/31/35/40/45 1975-1996 СТ ПЕР ДВ ОП</t>
  </si>
  <si>
    <t>LT (HIGH) 1996-2006</t>
  </si>
  <si>
    <t>VOLKSWAGEN LT (HIGH) 1996-2006 СТ ВЕТР/ MERCEDES SPRINTER 1994-1996  СТ ВЕТР БОЛ</t>
  </si>
  <si>
    <t>VOLKSWAGEN LT (HIGH) 1996-2006 СТ ВЕТР ЗЛ/ MERCEDES SPRINTER высок. 1994-2006 СТ ВЕТР ЗЛ</t>
  </si>
  <si>
    <t>VOLKSWAGEN LT (HIGH) 1996-2006 СТ ВЕТР ЗЛЗЛ/ MERCEDES SPRINTER 1994-1996  СТ ВЕТР БОЛ ЗЛЗЛ</t>
  </si>
  <si>
    <t>VOLKSWAGEN LT (HIGH) 1996-2006  МОЛД  ДЛЯ СТ ВЕТР</t>
  </si>
  <si>
    <t>VOLKSWAGEN LT (HIGH) 1996-2006  СТ ПЕР ДВ ОП ЛВ</t>
  </si>
  <si>
    <t>VOLKSWAGEN LT (HIGH) 1996-2006  СТ ФОРТ ПЕР НЕП ЛВ</t>
  </si>
  <si>
    <t>VOLKSWAGEN LT (HIGH) 1996-2006  СТ ПЕР ДВ ОП ПР</t>
  </si>
  <si>
    <t>VOLKSWAGEN LT (HIGH) 1996-2006  СТ ФОРТ ПЕР НЕП ПР</t>
  </si>
  <si>
    <t>LT (SMALL) 1996-2006</t>
  </si>
  <si>
    <t>VOLKSWAGEN LT LOW 1996-2006  СТ ВЕТР</t>
  </si>
  <si>
    <t>VOLKSWAGEN LT LOW 1996-2006  СТ ВЕТР ЗЛ</t>
  </si>
  <si>
    <t>VOLKSWAGEN LT LOW 1996-2006  СТ ВЕТР ЗЛЗЛ</t>
  </si>
  <si>
    <t>VOLKSWAGEN LT LOW 1996-2006  МОЛД  ДЛЯ СТ ВЕТР</t>
  </si>
  <si>
    <t>LT 2006-</t>
  </si>
  <si>
    <t>VOLKSWAGEN CRAFTER 2006- СТ ВЕТР ЗЛ/MERCEDES SPRINTER SWB 2006-  СТ ВЕТР ЗЛ</t>
  </si>
  <si>
    <t>VOLKSWAGEN CRAFTER 2006- СТ ВЕТР ЗЛГЛ/MERCEDES SPRINTER SWB 2006-  СТ ВЕТР ЗЛГЛ</t>
  </si>
  <si>
    <t>VOLKSWAGEN CRAFTER 2006- СТ ВЕТР ЗЛГЛ+ЭО+ДД/MERCEDES SPRINTER SWB 2006-  СТ ВЕТР ЗЛГЛ ЭО+ДД</t>
  </si>
  <si>
    <t>VOLKSWAGEN CRAFTER 2006- СТ ВЕТР ЗЛГЛ+ДД/MERCEDES SPRINTER SWB 2006-  СТ ВЕТР ЗЛГЛ+ДД</t>
  </si>
  <si>
    <t>VOLKSWAGEN CRAFTER 2006- СТ ПЕР ДВ ОП ЛВ</t>
  </si>
  <si>
    <t>VOLKSWAGEN CRAFTER 2006- СТ ПЕР ДВ ОП ПР</t>
  </si>
  <si>
    <t>LUPO (SEAT AROSA) 1998-2004</t>
  </si>
  <si>
    <t>VOLKSWAGEN LUPO (SEAT AROSA) 1998-2004 СТ ВЕТР ЗЛ+VIN+ИНК</t>
  </si>
  <si>
    <t>VOLKSWAGEN LUPO (SEAT AROSA) 1998-2004 СТ ВЕТР ЗЛ+ИНК/SEAT AROSA 1997-  СТ ВЕТР ЗЛ+ИНК</t>
  </si>
  <si>
    <t>VOLKSWAGEN LUPO (SEAT AROSA) ХБ 1998-2004 СТ ЗАДН ДВ ЗЛ+ИНК</t>
  </si>
  <si>
    <t>VOLKSWAGEN LUPO (SEAT AROSA) 1998-2004 СТ ПЕР ДВ ОП ЛВ ЗЛ/SEAT AROSA 97  СТ ПЕР ДВ ОП ЛВ ЗЛ</t>
  </si>
  <si>
    <t>VOLKSWAGEN LUPO (SEAT AROSA) 1998-2004 СТ ПЕР ДВ ОП ПР ЗЛ/SEAT AROSA 97  СТ ПЕР ДВ ОП ПР ЗЛ</t>
  </si>
  <si>
    <t>MULTIVAN 2003-</t>
  </si>
  <si>
    <t>VOLKSWAGEN MULTIVAN 03- СТ ЗАДН НЕП ЛВ ЗЛ СТ ПАК</t>
  </si>
  <si>
    <t>VOLKSWAGEN MULTIVAN 03- СТ ЗАДН НЕП ПР ЗЛ СТ ПАК</t>
  </si>
  <si>
    <t>PASSAT B2 / SANTANA 1981-1988</t>
  </si>
  <si>
    <t>VOLKSWAGEN SANTANA/PASSAT СЕД+УН 1981-1988 СТ ВЕТР</t>
  </si>
  <si>
    <t>VOLKSWAGEN SANTANA/PASSAT СЕД+УН 1981-1988 СТ ВЕТР ЗЛ</t>
  </si>
  <si>
    <t>VOLKSWAGEN SANTANA/PASSAT СЕД+УН 1981-1988 СТ ВЕТР ЗЛГЛ</t>
  </si>
  <si>
    <t>VOLKSWAGEN SANTANA/PASSAT СЕД+УН 1981-1988 СТ ВЕТР ЗЛЗЛ</t>
  </si>
  <si>
    <t>VOLKSWAGEN SANTANA/PASSAT СЕД УН 1981-1988 РЕЗ ПРОФ ДЛЯ СТ ВЕТР</t>
  </si>
  <si>
    <t>VOLKSWAGEN PASSAT УН 1981-1988 СТ ЗАДН</t>
  </si>
  <si>
    <t>PASSAT B3 1988-1996</t>
  </si>
  <si>
    <t>VOLKSWAGEN PASSAT СД+УН 1988-1993 СТ ВЕТР+ИНК+КР</t>
  </si>
  <si>
    <t>VOLKSWAGEN PASSAT СД+УН 1988-1993 СТ ВЕТР ЗЛГЛ+ИНК</t>
  </si>
  <si>
    <t>VOLKSWAGEN PASSAT СД+УН 1993-08/1994 СТ ВЕТ ЗЛГЛ+ИН</t>
  </si>
  <si>
    <t>VOLKSWAGEN PASSAT СД+УН 08/1994-1996 СТ ВЕТ ЗЛГЛ+ИНК</t>
  </si>
  <si>
    <t>VOLKSWAGEN PASSAT СД+УН 1988-1993 СТ ВЕТР ЗЛЗЛ ИНК+КР</t>
  </si>
  <si>
    <t>VOLKSWAGEN PASSAT СД+УН 1993-08/1994 СТ ВЕТ ЗЛЗЛ+ИНК</t>
  </si>
  <si>
    <t>VOLKSWAGEN PASSAT СД+УН 08/1994-1996 СТ ВЕТР ЗЛЗЛ+ИНК+ИЗ КР</t>
  </si>
  <si>
    <t>VOLKSWAGEN PASSAT СД+УН 1988-1993 СТ ВЕТР ЗЛ ИНК</t>
  </si>
  <si>
    <t>VOLKSWAGEN PASSAT СД+УН 1993-08/1994 СТ ВЕТР ЗЛ+ИНК+КР</t>
  </si>
  <si>
    <t>VOLKSWAGEN PASSAT СД+УН 08/1994-1996 СТ ВЕТР ЗЛ+ИНК</t>
  </si>
  <si>
    <t>VOLKSWAGEN PASSAT СД+УН 1988-1993  ПРОФ ДЛЯ ПРИБ ПАН ДЛЯ СТ ВЕТР</t>
  </si>
  <si>
    <t>VOLKSWAGEN PASSAT СД+УН 1988-1993  СЕД МОЛД ДЛЯ СТ ВЕТР</t>
  </si>
  <si>
    <t>1996-1996</t>
  </si>
  <si>
    <t>VOLKSWAGEN PASSAT УН 1996-  СТ ЗАДН ДВ ЗЛ+СТОП+ИНК+АНТ</t>
  </si>
  <si>
    <t>VOLKSWAGEN PASSAT УН 1988-1996  СТ ЗАДН ЭО ЗЛ+АНТ+ИНК</t>
  </si>
  <si>
    <t>VOLKSWAGEN PASSAT УН 1993-1996  СТ ЗАДН ДВ ЗЛ+АНТ+ИНК</t>
  </si>
  <si>
    <t>VOLKSWAGEN PASSAT УН 1993-1996 СТ ЗАДН ДВ  ЗЛ+СТОП+ИНК</t>
  </si>
  <si>
    <t>VOLKSWAGEN PASSAT УН 1993-1996  СТ ЗАДН ДВ ЗЛ+ИНК</t>
  </si>
  <si>
    <t>VOLKSWAGEN PASSAT СД 1988-1996 СТ ЗАДН ЭО ЗЛ+АНТ+ИНК</t>
  </si>
  <si>
    <t>VOLKSWAGEN PASSAT СД 1988-1996  СТ ЗАДН ЗЛ+СТОП+ИНК</t>
  </si>
  <si>
    <t>VOLKSWAGEN PASSAT УН 1988-1996  СТ ЗАДН ДВ ОП ЛВ ЗЛ</t>
  </si>
  <si>
    <t>VOLKSWAGEN PASSAT СД+УН 1988-1996 СТ ПЕР ДВ ОП ЛВ ЗЛ</t>
  </si>
  <si>
    <t>VOLKSWAGEN PASSAT СД 1988-1996 СТ ЗАДН ДВ ОП ЛВ ЗЛ</t>
  </si>
  <si>
    <t>VOLKSWAGEN PASSAT СД 1988-1996 СТ БОК ЛВ ЗЛ ИНК</t>
  </si>
  <si>
    <t>VOLKSWAGEN PASSAT УН 1988-1996  СТ ЗАДН ДВ ОП ПР ЗЛ</t>
  </si>
  <si>
    <t>VOLKSWAGEN PASSAT СД+УН 1988-1996 СТ ПЕР ДВ ОП ПР ЗЛ</t>
  </si>
  <si>
    <t>VOLKSWAGEN PASSAT СД 1988-1996 СТ ЗАДН ДВ ОП ПР ЗЛ</t>
  </si>
  <si>
    <t>VOLKSWAGEN PASSAT СД 1988-1996 СТ БОК ПР ЗЛ ИНК</t>
  </si>
  <si>
    <t>PASSAT B5 1996-2005</t>
  </si>
  <si>
    <t>VOLKSWAGEN PASSAT B5 1996-2005 СТ ВЕТР ЗЛГЛ +ИНК/ SKODA SUPERB 2002-  СТ ВЕТР ЗЛГЛ+ИНК</t>
  </si>
  <si>
    <t>VOLKSWAGEN PASSAT B5 1996-2005 СТ ВЕТР ЗЛЗЛ+ИНК+VIN/ SKODA SUPERB 2002-  СТ ВЕТР ЗЛЗЛ+ИНК+VIN</t>
  </si>
  <si>
    <t>VOLKSWAGEN PASSAT B5 1996-2005 СТ ВЕТР ЗЛЗЛ+ИНК/ SKODA SUPERB 2002-  СТ ВЕТР ЗЛЗЛ+ИНК</t>
  </si>
  <si>
    <t>VOLKSWAGEN PASSAT B5 1996-2005 СТ ВЕТР ЗЛСР+ДД+VIN+ИНК/SKODA SUPERB 2002-  СТ ВЕТР ЗЛСР+ДД+VIN+ИНК</t>
  </si>
  <si>
    <t>VOLKSWAGEN PASSAT B5 1996-2005 СТ ВЕТР ЗЛСР+ДД+ИНК/SKODA SUPERB 2002-  СТ ВЕТР ЗЛСР+ДД+ИНК</t>
  </si>
  <si>
    <t>VOLKSWAGEN PASSAT B5 1996-2005 СТ ВЕТР ЗЛСР КР+ИНК+VIN/SKODA SUPERB 2002-  СТ ВЕТР ЗЛСР+VIN+ИНК</t>
  </si>
  <si>
    <t>VOLKSWAGEN PASSAT B5 1996-2005 СТ ВЕТР ЗЛСР+ИНК</t>
  </si>
  <si>
    <t>VOLKSWAGEN PASSAT B5 1996-2005 СТ ВЕТР ЗЛ+ДД+VIN</t>
  </si>
  <si>
    <t>VOLKSWAGEN PASSAT B5 1996-2005 СТ ВЕТР ЗЛ КР+ИНК+VIN/ SKODA SUPERB 2002-  СТ ВЕТР ЗЛ+ИНК+VIN</t>
  </si>
  <si>
    <t>VOLKSWAGEN PASSAT B5 1996-2005 СТ ВЕТР ЗЛ ИНК/ SKODA SUPERB 2002-  СТ ВЕТР ЗЛ+ИНК</t>
  </si>
  <si>
    <t>VOLKSWAGEN PASSAT B5 1996-2005 УСТ КОМПЛ ДЛЯ СТ ВЕТР В/С</t>
  </si>
  <si>
    <t>VOLKSWAGEN PASSAT B5 УН 1996-2005 СТ ЗАДН ЭО ЗЛ+СТОП+ИНК</t>
  </si>
  <si>
    <t>VOLKSWAGEN PASSAT B5 СД 1996-2005 СТ ЗАДН ЭО ЗЛ СТОП+ИНК/SKODA SUPERB 2002-  СТ ЗАДН ЗЛ+СТОП+ИНК</t>
  </si>
  <si>
    <t>VOLKSWAGEN PASSAT B5 УН 1996-2005 СТ ЗАДН ДВ ОП ЛВ+УО</t>
  </si>
  <si>
    <t>VOLKSWAGEN PASSAT B5 СД 1996-2005 СТ ПЕР ДВ ОП ЛВ ЗЛ/SKODA SUPERB 2002-  СТ ПЕР ДВ ОП ЛВ ЗЛ</t>
  </si>
  <si>
    <t>VOLKSWAGEN PASSAT B5 СД 1996-2005 СТ ЗАДН ДВ ОП ЛВ ЗЛ 1ОТВ+УО</t>
  </si>
  <si>
    <t>VOLKSWAGEN PASSAT B5 УН 1996-2005 СТ ЗАДН ДВ ОП ПР+УО</t>
  </si>
  <si>
    <t>VOLKSWAGEN PASSAT B5 СД 1996-2005 СТ ПЕР ДВ ОП ПР ЗЛ/SKODA SUPERB 2002-  СТ ПЕР ДВ ОП ПР ЗЛ</t>
  </si>
  <si>
    <t>VOLKSWAGEN PASSAT B5 СД 1996-2005 СТ ЗАДН ДВ ОП ПР ЗЛ 1 ОТВ+УО</t>
  </si>
  <si>
    <t>PASSAT B6 2005-</t>
  </si>
  <si>
    <t>VOLKSWAGEN PASSAT B6 2005- СТ ВЕТР ЗЛ ЭО+VIN+УО</t>
  </si>
  <si>
    <t>VOLKSWAGEN PASSAT B6 2006- СТ ВЕТР ЗЛ+ЭО+VIN+УО+ИЗМ КР</t>
  </si>
  <si>
    <t>VOLKSWAGEN PASSAT B6 СД+УН 2005- СТ ВЕТР ЗЛ+ДД+VIN+УО</t>
  </si>
  <si>
    <t>VOLKSWAGEN PASSAT B6 СД+УН 2005- СТ ВЕТР ЗЛ+VIN+УО</t>
  </si>
  <si>
    <t>VOLKSWAGEN PASSAT B6 2006- СТ ВЕТР ЗЛ+VIN+УО</t>
  </si>
  <si>
    <t>VOLKSWAGEN PASSAT B6 СД+УН 2007- СТ ВЕТР ЗЛСР+VIN+УО</t>
  </si>
  <si>
    <t>VOLKSWAGEN PASSAT B6 2005- СТ ВЕТР ЗЛ ЭО+ДД+VIN+УО+ИЗМ ШЕЛК</t>
  </si>
  <si>
    <t>VOLKSWAGEN PASSAT B6 2005-СТ ВЕТР ЗЛ+ЭО+ДД+VIN+ДО</t>
  </si>
  <si>
    <t>VOLKSWAGEN PASSAT B6 2005- СТ ВЕТР ЗЛ+ДД+VIN+ДО</t>
  </si>
  <si>
    <t>VOLKSWAGEN PASSAT B6 2005- СТ ВЕТР ЗЛ+ЭО+ДД+VIN+ДО</t>
  </si>
  <si>
    <t>VOLKSWAGEN PASSAT B7 2010-СТ ВЕТР ЗЛ+ДД+VIN+ДО</t>
  </si>
  <si>
    <t>VOLKSWAGEN PASSAT B6 УН 2005- СТ ЗАДН ДВ ТЗЛ+УО</t>
  </si>
  <si>
    <t>VOLKSWAGEN PASSAT СД 2005- СТ ЗАДН ЭО ТЗЛ+АНТ+УО+СТОП+GPS</t>
  </si>
  <si>
    <t>VOLKSWAGEN PASSAT B6 СД 2005- СТ ЗАДН ТЗЛ+АНТ+СТОП+УО</t>
  </si>
  <si>
    <t>VOLKSWAGEN PASSAT B6 УН 2005- СТ ЗАДН ДВ ЗЛ+УО</t>
  </si>
  <si>
    <t>VOLKSWAGEN PASSAT СД 2005- СТ ЗАДН ЭО ЗЛ+АНТ+УО+СТОП+GPS</t>
  </si>
  <si>
    <t>VOLKSWAGEN PASSAT B6 УН 2005- СТ ЗАДН ДВ ОП ЛВ ЗЛ+УО</t>
  </si>
  <si>
    <t>VOLKSWAGEN PASSAT B6 УН 2005- СТ БОК НЕП ЛВ ЗЛ+АНТ+ИНК</t>
  </si>
  <si>
    <t>VOLKSWAGEN PASSAT B6 2005- СТ ПЕР ДВ ОП ЛВ ЗЛ</t>
  </si>
  <si>
    <t>VOLKSWAGEN PASSAT B6 2006- СТ ПЕР ДВ ОП ЛВ ЗЛ</t>
  </si>
  <si>
    <t>VOLKSWAGEN PASSAT B6 СЕД 2005- СТ ЗАДН ДВ ОП ЛВ ЗЛ+УО</t>
  </si>
  <si>
    <t>VOLKSWAGEN PASSAT B6 СЕД 2005- СТ ФОРТ ЗАДН НЕП ЛВ ЗЛ</t>
  </si>
  <si>
    <t>VOLKSWAGEN PASSAT B6 УН 2005- СТ ЗАДН ДВ ОП ПР ЗЛ+УО</t>
  </si>
  <si>
    <t>VOLKSWAGEN PASSAT B6 УН 2005- СТ БОК НЕП ПР ЗЛ+АНТ</t>
  </si>
  <si>
    <t>VOLKSWAGEN PASSAT B6 УН 2005- СТ БОК НЕП ПР ЗЛ+АНТ+ИНК</t>
  </si>
  <si>
    <t>VOLKSWAGEN PASSAT B6 2005- СТ ПЕР ДВ ОП ПР ЗЛ</t>
  </si>
  <si>
    <t>VOLKSWAGEN PASSAT B6 2006- СТ ПЕР ДВ ОП ПР ЗЛ</t>
  </si>
  <si>
    <t>VOLKSWAGEN PASSAT B6 СЕД 2005- СТ ЗАДН ДВ ОП ПР ЗЛ+УО</t>
  </si>
  <si>
    <t>VOLKSWAGEN PASSAT B6 СЕД 2005- СТ ФОРТ ЗАДН НЕП ПР ЗЛ</t>
  </si>
  <si>
    <t>PASSAT CC 2008-</t>
  </si>
  <si>
    <t>VOLKSWAGEN PASSAT CC 2008-  СТ ВЕСТР ЗЛ+ДД+VIN+УО</t>
  </si>
  <si>
    <t>VOLKSWAGEN PASSAT CC 2008-  СТ ВЕТР ЗЛ АКУСТИК+ДД+VIN+УО</t>
  </si>
  <si>
    <t>VOLKSWAGEN PASSAT CC 2008 СТ ПЕР ДВ ОП ПР ЗЛ</t>
  </si>
  <si>
    <t>VOLKSWAGEN PASSAT CC 2008 СТ ПЕР ДВ ОП ЛВ ЗЛ</t>
  </si>
  <si>
    <t>POLO 1981-1994</t>
  </si>
  <si>
    <t>1981-1994</t>
  </si>
  <si>
    <t>VOLKSWAGEN POLO 1981-1994 СТ ВЕТР</t>
  </si>
  <si>
    <t>VOLKSWAGEN POLO 1981-1994 СТ ВЕТР ЗЛ</t>
  </si>
  <si>
    <t>VOLKSWAGEN POLO 1981-1994 СТ ВЕТР ЗЛГЛ</t>
  </si>
  <si>
    <t>VOLKSWAGEN POLO 1981-1994 СТ ВЕТР ЗЛЗЛ</t>
  </si>
  <si>
    <t>VOLKSWAGEN POLO 1981-1994 РЕЗ ПРОФ ДЛЯ СТ ВЕТР</t>
  </si>
  <si>
    <t>VOLKSWAGEN POLO УН 1981-1994 СТ ЗАДН</t>
  </si>
  <si>
    <t>VOLKSWAGEN POLO УН 1981-1994 СТ ЗАДН ДВ</t>
  </si>
  <si>
    <t>VOLKSWAGEN POLO УН 1981-1994 СТ ЗАДН ДВ ЗЛ</t>
  </si>
  <si>
    <t>VOLKSWAGEN POLO ХБ 1981-1994 СТ ЗАДН ДВ ЗЛ+ИНК</t>
  </si>
  <si>
    <t>VOLKSWAGEN POLO 1981-1994 СТ ПЕР ДВ ОП ЛВ</t>
  </si>
  <si>
    <t>VOLKSWAGEN POLO 1981-1994 СТ ФОРТ ПЕР ДВ ЛВ</t>
  </si>
  <si>
    <t>VOLKSWAGEN POLO 1981-1994 СТ БОК НЕП ЛВ ЗЛ</t>
  </si>
  <si>
    <t>VOLKSWAGEN POLO 1981-1994 СТ ПЕР ДВ ОП ЛВ ЗЛ</t>
  </si>
  <si>
    <t>VOLKSWAGEN POLO 1981-1994 СТ БОК ЛВ ЗЛ</t>
  </si>
  <si>
    <t>VOLKSWAGEN POLO 1981-1994 СТ ФОРТ ПЕР ДВ ЛВ ЗЛ</t>
  </si>
  <si>
    <t>VOLKSWAGEN POLO 1981-1994 СТ ПЕР ДВ ОП ПР</t>
  </si>
  <si>
    <t>VOLKSWAGEN POLO 1981-1994 СТ ФОРТ ПЕР ДВ ПР</t>
  </si>
  <si>
    <t>VOLKSWAGEN POLO 1981-1994 СТ ПЕР ДВ ОП ПР ЗЛ</t>
  </si>
  <si>
    <t>VOLKSWAGEN POLO 1981-1994 СТ БОК ПР ЗЛ</t>
  </si>
  <si>
    <t>VOLKSWAGEN POLO 1981-1994 СТ ФОРТ ПЕР ДВ ПР ЗЛ</t>
  </si>
  <si>
    <t>POLO 1994-10.1999</t>
  </si>
  <si>
    <t>VOLKSWAGEN POLO 1994-1999  СТ ВЕТР+ИНК</t>
  </si>
  <si>
    <t>VOLKSWAGEN POLO 1994-1999  СТ ВЕТР ЗЛГЛ+ИНК</t>
  </si>
  <si>
    <t>VOLKSWAGEN POLO 1994-1999  СТ ВЕТР ЗЛЗЛ+ИНК</t>
  </si>
  <si>
    <t>VOLKSWAGEN POLO 1994-1999  СТ ВЕТР ЗЛ+ИНК</t>
  </si>
  <si>
    <t>VOLKSWAGEN POLO ХБ 1996-1999  СТ ЗАДН ДВ ЗЛ+АНТ+СТОП+ИНК+ИЗМ ЭО</t>
  </si>
  <si>
    <t>VOLKSWAGEN POLO 3Д 1994-1999  СТ ПЕР ДВ ОП ЛВ</t>
  </si>
  <si>
    <t>VOLKSWAGEN POLO 3Д 1994-1999  СТ БОК ЛВ+ИНК</t>
  </si>
  <si>
    <t>VOLKSWAGEN POLO 5Д 1994-1999  СТ ПЕР ДВ ОП ЛВ</t>
  </si>
  <si>
    <t>VOLKSWAGEN POLO 5Д 1994-1999  СТ БОК НЕП ЛВ</t>
  </si>
  <si>
    <t>VOLKSWAGEN POLO 3Д 1994-1999  СТ ПЕР ДВ ОП ЛВ ЗЛ</t>
  </si>
  <si>
    <t>VOLKSWAGEN POLO 3Д 1994-1999  СТ БОК ЛВ ЗЛ+ИНК/POLO 3Д 1999  СТ ЗАДН НЕП ЛВ ЗЛ+ИНК</t>
  </si>
  <si>
    <t>VOLKSWAGEN POLO 5Д 1994-1999  СТ ПЕР ДВ ОП ЛВ ЗЛ</t>
  </si>
  <si>
    <t>VOLKSWAGEN POLO 5Д 1994-1999  СТ ЗАДН ДВ ОП ЛВ ЗЛ</t>
  </si>
  <si>
    <t>VOLKSWAGEN POLO 5Д 1994-1999  СТ БОК НЕП ЛВ ЗЛ</t>
  </si>
  <si>
    <t>VOLKSWAGEN POLO 3Д 1994-1999  СТ ПЕР ДВ ОП ПР</t>
  </si>
  <si>
    <t>VOLKSWAGEN POLO 3Д 1994-1999  СТ БОК ПР+ИНК</t>
  </si>
  <si>
    <t>VOLKSWAGEN POLO 5Д 1994-1999  СТ ПЕР ДВ ОП ПР</t>
  </si>
  <si>
    <t>VOLKSWAGEN POLO 5Д 1994-1999  СТ БОК НЕП ПР</t>
  </si>
  <si>
    <t>VOLKSWAGEN POLO 3Д 1994-1999  СТ ПЕР ДВ ОП ПР ЗЛ</t>
  </si>
  <si>
    <t>VOLKSWAGEN POLO 3Д 1994-1999  СТ БОК ПР ЗЛ+ИНК/POLO 3Д 1999  СТ ЗАДН НЕП ПР ЗЛ+ИНК</t>
  </si>
  <si>
    <t>VOLKSWAGEN POLO 5Д 1994-1999  СТ ПЕР ДВ ОП ПР ЗЛ</t>
  </si>
  <si>
    <t>VOLKSWAGEN POLO 5Д 1994-1999  СТ ЗАДН ДВ ОП ПР ЗЛ</t>
  </si>
  <si>
    <t>VOLKSWAGEN POLO 5Д 1994-1999  СТ БОК НЕП ПР ЗЛ</t>
  </si>
  <si>
    <t>POLO 10.1999-10.2001</t>
  </si>
  <si>
    <t>VOLKSWAGEN POLO 3Д/5Д 1999-2001 СТ ВЕТР ЗЛСР ИНК</t>
  </si>
  <si>
    <t>VOLKSWAGEN POLO 3Д/5Д 1999-2001 СТ ВЕТР ЗЛ ИНК+ШЕЛК ДД</t>
  </si>
  <si>
    <t>VOLKSWAGEN POLO 3Д/5Д 1999-2001 СТ ВЕТР ЗЛ ИНК</t>
  </si>
  <si>
    <t>VOLKSWAGEN POLO 3Д/5Д ХБ 1999-2001 СТ ЗАДН ДВ ЗЛ+ИНК</t>
  </si>
  <si>
    <t>VOLKSWAGEN POLO 3Д/5Д 1999-2001 СТ ЗАДН НЕП ЛВ ЗЛ+ИНК/ VOLKSWAGEN POLO 3Д 1994-  СТ БОК ЛВ ЗЛ+ИНК</t>
  </si>
  <si>
    <t>VOLKSWAGEN POLO 3Д/5Д 1999-2001 СТ ЗАДН НЕП ПР ЗЛ+ИНК/ VOLKSWAGEN POLO 3Д 1994-  СТ БОК ПР ЗЛ+ИНК</t>
  </si>
  <si>
    <t>POLO 10.2001-2009</t>
  </si>
  <si>
    <t>VOLKSWAGEN POLO 10.2001-2009 СТ ВЕТР ЗЛСР+ДД+VIN+ИНК</t>
  </si>
  <si>
    <t>VOLKSWAGEN POLO ХБ 2005-2009 СТ ВЕТР ЗЛСР+ДД+VIN+ИНК</t>
  </si>
  <si>
    <t>VOLKSWAGEN POLO ХБ 10.2001-2009 СТ ВЕТР ЗЛСР+VIN+ИНК</t>
  </si>
  <si>
    <t>VOLKSWAGEN POLO 3Д+5Д ХБ 10.2001-2009 СТ ВЕТР ЗЛ СР</t>
  </si>
  <si>
    <t>VOLKSWAGEN POLO ХБ 2005-2009 СТ ВЕТР ЗЛ+ДД+VIN+ИНК</t>
  </si>
  <si>
    <t>VOLKSWAGEN POLO 3Д+5Д ХБ 10.2001-2009 СТ ВЕТР ЗЛ+VIN+ИНК</t>
  </si>
  <si>
    <t>VOLKSWAGEN POLO ХБ 10.2001-2009 СТ ВЕТР ЗЛ+VIN+ИНК</t>
  </si>
  <si>
    <t>VOLKSWAGEN POLO ХБ 10.2001-2009 СТ ВЕТР ЗЛ+ИНК</t>
  </si>
  <si>
    <t>VOLKSWAGEN POLO 3Д+5Д ХБ 2005-2009 СТ ЗАДН ТЗЛ+УО+ИЗМ РАЗМ</t>
  </si>
  <si>
    <t>VOLKSWAGEN POLO ХБ 10.2001-2009 СТ ЗАДН ДВ ЗЛ+УО</t>
  </si>
  <si>
    <t>VOLKSWAGEN POLO 3Д+5Д ХБ 2005-2009 СТ ЗАДН ДВ ЗЛ+УО+ИЗМ РАЗМ</t>
  </si>
  <si>
    <t>VOLKSWAGEN POLO ХБ 10.2001-2009 СТ ПЕР ДВ ОП ЛВ ЗЛ</t>
  </si>
  <si>
    <t>VOLKSWAGEN POLO 5Д 10.2001-2009 СТ ПЕР ДВ ОП ЛВ ЗЛ</t>
  </si>
  <si>
    <t>VOLKSWAGEN POLO 5Д ХБ 10.2001-2009 СТ ЗАДН ДВ ОП ЛВ ЗЛ+УО</t>
  </si>
  <si>
    <t>VOLKSWAGEN POLO ХБ 10.2001-2009 СТ ПЕР ДВ ОП ПР ЗЛ</t>
  </si>
  <si>
    <t>VOLKSWAGEN POLO 5Д 10.2001-2009 СТ ПЕР ДВ ОП ПР ЗЛ</t>
  </si>
  <si>
    <t>VOLKSWAGEN POLO 5Д ХБ 10.2001-2009 СТ ЗАДН ДВ ОП ПР ЗЛ+УО</t>
  </si>
  <si>
    <t>POLO 5Д ХБ 2009-</t>
  </si>
  <si>
    <t>VOLKSWAGEN POLO FROM 2009-СТ ВЕТР ЗЛ+ДД+VIN+ДД</t>
  </si>
  <si>
    <t>VOLKSWAGEN POLO 5Д ХБ 2009- СТ ПЕР ДВ ОП ЛВ ЗЛ</t>
  </si>
  <si>
    <t>VOLKSWAGEN POLO 5Д ХБ 2009- СТ ПЕР ДВ ОП ПР ЗЛ</t>
  </si>
  <si>
    <t>POLO CLASSIC/CADDY 1995-1999 SEAT IBIZA+CORDOBA+INCA 07.1996-</t>
  </si>
  <si>
    <t>VOLKSWAGEN POLO CLASSIC/CADDY 1995-1999 СТ ВЕТР+УО / SEAT IBIZA/CORDOBA/INCA 96 СТ ВЕТР+УО</t>
  </si>
  <si>
    <t>VOLKSWAGEN POLO CLASSIC/CADDY 1995-1999 СТ ВЕТР ЗЛГЛ+УО / SEAT IBIZA/CORDOBA/INCA 96 СТ ВЕТР ЗЛЗЛ+ИНК</t>
  </si>
  <si>
    <t>VOLKSWAGEN POLO CLASSIC/CADDY 1995-1999 СТ ВЕТР ЗЛЗЛ +ИНК/SEAT IBIZA/CORDOBA/INCA 96 СТ ВЕТР ЗЛЗЛ+ИНК</t>
  </si>
  <si>
    <t>VOLKSWAGEN POLO CLASSIC/CADDY 1995-1999 СТ ВЕТР ЗЛЗЛ ИНК ИЗМ/SEAT IBIZA/CORDOBA/INCA 96 СТ ВЕТР ЗЛЗЛ+ИНК</t>
  </si>
  <si>
    <t>VOLKSWAGEN POLO CLASSIC/CADDY 1995-1999 СТ ВЕТР ЗЛ+ИНК</t>
  </si>
  <si>
    <t>VOLKSWAGEN POLO CLASSIC/CADDY МИН 1995-1999 СТ ЗАДН ЛВ</t>
  </si>
  <si>
    <t>VOLKSWAGEN POLO CLASSIC/CADDY МИН 1995-1999 СТ ЗАДН ПР</t>
  </si>
  <si>
    <t>VOLKSWAGEN POLO CLASSIC/CADDY УН 1995-1999 СТ ЗАДН ЗЛ+УО/ SEAT CORDOBA VARIO 1998- СТ ЗАДН ЗЛ+УО</t>
  </si>
  <si>
    <t>VOLKSWAGEN POLO CLASSIC/CADDY СД 1995-1999 СТ ЗАДН ЭО ЗЛ+ИНК</t>
  </si>
  <si>
    <t>VOLKSWAGEN POLO CLASSIC/CADDY 1995-1999 СТ ПЕР ДВ ОП ЛВ</t>
  </si>
  <si>
    <t>VOLKSWAGEN POLO CLASSIC/CADDY 1995-1999 СТ ПЕР ДВ ОП ЛВ ЗЛ/SEAT CORDOBA СЕД 1993- /VARIO 1998- СТ ПЕР ДВ ОП ЛВ ЗЛ</t>
  </si>
  <si>
    <t>VOLKSWAGEN POLO CLASSIC/CADDY 1995-1999 СТ ЗАДН ДВ ОП ЛВ ЗЛ/ SEAT IBIZA 5Д+CORDOB 1993 СТ ЗАДН ДВ ОП ЛВ ЗЛ</t>
  </si>
  <si>
    <t>VOLKSWAGEN POLO CLASSIC/CADDY 1995-1999 СТ ПЕР ДВ ОП ПР/ SEAT IBIZA 1993- СТ ПЕР ДВ ОП ПР</t>
  </si>
  <si>
    <t>VOLKSWAGEN POLO CLASSIC/CADDY 1995-1999 СТ ПЕР ДВ ОП ПР ЗЛ/ SEAT CORDOBA СЕД 1993 /VARIO 1998 СТ ПЕР ДВ ОП ПР ЗЛ</t>
  </si>
  <si>
    <t>VOLKSWAGEN POLO CLASSIC/CADDY 1995-1999 СТ ЗАДН ДВ ОП ПР ЗЛ/ SEAT IBIZA 5Д+CORDOBA 1993  СТ ЗАДН ДВ ОП ПР ЗЛ</t>
  </si>
  <si>
    <t>POLO CLASSIC 1999-2003</t>
  </si>
  <si>
    <t>VOLKSWAGEN POLO CLIC 1999-2003  СТ ВЕТР ЗЛЗЛ+ДД+ИНК/SEAT IBIZA 3Д+5Д 1999 /CORDOBA 2000 СТ ВЕТР ЗЛЗЛ+ДД+ИНК</t>
  </si>
  <si>
    <t>VOLKSWAGEN POLO CLIC 1999-2003  СТ ВЕТР ЗЛЗЛ+ИНК/SEAT IBIZA 3Д+5Д 1999 /CORDOBA 2000 СТ ВЕТР ЗЛЗЛ+ИНК</t>
  </si>
  <si>
    <t>VOLKSWAGEN POLO CLIC 1999-2003  СТ ВЕТР ЗЛСР+ИНК/SEAT IBIZA 3Д+5Д 1999 /CORDOBA 2000 СТ ВЕТР ЗЛСР+ИНК</t>
  </si>
  <si>
    <t>VOLKSWAGEN POLO CLIC 1999-2003  СТ ВЕТР ЗЛ+ДД+ИНК/SEAT IBIZA 3Д+5Д 1999 /CORDOBA 2000 СТ ВЕТР ЗЛ+ДД+ИНК</t>
  </si>
  <si>
    <t>VOLKSWAGEN POLO CLIC 1999-2003  СТ ВЕТР ЗЛ+ИНК/SEAT IBIZA 3Д+5Д 1999 /CORDOBA 2000 СТ ВЕТР ЗЛ+ИНК</t>
  </si>
  <si>
    <t>SCIROCCO 1981-1992</t>
  </si>
  <si>
    <t>1981-1992</t>
  </si>
  <si>
    <t>VOLKSWAGEN SCIROCCO 1981-1992 СТ ВЕТР</t>
  </si>
  <si>
    <t>VOLKSWAGEN SCIROCCO 1981-1992 СТ ВЕТР ЗЛ</t>
  </si>
  <si>
    <t>VOLKSWAGEN SCIROCCO 1981-1992 СТ ВЕТР ЗЛЗЛ</t>
  </si>
  <si>
    <t>SHARAN 1995-2005/1999/2003/2000</t>
  </si>
  <si>
    <t>VOLKSWAGEN SHARAN 1995-05/1999 СТ ВЕТР ЗЛ/FORD GALAXY I 1995-2006  СТ ВЕТР ЗЛ</t>
  </si>
  <si>
    <t>200-2005</t>
  </si>
  <si>
    <t>VOLKSWAGEN SHARAN 03/2000-2005 СТ ВЕТР ЗЛГЛ/FORD GALAXY I 1995-2006 05/99 СТ ВЕТР ЗЛГЛ</t>
  </si>
  <si>
    <t>VOLKSWAGEN SHARAN 03/2000-2005 СТ ВЕТР ЗЛГЛ+ЭО+VIN/FORD GALAXY I 03/2000-2006  СТ ВЕТР ЗЛГЛ+ЭО+VIN</t>
  </si>
  <si>
    <t>VOLKSWAGEN SHARAN 1995-05/1999 СТ ВЕТР ЗЛЗЛ/FORD GALAXY I 1995-2006  СТ ВЕТР ЗЛЗЛ</t>
  </si>
  <si>
    <t>1999-2000</t>
  </si>
  <si>
    <t>VOLKSWAGEN SHARAN 05/1999-03/2000 СТ ВЕТР ЗЛ+ЭО+VIN/FORD GALAXY I 1995-2006 /00 СТ ВЕТР  ЗЛ ЭО +VIN ИЗМ ШЕЛК</t>
  </si>
  <si>
    <t>VOLKSWAGEN SHARAN 03/2000-2005 СТ ВЕТР ЗЛ+ЭО+VIN/FORD GALAXY I 03/2000-2006  СТ ВЕТР ЗЛ ЭО+VIN</t>
  </si>
  <si>
    <t>VOLKSWAGEN SHARAN 03/2000-2005 СТ ВЕТР ЗЛ+VIN/FORD GALAXY I 03/2000-2006  СТ ВЕТР ЗЛ+VIN</t>
  </si>
  <si>
    <t>VOLKSWAGEN SHARAN 11/2003-2005 СТ ВЕТР ЗЛ+VIN+УО/FORD GALAXY I 11/2003-2006 СТ ВЕТР ЗЛ SOL+VIN+УО</t>
  </si>
  <si>
    <t>VOLKSWAGEN SHARAN 1995-2005 МОЛД ДЛЯ СТ ВЕТР</t>
  </si>
  <si>
    <t>1995-2005</t>
  </si>
  <si>
    <t>VOLKSWAGEN SHARAN МИН 1995-2005 СТ ЗАДН ЗЛ/FORD GALAXY I 1995-2006  СТ ЗАДН ЭО ЗЛ</t>
  </si>
  <si>
    <t>VOLKSWAGEN SHARAN МИН 1995-2005 СТ ЗАДН ЗЛ+СТОП/FORD GALAXY I 1995-2006  СТ ЗАДН ЗЛ+СТОП</t>
  </si>
  <si>
    <t>VOLKSWAGEN SHARAN 1995-2005  МОЛД ДЛЯ СТ ЗАДН</t>
  </si>
  <si>
    <t>VOLKSWAGEN SHARAN 1995-2005  СТ ПЕР ДВ ОП ЛВ ЗЛ/FORD GALAXY I 1995-2006  СТ ПЕР ДВ ОП ЛВ ЗЛ</t>
  </si>
  <si>
    <t>VOLKSWAGEN SHARAN 1995-2005 СТ ЗАДН ОП ЛВ ЗЛ/FORD GALAXY I 1995-2006  СТ ЗАДН ДВ ОП ЛВ ЗЛ</t>
  </si>
  <si>
    <t>VOLKSWAGEN SHARAN 1995-2005  СТ ПЕР ДВ ОП ПР ЗЛ/FORD GALAXY I 1995-2006  СТ ПЕР ДВ ОП ПР ЗЛ</t>
  </si>
  <si>
    <t>VOLKSWAGEN SHARAN 1995-2005  СТ ЗАДН ДВ ОП ПР ЗЛ/FORD GALAXY I 1995-2006  СТ ЗАДН ДВ ОП ПР ЗЛ</t>
  </si>
  <si>
    <t>SHARAN II 2009-</t>
  </si>
  <si>
    <t>VOLKSWAGEN SHARAN II 2009- СТ ВЕТР ЗЛ+ДД+VIN+ДО+И</t>
  </si>
  <si>
    <t>VOLKSWAGEN SHARAN II 2009- СТ ВЕТР ЗЛ+ЭО+ДД+VIN+Д</t>
  </si>
  <si>
    <t>VOLKSWAGEN SHARAN 2008- СТ ВЕТР ЗЛ+ЭО+VIN+ДО+ИНК</t>
  </si>
  <si>
    <t>VOLKSWAGEN SHARAN II 2009-СТ ВЕТР ЗЛ+VIN+ДО+ИНК</t>
  </si>
  <si>
    <t>VOLKSWAGEN SHARAN II 2009-СТ ВЕТР ЗЛ+ДД+VIN+ДО</t>
  </si>
  <si>
    <t>TARRO HIGH</t>
  </si>
  <si>
    <t>VOLKSWAGEN TARRO HIGH СТ ВЕТР/TOYOTA HI LUX YN106/LN105 1989- СТ ВЕТР</t>
  </si>
  <si>
    <t>VOLKSWAGEN TARRO HIGH PICK UP РЕЗ ПРОФ ДЛЯ СТ ВЕТР</t>
  </si>
  <si>
    <t>TIGUAN 2007-</t>
  </si>
  <si>
    <t>VOLKSWAGEN TIGUAN 2007- СТ ВЕТР ЗЛ+ДД+VIN+ИНК+ИЗМ КР</t>
  </si>
  <si>
    <t>VOLKSWAGEN TIGUAN 2007- СТ ВЕТР ЗЛ+VIN+ИНК</t>
  </si>
  <si>
    <t>VOLKSWAGEN TIGUAN 2007- СТ ЗАДН ЗЛ+АНТ</t>
  </si>
  <si>
    <t>VOLKSWAGEN TIGUAN 2007- СТ ФОРТ ЗАДН НЕП ЛВ ТЗЛ+ИНК</t>
  </si>
  <si>
    <t>VOLKSWAGEN TIGUAN 2007- СТ ПЕР ДВ ОП ЛВ ЗЛ</t>
  </si>
  <si>
    <t>VOLKSWAGEN TIGUAN 2007- СТ ЗАДН ДВ ОП ЛВ ЗЛ+УО</t>
  </si>
  <si>
    <t>VOLKSWAGEN TIGUAN 2007- СТ ФОРТ ЗАДН НЕП ЛВ ЗЛ+ИНК</t>
  </si>
  <si>
    <t>VOLKSWAGEN TIGUAN 2007- СТ ФОРТ ЗАДН НЕП ПР ТЗЛ+ИНК</t>
  </si>
  <si>
    <t>VOLKSWAGEN TIGUAN 2007- СТ ПЕР ДВ ОП ПР ЗЛ</t>
  </si>
  <si>
    <t>VOLKSWAGEN TIGUAN 2007- СТ ЗАДН ДВ ОП ПР ЗЛ+УО</t>
  </si>
  <si>
    <t>VOLKSWAGEN TIGUAN 2007- СТ ФОРТ ЗАДН НЕП ПР ЗЛ+ИНК</t>
  </si>
  <si>
    <t>TOURAN MPV 2003-</t>
  </si>
  <si>
    <t>VOLKSWAGEN TOURAN МИН 2003- СТ ВЕТР ЗЛХАМ/СР+УО</t>
  </si>
  <si>
    <t>VOLKSWAGEN TOURAN МИН 2003- СТ ВЕТР ЗЛСР+VIN+УО</t>
  </si>
  <si>
    <t>VOLKSWAGEN TOURAN МИН 2007- СТ ВЕТР ЗЛСР+VIN+УО</t>
  </si>
  <si>
    <t>VOLKSWAGEN TOURAN МИН 12/2005- СТ ВЕТР ЗЛ+ДД+VIN+УО</t>
  </si>
  <si>
    <t>VOLKSWAGEN TOURAN МИН 2009- СТ ВЕТР ЗЛ+ДД+VIN+ИНК</t>
  </si>
  <si>
    <t>VOLKSWAGEN TOURAN МИН 2003- СТ ВЕТР ЗЛ+VIN+УО</t>
  </si>
  <si>
    <t>VOLKSWAGEN TOURAN МИН 2007- СТ ВЕТР ЗЛ+VIN+УО</t>
  </si>
  <si>
    <t>VOLKSWAGEN TOURAN МИН 2003- СТ ВЕТР ЗЛ+УО</t>
  </si>
  <si>
    <t>VOLKSWAGEN TOURAN МИН 2003- СТ ЗАДН ТЗЛ+ИНК</t>
  </si>
  <si>
    <t>VOLKSWAGEN TOURAN МИН 2003- СТ ЗАДН ЗЛ+ИНК</t>
  </si>
  <si>
    <t>VOLKSWAGEN TOURAN МИН 2003- СТ ЗАДН  СР+ИНК</t>
  </si>
  <si>
    <t>VOLKSWAGEN TOURAN MPV 2003- СТ ЗАДН ДВ ОП ЛВ ТЗЛ+УО</t>
  </si>
  <si>
    <t>VOLKSWAGEN TOURAN MPV 2003- СТ ФОРТ ЗАДН НЕП ЛВ ТЗЛ</t>
  </si>
  <si>
    <t>VOLKSWAGEN TOURAN MPV 2003- СТ ПЕР ДВ ОП ЛВ ЗЛ</t>
  </si>
  <si>
    <t>VOLKSWAGEN TOURAN MPV 2003- СТ ЗАДН ДВ ОП ЛВ ЗЛ+УО</t>
  </si>
  <si>
    <t>VOLKSWAGEN TOURAN MPV 2003- СТ ФОРТ ЗАДН НЕП ЛВ ЗЛ</t>
  </si>
  <si>
    <t>VOLKSWAGEN TOURAN MPV 2003- СТ ЗАДН ДВ ОП ПР ТЗЛ+УО</t>
  </si>
  <si>
    <t>VOLKSWAGEN TOURAN MPV 2003- СТ ФОРТ ЗАДН НЕП ПР ТЗЛ</t>
  </si>
  <si>
    <t>VOLKSWAGEN TOURAN MPV 2003- СТ ПЕР ДВ ОП ПР ЗЛ</t>
  </si>
  <si>
    <t>VOLKSWAGEN TOURAN MPV 2003- СТ ЗАДН ДВ ОП ПР ЗЛ+УО</t>
  </si>
  <si>
    <t>VOLKSWAGEN TOURAN MPV 2003- СТ ФОРТ ЗАДН НЕП ПР ЗЛ</t>
  </si>
  <si>
    <t>TRANSPORTER (T3) 1979-1991</t>
  </si>
  <si>
    <t>VOLKSWAGEN COMBI,BULLY,TRANSPORTER 1979-1991 СТ ВЕТР</t>
  </si>
  <si>
    <t>VOLKSWAGEN COMBI,BULLY,TRANSPORTER 1979-1991 СТ ВЕТР ЗЛ</t>
  </si>
  <si>
    <t>VOLKSWAGEN COMBI,BULLY,TRANSPORTER 1979-1991 СТ ВЕТР ЗЛ АНТ</t>
  </si>
  <si>
    <t>VOLKSWAGEN COMBI,BULLY,TRANSPORTER 1979-1991 СТ ВЕТР ЗЛГЛ</t>
  </si>
  <si>
    <t>VOLKSWAGEN COMBI,BULLY,TRANSPORTER 1979-1991 СТ ВЕТР ЗЛЗЛ</t>
  </si>
  <si>
    <t>VOLKSWAGEN COMBI,BULLY,TRANSPORTER 1979-1991 РЕЗ ПРОФ ДЛЯ СТ ВЕТР</t>
  </si>
  <si>
    <t>VOLKSWAGEN COMBI,BULLY,TRANSPORTER МИН 1979-1991 СТ ЗАДН ЭО</t>
  </si>
  <si>
    <t>VOLKSWAGEN COMBI,BULLY,TRANSPORTER 1979-1991 РЕЗ ПРОФ ДЛЯ СТ ЗАДН</t>
  </si>
  <si>
    <t>VOLKSWAGEN COMBI,BULLY,TRANSPORTER 1979-1991 СТ ПЕР ДВ ОП ЛВ</t>
  </si>
  <si>
    <t>VOLKSWAGEN COMBI,BULLY,TRANSPORTER 1979-1991 СТ ПЕР НЕП ЛВ</t>
  </si>
  <si>
    <t>VOLKSWAGEN COMBI,BULLY,TRANSPORTER 1979-1991 СТ ПЕР ДВ ОП ПР</t>
  </si>
  <si>
    <t>VOLKSWAGEN COMBI,BULLY,TRANSPORTER 1979-1991 СТ ПЕР НЕП ПР</t>
  </si>
  <si>
    <t>TRANSPORTER/CARAVELLE (T4) 1990-2003</t>
  </si>
  <si>
    <t>1990-2003</t>
  </si>
  <si>
    <t>VOLKSWAGEN TRANSPORTER/CARAVELLE (T4) 1990-2003 СТ ВЕТР</t>
  </si>
  <si>
    <t>VOLKSWAGEN TRANSPORTER/CARAVELLE (T4) 1998-2003 СТ ВЕТР+ИЗМ КР</t>
  </si>
  <si>
    <t>VOLKSWAGEN TRANSPORTER/CARAVELLE (T4) 1990-2003 СТ ВЕТР АНТ</t>
  </si>
  <si>
    <t>VOLKSWAGEN TRANSPORTER/CARAVELLE (T4) 1998-2003 СТ ВЕТ ЗП СЕР+ИЗМ КР</t>
  </si>
  <si>
    <t>VOLKSWAGEN TRANSPORTER/CARAVELLE (T4) 1998-2003  СТ ВЕТР ПРСР+АНТ</t>
  </si>
  <si>
    <t>VOLKSWAGEN TRANSPORTER/CARAVELLE (T4) 1990-2003 СТ ВЕТР ЗЛ</t>
  </si>
  <si>
    <t>VOLKSWAGEN TRANSPORTER/CARAVELLE (T4) 1998-2003 СТ ВЕТР ЗЛ+ИЗМ КР</t>
  </si>
  <si>
    <t>VOLKSWAGEN TRANSPORTER/CARAVELLE (T4) 1990-2003 СТ ВЕТР ЗЛ АНТ</t>
  </si>
  <si>
    <t>VOLKSWAGEN TRANSPORTER/CARAVELLE (T4) 1990-2003 СТ ВЕТР ЗЛГЛ</t>
  </si>
  <si>
    <t>VOLKSWAGEN TRANSPORTER/CARAVELLE (T4) 1998-2003 СТ ВЕТР ЗЛГЛ+ИЗМ КР</t>
  </si>
  <si>
    <t>VOLKSWAGEN TRANSPORTER/CARAVELLE (T4) 1990-2003 СТ ВЕТР ЗЛГЛ+АНТ</t>
  </si>
  <si>
    <t>VOLKSWAGEN TRANSPORTER/CARAVELLE (T4) 1990-2003 СТ ВЕТР ЗЛЗЛ</t>
  </si>
  <si>
    <t>VOLKSWAGEN TRANSPORTER/CARAVELLE (T4) 1998-2003 СТ ВЕТР ЗЛЗЛ+ИЗМ КР</t>
  </si>
  <si>
    <t>VOLKSWAGEN TRANSPORTER/CARAVELLE (T4) 1990-2003 СТ ВЕТР ЗЛЗЛ+АНТ</t>
  </si>
  <si>
    <t>VOLKSWAGEN TRANSPORTER/CARAVELLE (T4) 1998-2003 СТ ВЕТР ЗЛСР</t>
  </si>
  <si>
    <t>VOLKSWAGEN TRANSPORTER/CARAVELLE (T4) 1990-2003 СТ ВЕТР ЗЛСР+АНТ+ИЗ КР</t>
  </si>
  <si>
    <t>VOLKSWAGEN TRANSPORTER/CARAVELLE (T4) 1990-2003  МОЛД  ДЛЯ СТ ВЕТР</t>
  </si>
  <si>
    <t>VOLKSWAGEN TRANSPORTER/CARAVELLE (T4) ПИКАП 1990-2003 СТ ЗАДН ЭО</t>
  </si>
  <si>
    <t>VOLKSWAGEN TRANSPORTER/CARAVELLE (T4) МИН 1990-2003 СТ ЗАДН ЭО</t>
  </si>
  <si>
    <t>VOLKSWAGEN TRANSPORTER/CARAVELLE (T4) МИН 1990-2003 СТ ЗАДН ЛВ+СТОП</t>
  </si>
  <si>
    <t>VOLKSWAGEN TRANSPORTER/CARAVELLE (T4) МИН 1990-2003  СТ ЗАДН ЛВ</t>
  </si>
  <si>
    <t>VOLKSWAGEN TRANSPORTER/CARAVELLE (T4) МИН 1990-2003 СТ ЗАДН ЛВ+ВЫС КРЫША</t>
  </si>
  <si>
    <t>VOLKSWAGEN TRANSPORTER/CARAVELLE (T4) МИН 1990-2003 СТ ЗАДН ПР</t>
  </si>
  <si>
    <t>VOLKSWAGEN TRANSPORTER/CARAVELLE (T4) МИН 1990-2003 СТ ЗАДН ПР+ВЫС КРЫША</t>
  </si>
  <si>
    <t>VOLKSWAGEN TRANSPORTER/CARAVELLE (T4) МИН 1990-2003  СТ ЗАДН ПР</t>
  </si>
  <si>
    <t>VOLKSWAGEN TRANSPORTER/CARAVELLE (T4) МИН 1990-2003  СТ ЗАДН Б/ЭО</t>
  </si>
  <si>
    <t>VOLKSWAGEN TRANSPORTER/CARAVELLE (T4) МИН 1990-2003  СТ ЗАДН ЗЛ</t>
  </si>
  <si>
    <t>VOLKSWAGEN TRANSPORTER/CARAVELLE (T4) МИН 1990-2003 СТ ЗАДН ЗЛ ЛВ+СТОП</t>
  </si>
  <si>
    <t>VOLKSWAGEN TRANSPORTER/CARAVELLE (T4) МИН 1990-2003 СТ ЗАДН ЭО ЗЛ ЛВ</t>
  </si>
  <si>
    <t>VOLKSWAGEN TRANSPORTER/CARAVELLE (T4) МИН 1990-2003 СТ ЗАДН ЭО ЗЛ ПР</t>
  </si>
  <si>
    <t>VOLKSWAGEN TRANSPORTER/CARAVELLE (T4) 1990-2003  МОЛД  ДЛЯ СТ ЗАДН</t>
  </si>
  <si>
    <t>VOLKSWAGEN TRANSPORTER/CARAVELLE (T4) 1990-2003 СТ ПЕР НЕП</t>
  </si>
  <si>
    <t>VOLKSWAGEN TRANSPORTER/CARAVELLE (T4) 1990-2003 СТ ПЕР ДВ ОП УО</t>
  </si>
  <si>
    <t>VOLKSWAGEN TRANSPORTER/CARAVELLE (T4) 1990-2003 СТ ПЕР НЕП ЗЛ</t>
  </si>
  <si>
    <t>VOLKSWAGEN TRANSPORTER/CARAVELLE (T4) 1990-2003 СТ ПЕР ДВ ОП ЗЛ УО</t>
  </si>
  <si>
    <t>VOLKSWAGEN TRANSPORTER/CARAVELLE (T4) 1990-2003 СТ ПЕР ДВ ОП ЛВ</t>
  </si>
  <si>
    <t>VOLKSWAGEN TRANSPORTER/CARAVELLE (T4) 1990-2003 СТ БОК НЕП ЛВ</t>
  </si>
  <si>
    <t>VOLKSWAGEN TRANSPORTER/CARAVELLE (T4) 1990-2003 СТ БОК ЛВ</t>
  </si>
  <si>
    <t>VOLKSWAGEN TRANSPORTER/CARAVELLE (T4) 1990-2003 СТ СР ЛВ</t>
  </si>
  <si>
    <t>VOLKSWAGEN TRANSPORTER/CARAVELLE (T4) 1990-2003 СТ ПЕР ДВ ОП ЛВ ЗЛ</t>
  </si>
  <si>
    <t>VOLKSWAGEN TRANSPORTER/CARAVELLE (T4) 1990-2003 СТ БОК НЕП ЛВ ЗЛ</t>
  </si>
  <si>
    <t>VOLKSWAGEN TRANSPORTER/CARAVELLE (T4) 1990-2003 СТ БОК ЛВ ЗЛ</t>
  </si>
  <si>
    <t>VOLKSWAGEN TRANSPORTER/CARAVELLE (T4) 1990-2003 СТ ПЕР ДВ ОП ПР</t>
  </si>
  <si>
    <t>VOLKSWAGEN TRANSPORTER/CARAVELLE (T4) 1990-2003 СТ БОК ПР</t>
  </si>
  <si>
    <t>VOLKSWAGEN TRANSPORTER/CARAVELLE (T4) 1990-2003 СТ ПЕР ДВ ОП ПР ЗЛ</t>
  </si>
  <si>
    <t>VOLKSWAGEN TRANSPORTER/CARAVELLE (T4) 1990-2003 СТ БОК НЕП ПР ЗЛ</t>
  </si>
  <si>
    <t>VOLKSWAGEN TRANSPORTER/CARAVELLE (T4) 1990-2003 СТ БОК ПР ЗЛ</t>
  </si>
  <si>
    <t>TRANSPORTER/MULTIVAN (T5) 2003-</t>
  </si>
  <si>
    <t>VOLKSWAGEN TRANSPORTER 2003- СТ ВЕТР ЗЛ+АНТ+VIN+ИНК</t>
  </si>
  <si>
    <t>VOLKSWAGEN TRANSPORTER/MULTIVAN (T5) 2003- СТ ВЕТР ЗЛ+ДД+VIN+ИНК</t>
  </si>
  <si>
    <t>VOLKSWAGEN TRANSPORTER/MULTIVAN (T5) 2003- СТ ВЕТР ЗЛ+АНТ+ДД+VIN+ИНК</t>
  </si>
  <si>
    <t>VOLKSWAGEN TRANSPORTER/MULTIVAN (T5) 2003- СТ ВЕТР ЗЛСР+АНТ+ДД+VIN+ИНК</t>
  </si>
  <si>
    <t>VOLKSWAGEN TRANSPORTER/MULTIVAN (T5) 2003- СТ ВЕТР ЗЛСР+АНТ+VIN+ИНК</t>
  </si>
  <si>
    <t>VOLKSWAGEN TRANSPORTER/MULTIVAN (T5) 2003- СТ ВЕТР ЗЛ СР+АНТ+VIN+ИНК</t>
  </si>
  <si>
    <t>VOLKSWAGEN TRANSPORTER/MULTIVAN (T5) 2003- СТ ВЕТР ЗЛСР+ДД+VIN+ИНК</t>
  </si>
  <si>
    <t>VOLKSWAGEN TRANSPORTER/MULTIVAN (T5) 2003- СТ ВЕТР ЗЛСР+VIN+ИНК</t>
  </si>
  <si>
    <t>VOLKSWAGEN TRANSPORTER/MULTIVAN (T5) МИН 2003- СТ ЗАДН ЗЛ ЛВ ЗЛ</t>
  </si>
  <si>
    <t>VOLKSWAGEN TRANSPORTER/MULTIVAN (T5) МИН 2003- СТ ЗАДН ЗЛ ПР ЗЛ</t>
  </si>
  <si>
    <t>VOLKSWAGEN TRANSPORTER/MULTIVAN (T5) МИН 2003- СТ ЗАДН ЗЛ+УО</t>
  </si>
  <si>
    <t>VOLKSWAGEN TRANSPORTER/MULTIVAN (T5) 2003- СТ ПЕР ДВ ОП ЛВ ЗЛ</t>
  </si>
  <si>
    <t>VOLKSWAGEN TRANSPORTER/MULTIVAN (T5) 2003- СТ СР ЗЛ ЛВ</t>
  </si>
  <si>
    <t>VOLKSWAGEN TRANSPORTER/MULTIVAN (T5) 2003- СТ ЗАДН ДВ ОП ЛВ ЗЛ</t>
  </si>
  <si>
    <t>VOLKSWAGEN TRANSPORTER/MULTIVAN (T5) 2003- СТ БОК НЕП ЛВ ЗЛ</t>
  </si>
  <si>
    <t>VOLKSWAGEN TRANSPORTER/MULTIVAN (T5) 2003- СТ БОК ПОД ЛВ ЗЛ УО</t>
  </si>
  <si>
    <t>VOLKSWAGEN TRANSPORTER/MULTIVAN (T5) 2003- СТ ЗАДН НЕП ЛВ ЗЛ+УО</t>
  </si>
  <si>
    <t>VOLKSWAGEN TRANSPORTER/MULTIVAN (T5) 2003- СТ ПЕР ДВ ОП ПР ЗЛ</t>
  </si>
  <si>
    <t>VOLKSWAGEN TRANSPORTER/MULTIVAN (T5) 2003- СТ СР ЗЛ ПР</t>
  </si>
  <si>
    <t>VOLKSWAGEN TRANSPORTER/MULTIVAN (T5) 2003- СТ ЗАДН ДВ ОП ПР ЗЛ</t>
  </si>
  <si>
    <t>VOLKSWAGEN TRANSPORTER/MULTIVAN (T5) 2003- СТ БОК НЕП ПР ЗЛ</t>
  </si>
  <si>
    <t>VOLKSWAGEN TRANSPORTER/MULTIVAN (T5) 2003- СТ БОК ПР ЗЛ УО</t>
  </si>
  <si>
    <t>VOLKSWAGEN TRANSPORTER/MULTIVAN (T5) 2003- СТ ЗАДН НЕП ПР ЗЛ+УО</t>
  </si>
  <si>
    <t>TOUAREG 2002-2010</t>
  </si>
  <si>
    <t>VOLKSWAGEN TOUAREG 2002-2010 СТ ВЕТР ЗЛСР+ДД+ИНК+VIN+ЭО</t>
  </si>
  <si>
    <t>VOLKSWAGEN TOUAREG 2002-2010 СТ ВЕТР ЗЛСР+VIN+ИНК+ЭО</t>
  </si>
  <si>
    <t>VOLKSWAGEN TOUAREG 2002-2010 СТ ВЕТР ЗЛСР+ДД+VIN</t>
  </si>
  <si>
    <t>VOLKSWAGEN TOUAREG 2002-2010 СТ ВЕТР ЗЛСР+ДД+VIN+ИНК+ИЗМ ШЕЛК</t>
  </si>
  <si>
    <t>VOLKSWAGEN TOUAREG 2002-2010 СТ ВЕТР ЗЛСР+VIN+ИНК/PORSCHE CAYENNE 2002- СТ ВЕТР ЗЛСР</t>
  </si>
  <si>
    <t>VOLKSWAGEN TOUAREG ВН 2002-2010 СТ ЗАДН ТЗЛ+УО+АНТ</t>
  </si>
  <si>
    <t>VOLKSWAGEN TOUAREG ВН 2002-2010 СТ ЗАДН ЗЛ+АНТ+УО</t>
  </si>
  <si>
    <t>VOLKSWAGEN TOUAREG 2002-2010 СТ ПЕР ДВ ОП ЛВ ЗЛ/PORSCHE CAYENNE 2002- СТ ПЕР ДВ ОП ЛВ ЗЛ</t>
  </si>
  <si>
    <t>VOLKSWAGEN TOUAREG 2002-2010 СТ ЗАДН ДВ ОП ЛВ ЗЛ/PORSCHE CAYENNE 2002- СТ ЗАДН ДВ ОП ЛВ ЗЛ</t>
  </si>
  <si>
    <t>VOLKSWAGEN TOUAREG 2002-2010 СТ БОК НЕП ЛВ ЗЛ+АНТ+ИНК</t>
  </si>
  <si>
    <t>VOLKSWAGEN TOUAREG 2002-2010 СТ БОК НЕП ЛВ ЗЛ+АНТ+ИНК+ИЗМ ИНК</t>
  </si>
  <si>
    <t>VOLKSWAGEN TOUAREG 2002-2010 СТ ПЕР ДВ ОП ПР ЗЛ/PORSCHE CAYENNE 2002- СТ ПЕР ДВ ОП ПР ЗЛ</t>
  </si>
  <si>
    <t>VOLKSWAGEN TOUAREG 2002-2010 СТ ЗАДН ДВ ОП ПР ЗЛ/PORSCHE CAYENNE 2002- СТ ЗАДН ДВ ОП ПР</t>
  </si>
  <si>
    <t>VOLKSWAGEN TOUAREG 2002-2010 СТ БОК НЕП ПР ЗЛ+АНТ+ИНК</t>
  </si>
  <si>
    <t>VOLKSWAGEN TOUAREG 2002-2010 СТ БОК НЕП ПР ЗЛ+АНТ+ИНК+ИЗМ ИНК</t>
  </si>
  <si>
    <t>TOUAREG 2010-</t>
  </si>
  <si>
    <t>VOLKSWAGEN TOUAREG 10 СТ ВЕТР ЗЛ+ДД+VIN+ДО+ИНК</t>
  </si>
  <si>
    <t>VOLKSWAGEN TOUAREG 10 СТ ВЕТР ЗЛ+ЭО+ДД+VIN+ДО+ИНК</t>
  </si>
  <si>
    <t>VOLKSWAGEN TOUAREG 2010-СТ ВЕТР ЗЛАК+КАМ+ДД+VIN</t>
  </si>
  <si>
    <t>VOLKSWAGEN TOUAREG 2010-СТ ВЕТР ЗЛАК+ДД+VIN+ДО</t>
  </si>
  <si>
    <t>VOLKSWAGEN TOUAREG 2010- СТ ПЕР ДВ ОП ЗЛ ЛВ</t>
  </si>
  <si>
    <t>VOLKSWAGEN TOUAREG 2010- СТ ПЕР ДВ ОП ЗЛ ПР</t>
  </si>
  <si>
    <t>VOLVO</t>
  </si>
  <si>
    <t>240/265 СД+УН 1979-1993</t>
  </si>
  <si>
    <t>VOLVO 240/265 СД+УН 1979-1993 СТ ВЕТР</t>
  </si>
  <si>
    <t>VOLVO 240/265 СД+УН 1979-1993 СТ ВЕТР ЗЛ</t>
  </si>
  <si>
    <t>VOLVO 240/265 СД+УН 1979-1993 СТ ВЕТР ЗЛГЛ</t>
  </si>
  <si>
    <t>VOLVO 240/265 СД+УН 1979-1993 НАБ КЛИПС ДЛЯ СТ ВЕТР</t>
  </si>
  <si>
    <t>VOLVO 240/260 УН 1979-1993 СТ ЗАДН ЗЛ+СТОП</t>
  </si>
  <si>
    <t>VOLVO 240/260 УН 1990-1994 СТ ЗАДН ДВ ЗЛ+ИНК</t>
  </si>
  <si>
    <t>VOLVO 240/260 СД+УН 1979-1993 СТ ПЕД ДВ ОП ЛВ ЗЛ</t>
  </si>
  <si>
    <t>VOLVO 240/260 СД+УН 1979-1993 СТ ПЕР ДВ ОП ПР ЗЛ</t>
  </si>
  <si>
    <t>340/360 1975-1991</t>
  </si>
  <si>
    <t>1975-1991</t>
  </si>
  <si>
    <t>VOLVO 340/360 1975-1991 СТ ВЕТР</t>
  </si>
  <si>
    <t>VOLVO 340/360 1975-1991 СТ ВЕТР ЗЛГЛ</t>
  </si>
  <si>
    <t>1976-1991</t>
  </si>
  <si>
    <t>VOLVO 340/360 СД 1976-1991 СТ ЗАДН ЗЛ</t>
  </si>
  <si>
    <t>VOLVO 340/360 ХБ 5Д 1976-1991 СТ ПЕР ДВ ОП ЛВ</t>
  </si>
  <si>
    <t>VOLVO 340/360 ХБ 5Д 1976-1991 СТ ЗАДН ДВ НЕП ЛВ</t>
  </si>
  <si>
    <t>VOLVO 340/360 ХБ 5Д 1976-1991 СТ ПЕР ДВ ОП ЛВ ЗЛ</t>
  </si>
  <si>
    <t>VOLVO 340/360 ХБ 5Д 1976-1991 СТ БОК НЕП ЛВ ЗЛ</t>
  </si>
  <si>
    <t>VOLVO 340/360 ХБ 5Д 1976-1991 СТ ФОРТ ЗАДН НЕП ПР</t>
  </si>
  <si>
    <t>VOLVO 340/360 ХБ 5Д 1976-1991 СТ ПЕР ДВ ОП ПР ЗЛ</t>
  </si>
  <si>
    <t>VOLVO 340/360 ХБ 5Д 1976-1991 СТ БОК НЕП ПР ЗЛ</t>
  </si>
  <si>
    <t>440/460 1988-1996</t>
  </si>
  <si>
    <t>VOLVO 440/460 1988-1996 СТ ВЕТР</t>
  </si>
  <si>
    <t>VOLVO 440/460 1988-1996 СТ ВЕТР +VIN</t>
  </si>
  <si>
    <t>VOLVO 440/460 1988-1996 СТ ВЕТР ЗЛГЛ+VIN</t>
  </si>
  <si>
    <t>VOLVO 440/460 1988-1996 МОЛД  ДЛЯ СТ ВЕТР  ВЕРХ</t>
  </si>
  <si>
    <t>VOLVO 440/460 ХБ 1988-1996 СТ ЗАДН ЭО ЗЛ+СТОП</t>
  </si>
  <si>
    <t>VOLVO 440/460 СД 1988-1996 СТ ЗАДН ЗЛ+СТОП</t>
  </si>
  <si>
    <t>VOLVO 440/460 1988-1996 СТ ПЕР ДВ ОП ЛВ ЗЛ</t>
  </si>
  <si>
    <t>VOLVO 440/460 1988-1996 СТ ЗАДН ДВ ОП ЛВ ЗЛ</t>
  </si>
  <si>
    <t>VOLVO 440/460 1988-1996 СТ ПЕР ДВ ОП ПР ЗЛ</t>
  </si>
  <si>
    <t>VOLVO 440/460 1988-1996 СТ ЗАДН ДВ ОП ПР ЗЛ</t>
  </si>
  <si>
    <t>480 КП 1986-1995</t>
  </si>
  <si>
    <t>VOLVO 480 КП 1986-1995 СТ ВЕТР ЗЛГЛ</t>
  </si>
  <si>
    <t>VOLVO 480 КП 1986-1995 СТ ПЕР ДВ ОП ЛВ ЗЛ</t>
  </si>
  <si>
    <t>F406/407/609/613 1991-</t>
  </si>
  <si>
    <t>VOLVO F406/407/609/613 1991- СТ ВЕТР/DAF F500 700 900 1100 TRUCK 1976-  СТ ВЕТР</t>
  </si>
  <si>
    <t>740/760/940 I 1983-1990</t>
  </si>
  <si>
    <t>VOLVO 740/760/940 I СД+УН 1983-1990 СТ ВЕТР ЗЛГЛ/VOLVO 940 96  СТ ВЕТР ЗЛГЛ ИЗМ ШЕЛК</t>
  </si>
  <si>
    <t>VOLVO 740/760/940 I СД+УН 1983-1990 НАБ КЛИПС ДЛЯ СТ ВЕТР</t>
  </si>
  <si>
    <t>VOLVO 740/760/940 I УН 1983-1990 СТ ЗАДН ЭО ЗЛ</t>
  </si>
  <si>
    <t>VOLVO 740/760/940 I УН 1983-1990 СТ БОК ЛВ ЗЛ</t>
  </si>
  <si>
    <t>VOLVO 740/760/940 I СД+УН 1983-1990 СТ ПЕР ДВ ОП ЛВ ЗЛ/VOLVO 760+960 СД+УН 1987- СТ ПЕР ДВ ОП ЛВ ЗЛ</t>
  </si>
  <si>
    <t>VOLVO 740/760/940 I СД+УН 1983-1990 СТ ЗАДН ДВ ОП ЛВ ЗЛ/VOLVO 760+960 СД+УН 1987- СТ ЗАДН ОП ЛВ ЗЛ</t>
  </si>
  <si>
    <t>VOLVO 740/760/940 I СД+УН 1983-1990 СТ БОК НЕП ЛВ ЗЛ/VOLVO 760+960 СД+УН 1987- СТ ФОРТ ЗАДН ЛВ ЗЛ</t>
  </si>
  <si>
    <t>VOLVO 740/760/940 I УН 1983-1990 СТ БОК ПР ЗЛ</t>
  </si>
  <si>
    <t>VOLVO 740/760/940 I СД+УН 1983-1990 СТ ПЕР ДВ ОП ПР ЗЛ/VOLVO 760+960 СД+УН 1987- СТ ПЕР ДВ ОП ПР ЗЛ</t>
  </si>
  <si>
    <t>VOLVO 740/760/940 I СД+УН 1983-1990 СТ ЗАДН ДВ ОП ПР ЗЛ/VOLVO 760+960 СД+УН 1987- СТ ЗАДН ОП ПР ЗЛ</t>
  </si>
  <si>
    <t>VOLVO 740/760/940 I СД+УН 1983-1990 СТ БОК НЕП ПР ЗЛ/VOLVO 760+960 СД+УН 1987- СТ ФОРТ ЗАДН НЕП ПР ЗЛ</t>
  </si>
  <si>
    <t>760 II/960/S90 1987-2000</t>
  </si>
  <si>
    <t>VOLVO 760 II/960/S90 СД+УН 1987-1995 СТ ВЕТР ЗЛГЛ</t>
  </si>
  <si>
    <t>VOLVO 760 II/960/S90 СД+УН 1987-2000  СТ ПЕР ДВ ОП ЛВ ЗЛ/VOLVO 740+940 СД+УН 1983-1990 СТ ПЕР ДВ ОП ЛВ ЗЛ</t>
  </si>
  <si>
    <t>VOLVO 760 II/960/S90 СД+УН 1987-2000  СТ ЗАДН ОП ЛВ ЗЛ/VOLVO 740+940 СД+УН 1983-1990 СТ ЗАДН ДВ ОП ЛВ ЗЛ</t>
  </si>
  <si>
    <t>VOLVO 760 II/960/S90 СД+УН 1987-2000  СТ ФОРТ ЗАДН ЛВ ЗЛ/VOLVO 740+940 СД+УН 1983-1990 СТ БОК НЕП ЛВ ЗЛ</t>
  </si>
  <si>
    <t>VOLVO 760 II/960/S90 СД+УН 1987-2000  СТ ПЕР ДВ ОП ПР ЗЛ/VOLVO 740+940 СД+УН 1983-1990 СТ ПЕР ДВ ОП ПР ЗЛ</t>
  </si>
  <si>
    <t>VOLVO 760 II/960/S90 СД+УН 1987-2000  СТ ЗАДН ОП ПР ЗЛ/VOLVO 740+940 СД+УН 1983-1990 СТ ЗАДН ДВ ОП ПР ЗЛ</t>
  </si>
  <si>
    <t>VOLVO 760 II/960/S90 СД+УН 1987-2000  СТ ФОРТ ЗАДН НЕП ПР ЗЛ/VOLVO 740+940 СД+УН 1983-1990 СТ БОК НЕП ПР ЗЛ</t>
  </si>
  <si>
    <t>850 СД+УН 1991-1996</t>
  </si>
  <si>
    <t>VOLVO 850 СД+УН 1991-1996 СТ ВЕТР ЗЛГЛ</t>
  </si>
  <si>
    <t>VOLVO 850 СД+УН 1991-1996 СТ ВЕТР ЗЛЗЛ</t>
  </si>
  <si>
    <t>VOLVO 850 СД+УН 1991-1996 МОЛД ДЛЯ СТ ВЕТР</t>
  </si>
  <si>
    <t>VOLVO 850 УН 1991-1996  СТ ЗАДН ДВ ЗЛ+2ОТВ+ФИТ/ VOLVO V70 1997-  СТ ЗАДН ЗЛ+СТОП+УО</t>
  </si>
  <si>
    <t>VOLVO 850 СД+УН 1991-1996  СТ ПЕР ДВ ОП ЛВ ЗЛ+УО/ VOLVO S70/ V70 1997- СТ ПЕР ДВ ОП ЛВ ЗЛ+ФИТ</t>
  </si>
  <si>
    <t>VOLVO 850 СД+УН 1991-1996 СТ ЗАДН ДВ ОП ЛВ ЗЛ ФИТ/ VOLVO S70/V70 1997- СТ ЗАДН ДВ ОП ЛВ ЗЛ</t>
  </si>
  <si>
    <t>VOLVO 850 СД+УН 1991-1996  СТ ПЕР ДВ ОП ПР ЗЛ+УО/ VOLVO S70/V70 1997- СТ ПЕР ДВ ОП ПР ЗЛ+ФИТ</t>
  </si>
  <si>
    <t>VOLVO 850 СД+УН 1991-1996 СТ ЗАДН ДВ ОП ПР ЗЛ ФИТ/ VOLVO S70/V70 1997- СТ ЗАДН ДВ ОП ПР ЗЛ</t>
  </si>
  <si>
    <t>VOLVO 850 СД 1991-1996  СТ БОК НЕП ПР ЗЛ</t>
  </si>
  <si>
    <t>940 СД+УН 1991-1995</t>
  </si>
  <si>
    <t>VOLVO 940 СД+УН 1991-1995 СТ ВЕТР ЗЛГЛ</t>
  </si>
  <si>
    <t>VOLVO 940 СД+УН 1991-1995 СТ ВЕТР ЗЛГЛ ИЗМ ШЕЛК/VOLVO 740/760/940 I СД+УН 1983-1990 СТ ВЕТР ЗЛГЛ</t>
  </si>
  <si>
    <t>C70 КП/КБ 2006-</t>
  </si>
  <si>
    <t>VOLVO C70 КП 2006-  СТ ВЕТР ЗЛ+ДД+VIN+ИНК</t>
  </si>
  <si>
    <t>VOLVO C70 КП 2006-  СТ ВЕТР ЗЛ+VIN+ИНК</t>
  </si>
  <si>
    <t>VOLVO C70 КП 2006- СТ ПЕР ДВ ОП ЛВ ЗЛ</t>
  </si>
  <si>
    <t>VOLVO C70 КП 2006- СТ ПЕР ДВ ОП ПР ЗЛ</t>
  </si>
  <si>
    <t>F10/F12 1977-1983</t>
  </si>
  <si>
    <t>1977-1983</t>
  </si>
  <si>
    <t>VOLVO F10/F12 1977-1983 СТ ВЕТР</t>
  </si>
  <si>
    <t>S40/V40 1996-2003</t>
  </si>
  <si>
    <t>VOLVO S40/V40 1996-2003 СТ ВЕТР ЗЛ</t>
  </si>
  <si>
    <t>VOLVO S40/V40 1996-2003 СТ ВЕТР ЗЛГЛ</t>
  </si>
  <si>
    <t>VOLVO S40/V40 1999-2003 СТ ВЕТР ЗЛГЛ+VIN</t>
  </si>
  <si>
    <t>VOLVO S40/V40 2000-2003 СТ ВЕТР ЗЛГЛ+VIN</t>
  </si>
  <si>
    <t>VOLVO S40/V40 1999-2003 СТ ВЕТР ЗЛ+VIN</t>
  </si>
  <si>
    <t>VOLVO S40/V40 1997-2003 СТ ВЕТР ЗЛ+КР+VIN</t>
  </si>
  <si>
    <t>VOLVO S40/V40 1997-2003 НАБ КЛИПС ДЛЯ СТ ВЕТР</t>
  </si>
  <si>
    <t>VOLVO S40/V40 1996-2003  УСТ КОМПЛ ДЛЯ СТ ВЕТР+КЛИПС</t>
  </si>
  <si>
    <t>VOLVO S40/V40 1996-2003  НАКР МОЛД ДЛЯ СТ ВЕТР ВЕРХ МЯГК</t>
  </si>
  <si>
    <t>VOLVO S40/V40 СД 1996-2003 СТ ЗАДН ЭО ЗЛ СТОП</t>
  </si>
  <si>
    <t>VOLVO S40/V40 1996-2003 СТ ПЕР ДВ ОП ЛВ ЗЛ 2ОТВ</t>
  </si>
  <si>
    <t>VOLVO S40/V40 1996-2003 СТ ЗАДН ДВ ОП ЛВ ЗЛ</t>
  </si>
  <si>
    <t>VOLVO S40/V40 1996-2003 СТ ПЕР ДВ ОП ПР ЗЛ 2ОТВ</t>
  </si>
  <si>
    <t>VOLVO S40/V40 1996-2003 СТ ЗАДН ДВ ОП ПР ЗЛ</t>
  </si>
  <si>
    <t>S40/V50/C30 2003-</t>
  </si>
  <si>
    <t>VOLVO S40/V50/C30 2003- СТ ВЕТР ЗЛ+ДД+VIN+ИНК+ИЗМ ШЕЛК</t>
  </si>
  <si>
    <t>VOLVO S40/V50/C30 2007-  СТ ВЕТР ЗЛ+ДД+VIN+ИНК+ИЗМ ШЕЛК</t>
  </si>
  <si>
    <t>VOLVO S40/V50/C30 2003-2006  СТ ВЕТР ЗЛ+VIN+ИНК</t>
  </si>
  <si>
    <t>VOLVO S40/V50/C30 2003- СТ ВЕТР ЗЛГЛ+ДД+VIN+ИНК</t>
  </si>
  <si>
    <t>VOLVO S40/V50/C30 УН 2003- СТ ЗАДН ЗЛ+АНТ+СТОП+УО</t>
  </si>
  <si>
    <t>VOLVO S40/V50/C30 СД 2003- СТ ЗАДН ЗЛ+АНТ+СТОП+ИНК</t>
  </si>
  <si>
    <t>VOLVO S40/V50/C30 2003- СТ ЗАДН ДВ ОП ЛВ ЗЛ</t>
  </si>
  <si>
    <t>VOLVO S40/V50/C30 2007- СТ ПЕР ДВ ОП ЗЛ ЛВ</t>
  </si>
  <si>
    <t>VOLVO S40/V50/C30 2007- СТ ПЕР ДВ ОП ЛВ ЗЛ+ТРИПЛ+УО</t>
  </si>
  <si>
    <t>VOLVO S40/V50/C30 2003- СТ ПЕР ДВ ОП ЛВ ЗЛ</t>
  </si>
  <si>
    <t>VOLVO S40/V50/C30 2003- СТ ЗАДН ДВ ОП ПР ЗЛ</t>
  </si>
  <si>
    <t>VOLVO S40/V50/C30 2007- СТ ПЕР ДВ ОП ЗЛ ПР</t>
  </si>
  <si>
    <t>VOLVO S40/V50/C30 2007- СТ ПЕР ДВ ОП ПР ЗЛ+ТРИПЛ+УО</t>
  </si>
  <si>
    <t>VOLVO S40/V50/C30 2003- СТ ПЕР ДВ ОП ПР ЗЛ</t>
  </si>
  <si>
    <t>S60/V70 2000-</t>
  </si>
  <si>
    <t>VOLVO S60/V70 2000- СТ ВЕТР ЗЛГЛ ДД+УО+ИЗМ ШЕЛК</t>
  </si>
  <si>
    <t>VOLVO S60/V70 2000- СТ ВЕТР ЗЛГЛ+УО</t>
  </si>
  <si>
    <t>VOLVO S60/V70 2000- МОЛД  ДЛЯ СТ ВЕТР ВЕРХ</t>
  </si>
  <si>
    <t>VOLVO S60/V70 УН 2000- СТ ЗАДН ЗЛ+СТОП+GPS+УО</t>
  </si>
  <si>
    <t>VOLVO S60/V70 СД 2000- СТ ЗАДН ЭО ЗЛ+АНТ+СТОП+GPS+УО</t>
  </si>
  <si>
    <t>VOLVO S60/V70 СД 2000- СТ ЗАДН ЭО ЗЛ+АНТ+СТОП+УО</t>
  </si>
  <si>
    <t>VOLVO S60/V70 2000- СТ ПЕР ДВ ОП ЛВ ЗЛ+УО</t>
  </si>
  <si>
    <t>VOLVO S60/V70 2000- СТ ЗАДН ДВ ОП ЛВ ЗЛ+УО</t>
  </si>
  <si>
    <t>VOLVO S60/V70 2000- СТ ПЕР ДВ ОП ПР ЗЛ+УО</t>
  </si>
  <si>
    <t>VOLVO S60/V70 2000- СТ ЗАДН ДВ ОП ПР ЗЛ+УО</t>
  </si>
  <si>
    <t>S70/V70 1997-2000</t>
  </si>
  <si>
    <t>VOLVO S70/V70 1997-2000 СТ ВЕТР ЗЛГЛ+ФИТ</t>
  </si>
  <si>
    <t>VOLVO S70/V70 1997-2000 МОЛД  ДЛЯ СТ ВЕТР ВЕРХ</t>
  </si>
  <si>
    <t>VOLVO S70/V70 УН 1997-2000 СТ ЗАДН ЗЛ+СТОП+УО/VOLVO 850 УН 1992- СТ ЗАДН ДВ ЗЛ+2ОТВ+ФИТ</t>
  </si>
  <si>
    <t>VOLVO S70/V70 УН 1997-2000 СТ ЗАДН ДВ ЗЛ+СТОП+УО+КЛЕММЫ</t>
  </si>
  <si>
    <t>VOLVO S70/V70 1997-2000 СТ ПЕР ДВ ОП ЛВ ЗЛ+ФИТ/VOLVO 850 СЕД+УН 1992- СТ ПЕР ДВ ОП ЛВ ЗЛ+УО</t>
  </si>
  <si>
    <t>VOLVO S70/V70 1997-2000 СТ ЗАДН ДВ ОП ЛВ ЗЛ/VOLVO 850 СД+УН 1992- СТ ЗАДН ДВ ОП ЛВ ЗЛ ФИТ</t>
  </si>
  <si>
    <t>VOLVO S70/V70 1997-2000 СТ ПЕР ДВ ОП ПР ЗЛ+ФИТ/VOLVO 850 СД+УН 1992- СТ ПЕР ДВ ОП ПР ЗЛ+УО</t>
  </si>
  <si>
    <t>VOLVO S70/V70 1997-2000 СТ ЗАДН ДВ ОП ПР ЗЛ/VOLVO 850 СД+УН 1992- СТ ЗАДН ДВ ОП ПР ЗЛ ФИТ</t>
  </si>
  <si>
    <t>S80 СД 1998-2006</t>
  </si>
  <si>
    <t>VOLVO S80 СД 1998-2006 СТ ВЕТР ЗЛГЛ+ФИТ</t>
  </si>
  <si>
    <t>VOLVO S80 СД 1998-2006 СТ ВЕТР ЗЛГЛ+ДД+УО</t>
  </si>
  <si>
    <t>VOLVO S80 СД 1998-2006 СТ ВЕТР ЗЛГЛ+УО</t>
  </si>
  <si>
    <t>VOLVO S80 СД 1998-2006 МОЛД  ДЛЯ СТ ВЕТР ВЕРХ</t>
  </si>
  <si>
    <t>VOLVO S80 СД 1998-2006 СТ ПЕР ДВ ОП ЛВ ЗЛ+УО</t>
  </si>
  <si>
    <t>VOLVO S80 СД 1998-2006 СТ ЗАДН ДВ ОП ЛВ ЗЛ+УО</t>
  </si>
  <si>
    <t>VOLVO S80 СД 1998-2006 СТ ПЕР ДВ ОП ПР ЗЛ+УО</t>
  </si>
  <si>
    <t>VOLVO S80 СД 1998-2006 СТ ЗАДН ДВ ОП ПР ЗЛ+УО</t>
  </si>
  <si>
    <t>S80 2006- V70/XC70 2007-</t>
  </si>
  <si>
    <t>VOLVO S80 2006- V70/XC70 2007- СТ ВЕТР ЗЛ ДД+VIN+ИНК+ИЗМ ШЕЛК</t>
  </si>
  <si>
    <t>VOLVO S80 2006- V70/XC70 2007- СТ ВЕТР ЗЛ+VIN+ИНК</t>
  </si>
  <si>
    <t>VOLVO S80 2006 + V70 2007 + XC70 2009-</t>
  </si>
  <si>
    <t>VOLVO S80 2006- V70/XC70 2007 СД- СТ ПЕР ДВ ОП ЛВ ЗЛ</t>
  </si>
  <si>
    <t>VOLVO S80 2006- V70/XC70 2007 СД- СТ ЗАДН ДВ ОП ЛВ ЗЛ</t>
  </si>
  <si>
    <t>VOLVO S80 2006- V70/XC70 2007 УН- СТ ЗАДН ДВ ОП ЛВ ЗЛ</t>
  </si>
  <si>
    <t>VOLVO S80 2006- V70/XC70 2007 СД- СТ ПЕР ДВ ОП ПР ЗЛ</t>
  </si>
  <si>
    <t>VOLVO S80 2006- V70/XC70 2007 СД- СТ ЗАДН ДВ ОП ПР ЗЛ</t>
  </si>
  <si>
    <t>XC 60  2008-</t>
  </si>
  <si>
    <t>VOLVO XC60 08-СТ ВЕТР ЗЛ+ДД+VIN+УО</t>
  </si>
  <si>
    <t>VOLVO XC60 08-СТ ВЕТР ЗЛ+VIN+УО+ШЕЛК Д/Д</t>
  </si>
  <si>
    <t>VOLVO XC60 08-СТ ВЕТР ЗЛ+СИСТ.НОЧН.ВИД.+ДД+VIN+УО</t>
  </si>
  <si>
    <t>VOLVO XC 60 2008- СТ ВЕТР ЗЛГЛ+ДД+VIN+ДО</t>
  </si>
  <si>
    <t>VOLVO XC 60  2008 СТ ЗАДН ЗЛ</t>
  </si>
  <si>
    <t>VOLVO XC 60  2008- СТ ПЕР ДВ ОП ЛВ ЗЛ</t>
  </si>
  <si>
    <t>VOLVO XC 60  2008- СТ ЗАДН ДВ ЛВ ЗЛ</t>
  </si>
  <si>
    <t>VOLVO XC 60  2008- СТ ПЕР ДВ ОП ПР ЗЛ</t>
  </si>
  <si>
    <t>VOLVO XC 60  2008- СТ ЗАДН ДВ ОП ПР ЗЛ</t>
  </si>
  <si>
    <t>XC90 2002-</t>
  </si>
  <si>
    <t>VOLVO XC90 2002- СТ ВЕТР ЗЛГЛ+ДД+VIN+УО</t>
  </si>
  <si>
    <t>VOLVO XC90 2002- СТ ВЕТР ЗЛГЛ+VIN+УО</t>
  </si>
  <si>
    <t>VOLVO XC90 2002 УН- СТ ЗАДН ЗЛ</t>
  </si>
  <si>
    <t>F10/F12/F16 1984-1993</t>
  </si>
  <si>
    <t>VOLVO F10/F12/F16 1984-1993 СТ ВЕТР</t>
  </si>
  <si>
    <t>VOLVO F10/F12/F16 1984-1993 СТ ВЕТР ЗЛ</t>
  </si>
  <si>
    <t>VOLVO F10/F12/F16 1984-1993 СТ ВЕТР ЗЛ+6,8ММ</t>
  </si>
  <si>
    <t>VOLVO F10/F12/F16 1984-1993 СТ ВЕТР ЗЛЗЛ+6,8MM</t>
  </si>
  <si>
    <t>VOLVO F10/F12/F16 1984-1993 РЕЗ ПРОФ ДЛЯ СТ ВЕТР</t>
  </si>
  <si>
    <t>VOLVO F10/F12/F16 1984-1993 СТ ПЕР ДВ ОП</t>
  </si>
  <si>
    <t>FH12/FH16 1993-/FM 1998-</t>
  </si>
  <si>
    <t>VOLVO FH12/FH16 1993-/FM 1998-  СТ ВЕТР</t>
  </si>
  <si>
    <t>VOLVO FH12/FH16 1993-/FM 1998-  СТ ВЕТР ЗЛ</t>
  </si>
  <si>
    <t>VOLVO FH12/FH16 2000- СТ ВЕТР ЗЛ</t>
  </si>
  <si>
    <t>VOLVO FH12/FH16 1993-/FM 1998- СТ ВЕТР ЗЛ ГЛ</t>
  </si>
  <si>
    <t>VOLVO FH12/FH16 1993-/FM 1998-  РЕЗ ПРОФ ДЛЯ СТ ВЕТР</t>
  </si>
  <si>
    <t>VOLVO FH12/FH16 1993-/FM 1998- СТ ПЕР ДВ ОП ЛВ</t>
  </si>
  <si>
    <t>VOLVO FH12/FH16 1993-/FM 1998- СТ ПЕР ДВ ОП ЛВ ЗЛ</t>
  </si>
  <si>
    <t>VOLVO FH12/FH16 1993-/FM 1998- СТ ПЕР ДВ ОП ПР+ФИТ</t>
  </si>
  <si>
    <t>VOLVO FH12/FH16 1993-/FM 1998- СТ ПЕР ДВ ОП ПР ЗЛ</t>
  </si>
  <si>
    <t>FL6 1986-</t>
  </si>
  <si>
    <t>VOLVO FL6 1986- СТ ВЕТР</t>
  </si>
  <si>
    <t>VOLVO FL6 1986- СТ ПЕР ДВ ОП ЛВ</t>
  </si>
  <si>
    <t>VOLVO FL6 1986- СТ ПЕР ДВ ОП ПР</t>
  </si>
  <si>
    <t>FL7/FL10 1985-1992</t>
  </si>
  <si>
    <t>VOLVO FL7/FL10 1985-1992 СТ ВЕТР</t>
  </si>
  <si>
    <t>VOLVO FL7/FL10 1985-1992 СТ ВЕТР ЗЛ</t>
  </si>
  <si>
    <t>VOLVO FL7/FL10 1985-1992 СТ ПЕР ДВ ОП ЛВ</t>
  </si>
  <si>
    <t>VOLVO FL7/FL10 1985-1992 СТ ПЕР ДВ ОП ПР</t>
  </si>
  <si>
    <t>MERCEDES 303 1976- СТ ВЕТР ПРЗЛ</t>
  </si>
  <si>
    <t>MERCEDES O 345 CONNECTO СТ ВЕТР</t>
  </si>
  <si>
    <t>Neoplan City/Skyliner СТ ВЕТР НИЗ БР+АНТ</t>
  </si>
  <si>
    <t>SETRA S228 DT/87 СТ ВЕТР ВЕРХ ЗЛ</t>
  </si>
  <si>
    <t>MERCEDES BENZ СТ ВЕТР ПР ЗЛ</t>
  </si>
  <si>
    <t>Номер</t>
  </si>
  <si>
    <t>Сокращение</t>
  </si>
  <si>
    <t>Что обозначает</t>
  </si>
  <si>
    <t>Пример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</si>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</sst>
</file>

<file path=xl/styles.xml><?xml version="1.0" encoding="utf-8"?>
<styleSheet xmlns="http://schemas.openxmlformats.org/spreadsheetml/2006/main">
  <numFmts count="1">
    <numFmt numFmtId="164" formatCode="0_)"/>
  </numFmts>
  <fonts count="7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i/>
      <sz val="12"/>
      <name val="Arial Cyr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2">
    <xf numFmtId="0" fontId="0" fillId="0" borderId="0"/>
    <xf numFmtId="0" fontId="22" fillId="0" borderId="0"/>
    <xf numFmtId="0" fontId="22" fillId="0" borderId="0"/>
    <xf numFmtId="164" fontId="23" fillId="0" borderId="0"/>
    <xf numFmtId="0" fontId="22" fillId="0" borderId="0"/>
    <xf numFmtId="164" fontId="23" fillId="0" borderId="0"/>
    <xf numFmtId="0" fontId="22" fillId="0" borderId="0"/>
    <xf numFmtId="0" fontId="24" fillId="0" borderId="0"/>
    <xf numFmtId="164" fontId="18" fillId="0" borderId="0"/>
    <xf numFmtId="164" fontId="22" fillId="0" borderId="0"/>
    <xf numFmtId="0" fontId="22" fillId="0" borderId="0"/>
    <xf numFmtId="164" fontId="18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2" fillId="28" borderId="0" applyNumberFormat="0" applyBorder="0" applyAlignment="0" applyProtection="0"/>
    <xf numFmtId="0" fontId="1" fillId="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7" borderId="0" applyNumberFormat="0" applyBorder="0" applyAlignment="0" applyProtection="0"/>
    <xf numFmtId="0" fontId="43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7" borderId="0" applyNumberFormat="0" applyBorder="0" applyAlignment="0" applyProtection="0"/>
    <xf numFmtId="0" fontId="42" fillId="29" borderId="0" applyNumberFormat="0" applyBorder="0" applyAlignment="0" applyProtection="0"/>
    <xf numFmtId="0" fontId="1" fillId="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8" borderId="0" applyNumberFormat="0" applyBorder="0" applyAlignment="0" applyProtection="0"/>
    <xf numFmtId="0" fontId="43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8" borderId="0" applyNumberFormat="0" applyBorder="0" applyAlignment="0" applyProtection="0"/>
    <xf numFmtId="0" fontId="42" fillId="30" borderId="0" applyNumberFormat="0" applyBorder="0" applyAlignment="0" applyProtection="0"/>
    <xf numFmtId="0" fontId="1" fillId="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9" borderId="0" applyNumberFormat="0" applyBorder="0" applyAlignment="0" applyProtection="0"/>
    <xf numFmtId="0" fontId="43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9" borderId="0" applyNumberFormat="0" applyBorder="0" applyAlignment="0" applyProtection="0"/>
    <xf numFmtId="0" fontId="42" fillId="31" borderId="0" applyNumberFormat="0" applyBorder="0" applyAlignment="0" applyProtection="0"/>
    <xf numFmtId="0" fontId="1" fillId="1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10" borderId="0" applyNumberFormat="0" applyBorder="0" applyAlignment="0" applyProtection="0"/>
    <xf numFmtId="0" fontId="4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0" borderId="0" applyNumberFormat="0" applyBorder="0" applyAlignment="0" applyProtection="0"/>
    <xf numFmtId="0" fontId="42" fillId="32" borderId="0" applyNumberFormat="0" applyBorder="0" applyAlignment="0" applyProtection="0"/>
    <xf numFmtId="0" fontId="1" fillId="6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6" borderId="0" applyNumberFormat="0" applyBorder="0" applyAlignment="0" applyProtection="0"/>
    <xf numFmtId="0" fontId="43" fillId="3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6" borderId="0" applyNumberFormat="0" applyBorder="0" applyAlignment="0" applyProtection="0"/>
    <xf numFmtId="0" fontId="42" fillId="33" borderId="0" applyNumberFormat="0" applyBorder="0" applyAlignment="0" applyProtection="0"/>
    <xf numFmtId="0" fontId="1" fillId="5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5" borderId="0" applyNumberFormat="0" applyBorder="0" applyAlignment="0" applyProtection="0"/>
    <xf numFmtId="0" fontId="43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2" fillId="34" borderId="0" applyNumberFormat="0" applyBorder="0" applyAlignment="0" applyProtection="0"/>
    <xf numFmtId="0" fontId="1" fillId="2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2" borderId="0" applyNumberFormat="0" applyBorder="0" applyAlignment="0" applyProtection="0"/>
    <xf numFmtId="0" fontId="43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2" borderId="0" applyNumberFormat="0" applyBorder="0" applyAlignment="0" applyProtection="0"/>
    <xf numFmtId="0" fontId="42" fillId="35" borderId="0" applyNumberFormat="0" applyBorder="0" applyAlignment="0" applyProtection="0"/>
    <xf numFmtId="0" fontId="1" fillId="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3" borderId="0" applyNumberFormat="0" applyBorder="0" applyAlignment="0" applyProtection="0"/>
    <xf numFmtId="0" fontId="43" fillId="3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3" borderId="0" applyNumberFormat="0" applyBorder="0" applyAlignment="0" applyProtection="0"/>
    <xf numFmtId="0" fontId="42" fillId="36" borderId="0" applyNumberFormat="0" applyBorder="0" applyAlignment="0" applyProtection="0"/>
    <xf numFmtId="0" fontId="1" fillId="1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2" borderId="0" applyNumberFormat="0" applyBorder="0" applyAlignment="0" applyProtection="0"/>
    <xf numFmtId="0" fontId="4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12" borderId="0" applyNumberFormat="0" applyBorder="0" applyAlignment="0" applyProtection="0"/>
    <xf numFmtId="0" fontId="42" fillId="37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0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42" fillId="38" borderId="0" applyNumberFormat="0" applyBorder="0" applyAlignment="0" applyProtection="0"/>
    <xf numFmtId="0" fontId="1" fillId="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" borderId="0" applyNumberFormat="0" applyBorder="0" applyAlignment="0" applyProtection="0"/>
    <xf numFmtId="0" fontId="43" fillId="3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1" fillId="2" borderId="0" applyNumberFormat="0" applyBorder="0" applyAlignment="0" applyProtection="0"/>
    <xf numFmtId="0" fontId="42" fillId="39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3" borderId="0" applyNumberFormat="0" applyBorder="0" applyAlignment="0" applyProtection="0"/>
    <xf numFmtId="0" fontId="43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1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15" borderId="0" applyNumberFormat="0" applyBorder="0" applyAlignment="0" applyProtection="0"/>
    <xf numFmtId="0" fontId="45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4" fillId="40" borderId="0" applyNumberFormat="0" applyBorder="0" applyAlignment="0" applyProtection="0"/>
    <xf numFmtId="0" fontId="45" fillId="40" borderId="0" applyNumberFormat="0" applyBorder="0" applyAlignment="0" applyProtection="0"/>
    <xf numFmtId="0" fontId="17" fillId="15" borderId="0" applyNumberFormat="0" applyBorder="0" applyAlignment="0" applyProtection="0"/>
    <xf numFmtId="0" fontId="44" fillId="41" borderId="0" applyNumberFormat="0" applyBorder="0" applyAlignment="0" applyProtection="0"/>
    <xf numFmtId="0" fontId="17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3" borderId="0" applyNumberFormat="0" applyBorder="0" applyAlignment="0" applyProtection="0"/>
    <xf numFmtId="0" fontId="45" fillId="4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17" fillId="3" borderId="0" applyNumberFormat="0" applyBorder="0" applyAlignment="0" applyProtection="0"/>
    <xf numFmtId="0" fontId="44" fillId="42" borderId="0" applyNumberFormat="0" applyBorder="0" applyAlignment="0" applyProtection="0"/>
    <xf numFmtId="0" fontId="17" fillId="1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2" borderId="0" applyNumberFormat="0" applyBorder="0" applyAlignment="0" applyProtection="0"/>
    <xf numFmtId="0" fontId="45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45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17" fillId="16" borderId="0" applyNumberFormat="0" applyBorder="0" applyAlignment="0" applyProtection="0"/>
    <xf numFmtId="0" fontId="44" fillId="44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7" borderId="0" applyNumberFormat="0" applyBorder="0" applyAlignment="0" applyProtection="0"/>
    <xf numFmtId="0" fontId="45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7" fillId="17" borderId="0" applyNumberFormat="0" applyBorder="0" applyAlignment="0" applyProtection="0"/>
    <xf numFmtId="0" fontId="44" fillId="45" borderId="0" applyNumberFormat="0" applyBorder="0" applyAlignment="0" applyProtection="0"/>
    <xf numFmtId="0" fontId="1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18" borderId="0" applyNumberFormat="0" applyBorder="0" applyAlignment="0" applyProtection="0"/>
    <xf numFmtId="0" fontId="45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1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10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164" fontId="18" fillId="0" borderId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1" applyNumberFormat="0" applyAlignment="0" applyProtection="0"/>
    <xf numFmtId="0" fontId="36" fillId="0" borderId="6" applyNumberFormat="0" applyFill="0" applyAlignment="0" applyProtection="0"/>
    <xf numFmtId="0" fontId="37" fillId="11" borderId="0" applyNumberFormat="0" applyBorder="0" applyAlignment="0" applyProtection="0"/>
    <xf numFmtId="0" fontId="24" fillId="0" borderId="0"/>
    <xf numFmtId="0" fontId="38" fillId="4" borderId="7" applyNumberFormat="0" applyFont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7" fillId="2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4" borderId="0" applyNumberFormat="0" applyBorder="0" applyAlignment="0" applyProtection="0"/>
    <xf numFmtId="0" fontId="45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17" fillId="24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6" borderId="0" applyNumberFormat="0" applyBorder="0" applyAlignment="0" applyProtection="0"/>
    <xf numFmtId="0" fontId="45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17" fillId="17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7" borderId="0" applyNumberFormat="0" applyBorder="0" applyAlignment="0" applyProtection="0"/>
    <xf numFmtId="0" fontId="45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17" fillId="17" borderId="0" applyNumberFormat="0" applyBorder="0" applyAlignment="0" applyProtection="0"/>
    <xf numFmtId="0" fontId="44" fillId="51" borderId="0" applyNumberFormat="0" applyBorder="0" applyAlignment="0" applyProtection="0"/>
    <xf numFmtId="0" fontId="17" fillId="1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4" fillId="51" borderId="0" applyNumberFormat="0" applyBorder="0" applyAlignment="0" applyProtection="0"/>
    <xf numFmtId="0" fontId="45" fillId="51" borderId="0" applyNumberFormat="0" applyBorder="0" applyAlignment="0" applyProtection="0"/>
    <xf numFmtId="0" fontId="17" fillId="14" borderId="0" applyNumberFormat="0" applyBorder="0" applyAlignment="0" applyProtection="0"/>
    <xf numFmtId="0" fontId="46" fillId="52" borderId="28" applyNumberFormat="0" applyAlignment="0" applyProtection="0"/>
    <xf numFmtId="0" fontId="10" fillId="5" borderId="1" applyNumberFormat="0" applyAlignment="0" applyProtection="0"/>
    <xf numFmtId="0" fontId="46" fillId="52" borderId="28" applyNumberFormat="0" applyAlignment="0" applyProtection="0"/>
    <xf numFmtId="0" fontId="46" fillId="52" borderId="28" applyNumberFormat="0" applyAlignment="0" applyProtection="0"/>
    <xf numFmtId="0" fontId="10" fillId="5" borderId="1" applyNumberFormat="0" applyAlignment="0" applyProtection="0"/>
    <xf numFmtId="0" fontId="47" fillId="52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6" fillId="52" borderId="28" applyNumberFormat="0" applyAlignment="0" applyProtection="0"/>
    <xf numFmtId="0" fontId="47" fillId="52" borderId="28" applyNumberFormat="0" applyAlignment="0" applyProtection="0"/>
    <xf numFmtId="0" fontId="10" fillId="5" borderId="1" applyNumberFormat="0" applyAlignment="0" applyProtection="0"/>
    <xf numFmtId="0" fontId="48" fillId="53" borderId="29" applyNumberFormat="0" applyAlignment="0" applyProtection="0"/>
    <xf numFmtId="0" fontId="11" fillId="26" borderId="8" applyNumberFormat="0" applyAlignment="0" applyProtection="0"/>
    <xf numFmtId="0" fontId="48" fillId="53" borderId="29" applyNumberFormat="0" applyAlignment="0" applyProtection="0"/>
    <xf numFmtId="0" fontId="48" fillId="53" borderId="29" applyNumberFormat="0" applyAlignment="0" applyProtection="0"/>
    <xf numFmtId="0" fontId="11" fillId="26" borderId="8" applyNumberFormat="0" applyAlignment="0" applyProtection="0"/>
    <xf numFmtId="0" fontId="49" fillId="53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8" fillId="53" borderId="29" applyNumberFormat="0" applyAlignment="0" applyProtection="0"/>
    <xf numFmtId="0" fontId="49" fillId="53" borderId="29" applyNumberFormat="0" applyAlignment="0" applyProtection="0"/>
    <xf numFmtId="0" fontId="11" fillId="26" borderId="8" applyNumberFormat="0" applyAlignment="0" applyProtection="0"/>
    <xf numFmtId="0" fontId="50" fillId="53" borderId="28" applyNumberFormat="0" applyAlignment="0" applyProtection="0"/>
    <xf numFmtId="0" fontId="12" fillId="26" borderId="1" applyNumberFormat="0" applyAlignment="0" applyProtection="0"/>
    <xf numFmtId="0" fontId="50" fillId="53" borderId="28" applyNumberFormat="0" applyAlignment="0" applyProtection="0"/>
    <xf numFmtId="0" fontId="50" fillId="53" borderId="28" applyNumberFormat="0" applyAlignment="0" applyProtection="0"/>
    <xf numFmtId="0" fontId="12" fillId="26" borderId="1" applyNumberFormat="0" applyAlignment="0" applyProtection="0"/>
    <xf numFmtId="0" fontId="51" fillId="53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50" fillId="53" borderId="28" applyNumberFormat="0" applyAlignment="0" applyProtection="0"/>
    <xf numFmtId="0" fontId="51" fillId="53" borderId="28" applyNumberFormat="0" applyAlignment="0" applyProtection="0"/>
    <xf numFmtId="0" fontId="12" fillId="26" borderId="1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54" fillId="0" borderId="30" applyNumberFormat="0" applyFill="0" applyAlignment="0" applyProtection="0"/>
    <xf numFmtId="0" fontId="4" fillId="0" borderId="10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6" fillId="0" borderId="31" applyNumberFormat="0" applyFill="0" applyAlignment="0" applyProtection="0"/>
    <xf numFmtId="0" fontId="5" fillId="0" borderId="11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8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58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60" fillId="0" borderId="33" applyNumberFormat="0" applyFill="0" applyAlignment="0" applyProtection="0"/>
    <xf numFmtId="0" fontId="2" fillId="0" borderId="13" applyNumberFormat="0" applyFill="0" applyAlignment="0" applyProtection="0"/>
    <xf numFmtId="0" fontId="61" fillId="54" borderId="34" applyNumberFormat="0" applyAlignment="0" applyProtection="0"/>
    <xf numFmtId="0" fontId="14" fillId="23" borderId="2" applyNumberFormat="0" applyAlignment="0" applyProtection="0"/>
    <xf numFmtId="0" fontId="61" fillId="54" borderId="34" applyNumberFormat="0" applyAlignment="0" applyProtection="0"/>
    <xf numFmtId="0" fontId="61" fillId="54" borderId="34" applyNumberFormat="0" applyAlignment="0" applyProtection="0"/>
    <xf numFmtId="0" fontId="14" fillId="23" borderId="2" applyNumberFormat="0" applyAlignment="0" applyProtection="0"/>
    <xf numFmtId="0" fontId="62" fillId="54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1" fillId="54" borderId="34" applyNumberFormat="0" applyAlignment="0" applyProtection="0"/>
    <xf numFmtId="0" fontId="62" fillId="54" borderId="34" applyNumberFormat="0" applyAlignment="0" applyProtection="0"/>
    <xf numFmtId="0" fontId="14" fillId="23" borderId="2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9" fillId="11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9" fillId="11" borderId="0" applyNumberFormat="0" applyBorder="0" applyAlignment="0" applyProtection="0"/>
    <xf numFmtId="0" fontId="66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55" borderId="0" applyNumberFormat="0" applyBorder="0" applyAlignment="0" applyProtection="0"/>
    <xf numFmtId="0" fontId="66" fillId="55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2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43" fillId="0" borderId="0"/>
    <xf numFmtId="164" fontId="22" fillId="0" borderId="0"/>
    <xf numFmtId="164" fontId="18" fillId="0" borderId="0"/>
    <xf numFmtId="0" fontId="43" fillId="0" borderId="0"/>
    <xf numFmtId="164" fontId="18" fillId="0" borderId="0"/>
    <xf numFmtId="0" fontId="43" fillId="0" borderId="0"/>
    <xf numFmtId="0" fontId="43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2" fillId="0" borderId="0"/>
    <xf numFmtId="164" fontId="18" fillId="0" borderId="0"/>
    <xf numFmtId="0" fontId="67" fillId="56" borderId="0" applyNumberFormat="0" applyBorder="0" applyAlignment="0" applyProtection="0"/>
    <xf numFmtId="0" fontId="8" fillId="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" fillId="8" borderId="0" applyNumberFormat="0" applyBorder="0" applyAlignment="0" applyProtection="0"/>
    <xf numFmtId="0" fontId="68" fillId="5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7" fillId="56" borderId="0" applyNumberFormat="0" applyBorder="0" applyAlignment="0" applyProtection="0"/>
    <xf numFmtId="0" fontId="68" fillId="56" borderId="0" applyNumberFormat="0" applyBorder="0" applyAlignment="0" applyProtection="0"/>
    <xf numFmtId="0" fontId="8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57" borderId="35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43" fillId="57" borderId="35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43" fillId="57" borderId="35" applyNumberFormat="0" applyFont="0" applyAlignment="0" applyProtection="0"/>
    <xf numFmtId="0" fontId="22" fillId="4" borderId="7" applyNumberFormat="0" applyFont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72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72" fillId="0" borderId="36" applyNumberFormat="0" applyFill="0" applyAlignment="0" applyProtection="0"/>
    <xf numFmtId="0" fontId="13" fillId="0" borderId="14" applyNumberFormat="0" applyFill="0" applyAlignment="0" applyProtection="0"/>
    <xf numFmtId="0" fontId="24" fillId="0" borderId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58" borderId="0" applyNumberFormat="0" applyBorder="0" applyAlignment="0" applyProtection="0"/>
    <xf numFmtId="0" fontId="7" fillId="9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" fillId="9" borderId="0" applyNumberFormat="0" applyBorder="0" applyAlignment="0" applyProtection="0"/>
    <xf numFmtId="0" fontId="76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5" fillId="58" borderId="0" applyNumberFormat="0" applyBorder="0" applyAlignment="0" applyProtection="0"/>
    <xf numFmtId="0" fontId="76" fillId="58" borderId="0" applyNumberFormat="0" applyBorder="0" applyAlignment="0" applyProtection="0"/>
    <xf numFmtId="0" fontId="7" fillId="9" borderId="0" applyNumberFormat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0" fillId="59" borderId="0" xfId="0" applyFill="1"/>
    <xf numFmtId="0" fontId="52" fillId="0" borderId="0" xfId="352" applyAlignment="1" applyProtection="1"/>
    <xf numFmtId="0" fontId="19" fillId="0" borderId="15" xfId="8" applyNumberFormat="1" applyFont="1" applyBorder="1"/>
    <xf numFmtId="0" fontId="19" fillId="0" borderId="16" xfId="8" applyNumberFormat="1" applyFont="1" applyFill="1" applyBorder="1"/>
    <xf numFmtId="0" fontId="18" fillId="0" borderId="0" xfId="441" applyNumberFormat="1"/>
    <xf numFmtId="0" fontId="20" fillId="0" borderId="15" xfId="8" applyNumberFormat="1" applyFont="1" applyBorder="1"/>
    <xf numFmtId="0" fontId="18" fillId="0" borderId="16" xfId="8" applyNumberFormat="1" applyFont="1" applyFill="1" applyBorder="1"/>
    <xf numFmtId="0" fontId="21" fillId="0" borderId="0" xfId="8" applyNumberFormat="1" applyFont="1" applyFill="1" applyBorder="1"/>
    <xf numFmtId="0" fontId="18" fillId="0" borderId="17" xfId="8" applyNumberFormat="1" applyFont="1" applyBorder="1"/>
    <xf numFmtId="0" fontId="18" fillId="0" borderId="18" xfId="8" applyNumberFormat="1" applyFont="1" applyFill="1" applyBorder="1"/>
    <xf numFmtId="0" fontId="18" fillId="0" borderId="19" xfId="8" applyNumberFormat="1" applyFont="1" applyBorder="1"/>
    <xf numFmtId="0" fontId="18" fillId="0" borderId="20" xfId="8" applyNumberFormat="1" applyFont="1" applyFill="1" applyBorder="1"/>
    <xf numFmtId="0" fontId="22" fillId="0" borderId="20" xfId="8" applyNumberFormat="1" applyFont="1" applyFill="1" applyBorder="1"/>
    <xf numFmtId="0" fontId="18" fillId="0" borderId="21" xfId="8" applyNumberFormat="1" applyFont="1" applyBorder="1"/>
    <xf numFmtId="0" fontId="22" fillId="0" borderId="22" xfId="8" applyNumberFormat="1" applyFont="1" applyFill="1" applyBorder="1"/>
    <xf numFmtId="0" fontId="22" fillId="0" borderId="16" xfId="8" applyNumberFormat="1" applyFont="1" applyFill="1" applyBorder="1"/>
    <xf numFmtId="0" fontId="22" fillId="0" borderId="18" xfId="8" applyNumberFormat="1" applyFont="1" applyFill="1" applyBorder="1"/>
    <xf numFmtId="0" fontId="18" fillId="0" borderId="23" xfId="8" applyNumberFormat="1" applyFont="1" applyBorder="1"/>
    <xf numFmtId="0" fontId="22" fillId="0" borderId="24" xfId="8" applyNumberFormat="1" applyFont="1" applyFill="1" applyBorder="1"/>
    <xf numFmtId="0" fontId="22" fillId="0" borderId="25" xfId="8" applyNumberFormat="1" applyFont="1" applyFill="1" applyBorder="1"/>
    <xf numFmtId="49" fontId="18" fillId="0" borderId="17" xfId="8" applyNumberFormat="1" applyFont="1" applyBorder="1"/>
    <xf numFmtId="49" fontId="18" fillId="0" borderId="19" xfId="8" applyNumberFormat="1" applyFont="1" applyBorder="1"/>
    <xf numFmtId="0" fontId="18" fillId="0" borderId="26" xfId="8" applyNumberFormat="1" applyFont="1" applyBorder="1"/>
    <xf numFmtId="0" fontId="22" fillId="0" borderId="27" xfId="8" applyNumberFormat="1" applyFont="1" applyFill="1" applyBorder="1"/>
    <xf numFmtId="49" fontId="77" fillId="59" borderId="0" xfId="0" applyNumberFormat="1" applyFont="1" applyFill="1" applyAlignment="1">
      <alignment horizontal="left"/>
    </xf>
    <xf numFmtId="0" fontId="77" fillId="59" borderId="0" xfId="0" applyFont="1" applyFill="1" applyAlignment="1">
      <alignment horizontal="left"/>
    </xf>
    <xf numFmtId="0" fontId="59" fillId="27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286"/>
  <sheetViews>
    <sheetView tabSelected="1" workbookViewId="0">
      <selection activeCell="B156" sqref="B156"/>
    </sheetView>
  </sheetViews>
  <sheetFormatPr defaultRowHeight="15" outlineLevelRow="2"/>
  <cols>
    <col min="1" max="1" width="19.85546875" bestFit="1" customWidth="1"/>
    <col min="2" max="2" width="36.5703125" style="1" bestFit="1" customWidth="1"/>
    <col min="3" max="3" width="12" bestFit="1" customWidth="1"/>
    <col min="4" max="4" width="83.28515625" customWidth="1"/>
    <col min="5" max="5" width="19.42578125" bestFit="1" customWidth="1"/>
  </cols>
  <sheetData>
    <row r="1" spans="1:7">
      <c r="A1" t="s">
        <v>10459</v>
      </c>
      <c r="B1" s="1" t="s">
        <v>0</v>
      </c>
      <c r="C1" t="s">
        <v>1</v>
      </c>
      <c r="D1" t="s">
        <v>2</v>
      </c>
      <c r="E1" t="s">
        <v>3</v>
      </c>
    </row>
    <row r="2" spans="1:7" collapsed="1">
      <c r="A2" s="28" t="s">
        <v>4</v>
      </c>
      <c r="B2" s="28">
        <v>0</v>
      </c>
      <c r="C2" s="28">
        <v>0</v>
      </c>
      <c r="D2" s="28">
        <v>0</v>
      </c>
      <c r="E2" s="28">
        <v>0</v>
      </c>
    </row>
    <row r="3" spans="1:7" hidden="1" outlineLevel="1">
      <c r="A3" s="2">
        <v>0</v>
      </c>
      <c r="B3" s="26" t="s">
        <v>5</v>
      </c>
      <c r="C3" s="27">
        <v>0</v>
      </c>
      <c r="D3" s="27">
        <v>0</v>
      </c>
      <c r="E3" s="27">
        <v>0</v>
      </c>
    </row>
    <row r="4" spans="1:7" hidden="1" outlineLevel="2">
      <c r="A4" s="3" t="e">
        <f>(HYPERLINK("http://www.autodoc.ru/Web/price/art/2024AGN?analog=on","2024AGN"))*1</f>
        <v>#VALUE!</v>
      </c>
      <c r="B4" s="1">
        <v>6961336</v>
      </c>
      <c r="C4" t="s">
        <v>6</v>
      </c>
      <c r="D4" t="s">
        <v>7</v>
      </c>
      <c r="E4" t="s">
        <v>8</v>
      </c>
    </row>
    <row r="5" spans="1:7" hidden="1" outlineLevel="2">
      <c r="A5" s="3" t="e">
        <f>(HYPERLINK("http://www.autodoc.ru/Web/price/art/2024LGNH5FD?analog=on","2024LGNH5FD"))*1</f>
        <v>#VALUE!</v>
      </c>
      <c r="B5" s="1">
        <v>6990028</v>
      </c>
      <c r="C5" t="s">
        <v>6</v>
      </c>
      <c r="D5" t="s">
        <v>9</v>
      </c>
      <c r="E5" t="s">
        <v>10</v>
      </c>
      <c r="G5">
        <v>1</v>
      </c>
    </row>
    <row r="6" spans="1:7" hidden="1" outlineLevel="2">
      <c r="A6" s="3" t="e">
        <f>(HYPERLINK("http://www.autodoc.ru/Web/price/art/2024LGNH5RD?analog=on","2024LGNH5RD"))*1</f>
        <v>#VALUE!</v>
      </c>
      <c r="B6" s="1">
        <v>6990030</v>
      </c>
      <c r="C6" t="s">
        <v>11</v>
      </c>
      <c r="D6" t="s">
        <v>12</v>
      </c>
      <c r="E6" t="s">
        <v>10</v>
      </c>
    </row>
    <row r="7" spans="1:7" hidden="1" outlineLevel="2">
      <c r="A7" s="3" t="e">
        <f>(HYPERLINK("http://www.autodoc.ru/Web/price/art/2024LGNH5RV?analog=on","2024LGNH5RV"))*1</f>
        <v>#VALUE!</v>
      </c>
      <c r="B7" s="1">
        <v>6990032</v>
      </c>
      <c r="C7" t="s">
        <v>11</v>
      </c>
      <c r="D7" t="s">
        <v>13</v>
      </c>
      <c r="E7" t="s">
        <v>10</v>
      </c>
    </row>
    <row r="8" spans="1:7" hidden="1" outlineLevel="2">
      <c r="A8" s="3" t="e">
        <f>(HYPERLINK("http://www.autodoc.ru/Web/price/art/2024RGNH5RD?analog=on","2024RGNH5RD"))*1</f>
        <v>#VALUE!</v>
      </c>
      <c r="B8" s="1">
        <v>6990029</v>
      </c>
      <c r="C8" t="s">
        <v>6</v>
      </c>
      <c r="D8" t="s">
        <v>14</v>
      </c>
      <c r="E8" t="s">
        <v>10</v>
      </c>
    </row>
    <row r="9" spans="1:7" hidden="1" outlineLevel="2">
      <c r="A9" s="3" t="e">
        <f>(HYPERLINK("http://www.autodoc.ru/Web/price/art/2024RGNH5RV?analog=on","2024RGNH5RV"))*1</f>
        <v>#VALUE!</v>
      </c>
      <c r="B9" s="1">
        <v>6990031</v>
      </c>
      <c r="C9" t="s">
        <v>11</v>
      </c>
      <c r="D9" t="s">
        <v>15</v>
      </c>
      <c r="E9" t="s">
        <v>10</v>
      </c>
    </row>
    <row r="10" spans="1:7" hidden="1" outlineLevel="1">
      <c r="A10" s="2">
        <v>0</v>
      </c>
      <c r="B10" s="26" t="s">
        <v>16</v>
      </c>
      <c r="C10" s="27">
        <v>0</v>
      </c>
      <c r="D10" s="27">
        <v>0</v>
      </c>
      <c r="E10" s="27">
        <v>0</v>
      </c>
    </row>
    <row r="11" spans="1:7" hidden="1" outlineLevel="2">
      <c r="A11" s="3" t="e">
        <f>(HYPERLINK("http://www.autodoc.ru/Web/price/art/2028AGN?analog=on","2028AGN"))*1</f>
        <v>#VALUE!</v>
      </c>
      <c r="B11" s="1">
        <v>6961621</v>
      </c>
      <c r="C11" t="s">
        <v>17</v>
      </c>
      <c r="D11" t="s">
        <v>18</v>
      </c>
      <c r="E11" t="s">
        <v>8</v>
      </c>
    </row>
    <row r="12" spans="1:7" hidden="1" outlineLevel="2">
      <c r="A12" s="3" t="e">
        <f>(HYPERLINK("http://www.autodoc.ru/Web/price/art/2028AKMH?analog=on","2028AKMH"))*1</f>
        <v>#VALUE!</v>
      </c>
      <c r="B12" s="1">
        <v>6100438</v>
      </c>
      <c r="C12" t="s">
        <v>19</v>
      </c>
      <c r="D12" t="s">
        <v>20</v>
      </c>
      <c r="E12" t="s">
        <v>21</v>
      </c>
    </row>
    <row r="13" spans="1:7" hidden="1" outlineLevel="2">
      <c r="A13" s="3" t="e">
        <f>(HYPERLINK("http://www.autodoc.ru/Web/price/art/2028BGNH?analog=on","2028BGNH"))*1</f>
        <v>#VALUE!</v>
      </c>
      <c r="B13" s="1">
        <v>6990034</v>
      </c>
      <c r="C13" t="s">
        <v>17</v>
      </c>
      <c r="D13" t="s">
        <v>22</v>
      </c>
      <c r="E13" t="s">
        <v>23</v>
      </c>
    </row>
    <row r="14" spans="1:7" hidden="1" outlineLevel="1">
      <c r="A14" s="2">
        <v>0</v>
      </c>
      <c r="B14" s="26" t="s">
        <v>24</v>
      </c>
      <c r="C14" s="27">
        <v>0</v>
      </c>
      <c r="D14" s="27">
        <v>0</v>
      </c>
      <c r="E14" s="27">
        <v>0</v>
      </c>
    </row>
    <row r="15" spans="1:7" hidden="1" outlineLevel="2">
      <c r="A15" s="3" t="e">
        <f>(HYPERLINK("http://www.autodoc.ru/Web/price/art/2026AGN?analog=on","2026AGN"))*1</f>
        <v>#VALUE!</v>
      </c>
      <c r="B15" s="1">
        <v>6961619</v>
      </c>
      <c r="C15" t="s">
        <v>25</v>
      </c>
      <c r="D15" t="s">
        <v>26</v>
      </c>
      <c r="E15" t="s">
        <v>8</v>
      </c>
    </row>
    <row r="16" spans="1:7" hidden="1" outlineLevel="2">
      <c r="A16" s="3" t="e">
        <f>(HYPERLINK("http://www.autodoc.ru/Web/price/art/2026AKMS?analog=on","2026AKMS"))*1</f>
        <v>#VALUE!</v>
      </c>
      <c r="B16" s="1">
        <v>6100439</v>
      </c>
      <c r="C16" t="s">
        <v>19</v>
      </c>
      <c r="D16" t="s">
        <v>27</v>
      </c>
      <c r="E16" t="s">
        <v>21</v>
      </c>
    </row>
    <row r="17" spans="1:5" hidden="1" outlineLevel="2">
      <c r="A17" s="3" t="e">
        <f>(HYPERLINK("http://www.autodoc.ru/Web/price/art/2026LGNS4RD?analog=on","2026LGNS4RD"))*1</f>
        <v>#VALUE!</v>
      </c>
      <c r="B17" s="1">
        <v>6996609</v>
      </c>
      <c r="C17" t="s">
        <v>25</v>
      </c>
      <c r="D17" t="s">
        <v>28</v>
      </c>
      <c r="E17" t="s">
        <v>10</v>
      </c>
    </row>
    <row r="18" spans="1:5" hidden="1" outlineLevel="2">
      <c r="A18" s="3" t="e">
        <f>(HYPERLINK("http://www.autodoc.ru/Web/price/art/2026LGNS4RV?analog=on","2026LGNS4RV"))*1</f>
        <v>#VALUE!</v>
      </c>
      <c r="B18" s="1">
        <v>6996610</v>
      </c>
      <c r="C18" t="s">
        <v>25</v>
      </c>
      <c r="D18" t="s">
        <v>29</v>
      </c>
      <c r="E18" t="s">
        <v>10</v>
      </c>
    </row>
    <row r="19" spans="1:5" hidden="1" outlineLevel="2">
      <c r="A19" s="3" t="e">
        <f>(HYPERLINK("http://www.autodoc.ru/Web/price/art/2026RGNS4FD?analog=on","2026RGNS4FD"))*1</f>
        <v>#VALUE!</v>
      </c>
      <c r="B19" s="1">
        <v>6996611</v>
      </c>
      <c r="C19" t="s">
        <v>25</v>
      </c>
      <c r="D19" t="s">
        <v>30</v>
      </c>
      <c r="E19" t="s">
        <v>10</v>
      </c>
    </row>
    <row r="20" spans="1:5" hidden="1" outlineLevel="2">
      <c r="A20" s="3" t="e">
        <f>(HYPERLINK("http://www.autodoc.ru/Web/price/art/2026RGNS4RD?analog=on","2026RGNS4RD"))*1</f>
        <v>#VALUE!</v>
      </c>
      <c r="B20" s="1">
        <v>6996612</v>
      </c>
      <c r="C20" t="s">
        <v>25</v>
      </c>
      <c r="D20" t="s">
        <v>31</v>
      </c>
      <c r="E20" t="s">
        <v>10</v>
      </c>
    </row>
    <row r="21" spans="1:5" hidden="1" outlineLevel="1">
      <c r="A21" s="2">
        <v>0</v>
      </c>
      <c r="B21" s="26" t="s">
        <v>32</v>
      </c>
      <c r="C21" s="27">
        <v>0</v>
      </c>
      <c r="D21" s="27">
        <v>0</v>
      </c>
      <c r="E21" s="27">
        <v>0</v>
      </c>
    </row>
    <row r="22" spans="1:5" hidden="1" outlineLevel="2">
      <c r="A22" s="3" t="e">
        <f>(HYPERLINK("http://www.autodoc.ru/Web/price/art/2031AGN?analog=on","2031AGN"))*1</f>
        <v>#VALUE!</v>
      </c>
      <c r="B22" s="1">
        <v>6961205</v>
      </c>
      <c r="C22" t="s">
        <v>33</v>
      </c>
      <c r="D22" t="s">
        <v>34</v>
      </c>
      <c r="E22" t="s">
        <v>8</v>
      </c>
    </row>
    <row r="23" spans="1:5" hidden="1" outlineLevel="2">
      <c r="A23" s="3" t="e">
        <f>(HYPERLINK("http://www.autodoc.ru/Web/price/art/2031ASMH?analog=on","2031ASMH"))*1</f>
        <v>#VALUE!</v>
      </c>
      <c r="B23" s="1">
        <v>6100014</v>
      </c>
      <c r="C23" t="s">
        <v>19</v>
      </c>
      <c r="D23" t="s">
        <v>35</v>
      </c>
      <c r="E23" t="s">
        <v>21</v>
      </c>
    </row>
    <row r="24" spans="1:5" hidden="1" outlineLevel="2">
      <c r="A24" s="3" t="e">
        <f>(HYPERLINK("http://www.autodoc.ru/Web/price/art/2031BGNHA1J?analog=on","2031BGNHA1J"))*1</f>
        <v>#VALUE!</v>
      </c>
      <c r="B24" s="1">
        <v>6992644</v>
      </c>
      <c r="C24" t="s">
        <v>36</v>
      </c>
      <c r="D24" t="s">
        <v>37</v>
      </c>
      <c r="E24" t="s">
        <v>23</v>
      </c>
    </row>
    <row r="25" spans="1:5" hidden="1" outlineLevel="2">
      <c r="A25" s="3" t="e">
        <f>(HYPERLINK("http://www.autodoc.ru/Web/price/art/2031BGNHZ?analog=on","2031BGNHZ"))*1</f>
        <v>#VALUE!</v>
      </c>
      <c r="B25" s="1">
        <v>6991053</v>
      </c>
      <c r="C25" t="s">
        <v>36</v>
      </c>
      <c r="D25" t="s">
        <v>38</v>
      </c>
      <c r="E25" t="s">
        <v>23</v>
      </c>
    </row>
    <row r="26" spans="1:5" hidden="1" outlineLevel="2">
      <c r="A26" s="3" t="e">
        <f>(HYPERLINK("http://www.autodoc.ru/Web/price/art/2031LGNH3FD?analog=on","2031LGNH3FD"))*1</f>
        <v>#VALUE!</v>
      </c>
      <c r="B26" s="1">
        <v>6994309</v>
      </c>
      <c r="C26" t="s">
        <v>33</v>
      </c>
      <c r="D26" t="s">
        <v>39</v>
      </c>
      <c r="E26" t="s">
        <v>10</v>
      </c>
    </row>
    <row r="27" spans="1:5" hidden="1" outlineLevel="2">
      <c r="A27" s="3" t="e">
        <f>(HYPERLINK("http://www.autodoc.ru/Web/price/art/2031LGNH3RQO?analog=on","2031LGNH3RQO"))*1</f>
        <v>#VALUE!</v>
      </c>
      <c r="B27" s="1">
        <v>6996975</v>
      </c>
      <c r="C27" t="s">
        <v>33</v>
      </c>
      <c r="D27" t="s">
        <v>40</v>
      </c>
      <c r="E27" t="s">
        <v>10</v>
      </c>
    </row>
    <row r="28" spans="1:5" hidden="1" outlineLevel="2">
      <c r="A28" s="3" t="e">
        <f>(HYPERLINK("http://www.autodoc.ru/Web/price/art/2031LGNH5FD?analog=on","2031LGNH5FD"))*1</f>
        <v>#VALUE!</v>
      </c>
      <c r="B28" s="1">
        <v>6994311</v>
      </c>
      <c r="C28" t="s">
        <v>36</v>
      </c>
      <c r="D28" t="s">
        <v>41</v>
      </c>
      <c r="E28" t="s">
        <v>10</v>
      </c>
    </row>
    <row r="29" spans="1:5" hidden="1" outlineLevel="2">
      <c r="A29" s="3" t="e">
        <f>(HYPERLINK("http://www.autodoc.ru/Web/price/art/2031LGNH5RD?analog=on","2031LGNH5RD"))*1</f>
        <v>#VALUE!</v>
      </c>
      <c r="B29" s="1">
        <v>6994312</v>
      </c>
      <c r="C29" t="s">
        <v>36</v>
      </c>
      <c r="D29" t="s">
        <v>42</v>
      </c>
      <c r="E29" t="s">
        <v>10</v>
      </c>
    </row>
    <row r="30" spans="1:5" hidden="1" outlineLevel="2">
      <c r="A30" s="3" t="e">
        <f>(HYPERLINK("http://www.autodoc.ru/Web/price/art/2031RGNH3FD?analog=on","2031RGNH3FD"))*1</f>
        <v>#VALUE!</v>
      </c>
      <c r="B30" s="1">
        <v>6994313</v>
      </c>
      <c r="C30" t="s">
        <v>33</v>
      </c>
      <c r="D30" t="s">
        <v>43</v>
      </c>
      <c r="E30" t="s">
        <v>10</v>
      </c>
    </row>
    <row r="31" spans="1:5" hidden="1" outlineLevel="2">
      <c r="A31" s="3" t="e">
        <f>(HYPERLINK("http://www.autodoc.ru/Web/price/art/2031RGNH3RQO?analog=on","2031RGNH3RQO"))*1</f>
        <v>#VALUE!</v>
      </c>
      <c r="B31" s="1">
        <v>6996976</v>
      </c>
      <c r="C31" t="s">
        <v>33</v>
      </c>
      <c r="D31" t="s">
        <v>44</v>
      </c>
      <c r="E31" t="s">
        <v>10</v>
      </c>
    </row>
    <row r="32" spans="1:5" hidden="1" outlineLevel="2">
      <c r="A32" s="3" t="e">
        <f>(HYPERLINK("http://www.autodoc.ru/Web/price/art/2031RGNH5FD?analog=on","2031RGNH5FD"))*1</f>
        <v>#VALUE!</v>
      </c>
      <c r="B32" s="1">
        <v>6994315</v>
      </c>
      <c r="C32" t="s">
        <v>36</v>
      </c>
      <c r="D32" t="s">
        <v>45</v>
      </c>
      <c r="E32" t="s">
        <v>10</v>
      </c>
    </row>
    <row r="33" spans="1:5" hidden="1" outlineLevel="2">
      <c r="A33" s="3" t="e">
        <f>(HYPERLINK("http://www.autodoc.ru/Web/price/art/2031RGNH5RD?analog=on","2031RGNH5RD"))*1</f>
        <v>#VALUE!</v>
      </c>
      <c r="B33" s="1">
        <v>6994316</v>
      </c>
      <c r="C33" t="s">
        <v>36</v>
      </c>
      <c r="D33" t="s">
        <v>46</v>
      </c>
      <c r="E33" t="s">
        <v>10</v>
      </c>
    </row>
    <row r="34" spans="1:5" hidden="1" outlineLevel="1">
      <c r="A34" s="2">
        <v>0</v>
      </c>
      <c r="B34" s="26" t="s">
        <v>47</v>
      </c>
      <c r="C34" s="27">
        <v>0</v>
      </c>
      <c r="D34" s="27">
        <v>0</v>
      </c>
      <c r="E34" s="27">
        <v>0</v>
      </c>
    </row>
    <row r="35" spans="1:5" hidden="1" outlineLevel="2">
      <c r="A35" s="3" t="e">
        <f>(HYPERLINK("http://www.autodoc.ru/Web/price/art/2037AGS?analog=on","2037AGS"))*1</f>
        <v>#VALUE!</v>
      </c>
      <c r="B35" s="1">
        <v>6960530</v>
      </c>
      <c r="C35" t="s">
        <v>48</v>
      </c>
      <c r="D35" t="s">
        <v>49</v>
      </c>
      <c r="E35" t="s">
        <v>8</v>
      </c>
    </row>
    <row r="36" spans="1:5" hidden="1" outlineLevel="2">
      <c r="A36" s="3" t="e">
        <f>(HYPERLINK("http://www.autodoc.ru/Web/price/art/2037AGSM?analog=on","2037AGSM"))*1</f>
        <v>#VALUE!</v>
      </c>
      <c r="B36" s="1">
        <v>6961469</v>
      </c>
      <c r="C36" t="s">
        <v>48</v>
      </c>
      <c r="D36" t="s">
        <v>50</v>
      </c>
      <c r="E36" t="s">
        <v>8</v>
      </c>
    </row>
    <row r="37" spans="1:5" hidden="1" outlineLevel="2">
      <c r="A37" s="3" t="e">
        <f>(HYPERLINK("http://www.autodoc.ru/Web/price/art/2037ASMH?analog=on","2037ASMH"))*1</f>
        <v>#VALUE!</v>
      </c>
      <c r="B37" s="1">
        <v>6100268</v>
      </c>
      <c r="C37" t="s">
        <v>19</v>
      </c>
      <c r="D37" t="s">
        <v>51</v>
      </c>
      <c r="E37" t="s">
        <v>21</v>
      </c>
    </row>
    <row r="38" spans="1:5" hidden="1" outlineLevel="2">
      <c r="A38" s="3" t="e">
        <f>(HYPERLINK("http://www.autodoc.ru/Web/price/art/2037BGSHBW?analog=on","2037BGSHBW"))*1</f>
        <v>#VALUE!</v>
      </c>
      <c r="B38" s="1">
        <v>6980021</v>
      </c>
      <c r="C38" t="s">
        <v>48</v>
      </c>
      <c r="D38" t="s">
        <v>52</v>
      </c>
      <c r="E38" t="s">
        <v>23</v>
      </c>
    </row>
    <row r="39" spans="1:5" hidden="1" outlineLevel="2">
      <c r="A39" s="3" t="e">
        <f>(HYPERLINK("http://www.autodoc.ru/Web/price/art/2037LGSH3FDW?analog=on","2037LGSH3FDW"))*1</f>
        <v>#VALUE!</v>
      </c>
      <c r="B39" s="1">
        <v>6993213</v>
      </c>
      <c r="C39" t="s">
        <v>48</v>
      </c>
      <c r="D39" t="s">
        <v>53</v>
      </c>
      <c r="E39" t="s">
        <v>10</v>
      </c>
    </row>
    <row r="40" spans="1:5" hidden="1" outlineLevel="2">
      <c r="A40" s="3" t="e">
        <f>(HYPERLINK("http://www.autodoc.ru/Web/price/art/2037LGSH5FDW?analog=on","2037LGSH5FDW"))*1</f>
        <v>#VALUE!</v>
      </c>
      <c r="B40" s="1">
        <v>6980395</v>
      </c>
      <c r="C40" t="s">
        <v>48</v>
      </c>
      <c r="D40" t="s">
        <v>53</v>
      </c>
      <c r="E40" t="s">
        <v>10</v>
      </c>
    </row>
    <row r="41" spans="1:5" hidden="1" outlineLevel="2">
      <c r="A41" s="3" t="e">
        <f>(HYPERLINK("http://www.autodoc.ru/Web/price/art/2037LGSH5RDW?analog=on","2037LGSH5RDW"))*1</f>
        <v>#VALUE!</v>
      </c>
      <c r="B41" s="1">
        <v>6980055</v>
      </c>
      <c r="C41" t="s">
        <v>48</v>
      </c>
      <c r="D41" t="s">
        <v>54</v>
      </c>
      <c r="E41" t="s">
        <v>10</v>
      </c>
    </row>
    <row r="42" spans="1:5" hidden="1" outlineLevel="2">
      <c r="A42" s="3" t="e">
        <f>(HYPERLINK("http://www.autodoc.ru/Web/price/art/2037RGSH3FDW?analog=on","2037RGSH3FDW"))*1</f>
        <v>#VALUE!</v>
      </c>
      <c r="B42" s="1">
        <v>6993214</v>
      </c>
      <c r="C42" t="s">
        <v>48</v>
      </c>
      <c r="D42" t="s">
        <v>55</v>
      </c>
      <c r="E42" t="s">
        <v>10</v>
      </c>
    </row>
    <row r="43" spans="1:5" hidden="1" outlineLevel="2">
      <c r="A43" s="3" t="e">
        <f>(HYPERLINK("http://www.autodoc.ru/Web/price/art/2037RGSH5FDW?analog=on","2037RGSH5FDW"))*1</f>
        <v>#VALUE!</v>
      </c>
      <c r="B43" s="1">
        <v>6980054</v>
      </c>
      <c r="C43" t="s">
        <v>48</v>
      </c>
      <c r="D43" t="s">
        <v>55</v>
      </c>
      <c r="E43" t="s">
        <v>10</v>
      </c>
    </row>
    <row r="44" spans="1:5" hidden="1" outlineLevel="2">
      <c r="A44" s="3" t="e">
        <f>(HYPERLINK("http://www.autodoc.ru/Web/price/art/2037RGSH5RDW?analog=on","2037RGSH5RDW"))*1</f>
        <v>#VALUE!</v>
      </c>
      <c r="B44" s="1">
        <v>6980056</v>
      </c>
      <c r="C44" t="s">
        <v>48</v>
      </c>
      <c r="D44" t="s">
        <v>56</v>
      </c>
      <c r="E44" t="s">
        <v>10</v>
      </c>
    </row>
    <row r="45" spans="1:5" hidden="1" outlineLevel="1">
      <c r="A45" s="2">
        <v>0</v>
      </c>
      <c r="B45" s="26" t="s">
        <v>57</v>
      </c>
      <c r="C45" s="27">
        <v>0</v>
      </c>
      <c r="D45" s="27">
        <v>0</v>
      </c>
      <c r="E45" s="27">
        <v>0</v>
      </c>
    </row>
    <row r="46" spans="1:5" hidden="1" outlineLevel="2">
      <c r="A46" s="3" t="e">
        <f>(HYPERLINK("http://www.autodoc.ru/Web/price/art/2029ABS?analog=on","2029ABS"))*1</f>
        <v>#VALUE!</v>
      </c>
      <c r="B46" s="1">
        <v>6961202</v>
      </c>
      <c r="C46" t="s">
        <v>58</v>
      </c>
      <c r="D46" t="s">
        <v>59</v>
      </c>
      <c r="E46" t="s">
        <v>8</v>
      </c>
    </row>
    <row r="47" spans="1:5" hidden="1" outlineLevel="2">
      <c r="A47" s="3" t="e">
        <f>(HYPERLINK("http://www.autodoc.ru/Web/price/art/2029AGN?analog=on","2029AGN"))*1</f>
        <v>#VALUE!</v>
      </c>
      <c r="B47" s="1">
        <v>6961201</v>
      </c>
      <c r="C47" t="s">
        <v>58</v>
      </c>
      <c r="D47" t="s">
        <v>60</v>
      </c>
      <c r="E47" t="s">
        <v>8</v>
      </c>
    </row>
    <row r="48" spans="1:5" hidden="1" outlineLevel="2">
      <c r="A48" s="3" t="e">
        <f>(HYPERLINK("http://www.autodoc.ru/Web/price/art/OLD-2029AGNGN?analog=on","OLD-2029AGNGN"))*1</f>
        <v>#VALUE!</v>
      </c>
      <c r="B48" s="1">
        <v>6963779</v>
      </c>
      <c r="C48" t="s">
        <v>58</v>
      </c>
      <c r="D48" t="s">
        <v>61</v>
      </c>
      <c r="E48" t="s">
        <v>8</v>
      </c>
    </row>
    <row r="49" spans="1:5" hidden="1" outlineLevel="2">
      <c r="A49" s="3" t="e">
        <f>(HYPERLINK("http://www.autodoc.ru/Web/price/art/2029AKMS?analog=on","2029AKMS"))*1</f>
        <v>#VALUE!</v>
      </c>
      <c r="B49" s="1">
        <v>6101139</v>
      </c>
      <c r="C49" t="s">
        <v>19</v>
      </c>
      <c r="D49" t="s">
        <v>62</v>
      </c>
      <c r="E49" t="s">
        <v>21</v>
      </c>
    </row>
    <row r="50" spans="1:5" hidden="1" outlineLevel="2">
      <c r="A50" s="3" t="e">
        <f>(HYPERLINK("http://www.autodoc.ru/Web/price/art/2029BGNS?analog=on","2029BGNS"))*1</f>
        <v>#VALUE!</v>
      </c>
      <c r="B50" s="1">
        <v>6998933</v>
      </c>
      <c r="C50" t="s">
        <v>58</v>
      </c>
      <c r="D50" t="s">
        <v>63</v>
      </c>
      <c r="E50" t="s">
        <v>23</v>
      </c>
    </row>
    <row r="51" spans="1:5" hidden="1" outlineLevel="2">
      <c r="A51" s="3" t="e">
        <f>(HYPERLINK("http://www.autodoc.ru/Web/price/art/2029LGNS4FDW?analog=on","2029LGNS4FDW"))*1</f>
        <v>#VALUE!</v>
      </c>
      <c r="B51" s="1">
        <v>6190925</v>
      </c>
      <c r="C51" t="s">
        <v>58</v>
      </c>
      <c r="D51" t="s">
        <v>64</v>
      </c>
      <c r="E51" t="s">
        <v>10</v>
      </c>
    </row>
    <row r="52" spans="1:5" hidden="1" outlineLevel="2">
      <c r="A52" s="3" t="e">
        <f>(HYPERLINK("http://www.autodoc.ru/Web/price/art/2029LBSS4RDW?analog=on","2029LBSS4RDW"))*1</f>
        <v>#VALUE!</v>
      </c>
      <c r="B52" s="1">
        <v>6993097</v>
      </c>
      <c r="C52" t="s">
        <v>58</v>
      </c>
      <c r="D52" t="s">
        <v>65</v>
      </c>
      <c r="E52" t="s">
        <v>10</v>
      </c>
    </row>
    <row r="53" spans="1:5" hidden="1" outlineLevel="2">
      <c r="A53" s="3" t="e">
        <f>(HYPERLINK("http://www.autodoc.ru/Web/price/art/2029LGNS4RDW?analog=on","2029LGNS4RDW"))*1</f>
        <v>#VALUE!</v>
      </c>
      <c r="B53" s="1">
        <v>6190924</v>
      </c>
      <c r="C53" t="s">
        <v>58</v>
      </c>
      <c r="D53" t="s">
        <v>66</v>
      </c>
      <c r="E53" t="s">
        <v>10</v>
      </c>
    </row>
    <row r="54" spans="1:5" hidden="1" outlineLevel="2">
      <c r="A54" s="3" t="e">
        <f>(HYPERLINK("http://www.autodoc.ru/Web/price/art/2029LBSS4RV?analog=on","2029LBSS4RV"))*1</f>
        <v>#VALUE!</v>
      </c>
      <c r="B54" s="1">
        <v>6993099</v>
      </c>
      <c r="C54" t="s">
        <v>58</v>
      </c>
      <c r="D54" t="s">
        <v>67</v>
      </c>
      <c r="E54" t="s">
        <v>10</v>
      </c>
    </row>
    <row r="55" spans="1:5" hidden="1" outlineLevel="2">
      <c r="A55" s="3" t="e">
        <f>(HYPERLINK("http://www.autodoc.ru/Web/price/art/2029RBSS4FDW?analog=on","2029RBSS4FDW"))*1</f>
        <v>#VALUE!</v>
      </c>
      <c r="B55" s="1">
        <v>6993105</v>
      </c>
      <c r="C55" t="s">
        <v>58</v>
      </c>
      <c r="D55" t="s">
        <v>68</v>
      </c>
      <c r="E55" t="s">
        <v>10</v>
      </c>
    </row>
    <row r="56" spans="1:5" hidden="1" outlineLevel="2">
      <c r="A56" s="3" t="e">
        <f>(HYPERLINK("http://www.autodoc.ru/Web/price/art/2029RGNS4RDW?analog=on","2029RGNS4RDW"))*1</f>
        <v>#VALUE!</v>
      </c>
      <c r="B56" s="1">
        <v>6190926</v>
      </c>
      <c r="C56" t="s">
        <v>58</v>
      </c>
      <c r="D56" t="s">
        <v>69</v>
      </c>
      <c r="E56" t="s">
        <v>10</v>
      </c>
    </row>
    <row r="57" spans="1:5" hidden="1" outlineLevel="2">
      <c r="A57" s="3" t="e">
        <f>(HYPERLINK("http://www.autodoc.ru/Web/price/art/2029RBSS4RV?analog=on","2029RBSS4RV"))*1</f>
        <v>#VALUE!</v>
      </c>
      <c r="B57" s="1">
        <v>6993098</v>
      </c>
      <c r="C57" t="s">
        <v>58</v>
      </c>
      <c r="D57" t="s">
        <v>70</v>
      </c>
      <c r="E57" t="s">
        <v>10</v>
      </c>
    </row>
    <row r="58" spans="1:5" hidden="1" outlineLevel="1">
      <c r="A58" s="2">
        <v>0</v>
      </c>
      <c r="B58" s="26" t="s">
        <v>71</v>
      </c>
      <c r="C58" s="27">
        <v>0</v>
      </c>
      <c r="D58" s="27">
        <v>0</v>
      </c>
      <c r="E58" s="27">
        <v>0</v>
      </c>
    </row>
    <row r="59" spans="1:5" hidden="1" outlineLevel="2">
      <c r="A59" s="3" t="e">
        <f>(HYPERLINK("http://www.autodoc.ru/Web/price/art/2034AGN?analog=on","2034AGN"))*1</f>
        <v>#VALUE!</v>
      </c>
      <c r="B59" s="1">
        <v>6961203</v>
      </c>
      <c r="C59" t="s">
        <v>72</v>
      </c>
      <c r="D59" t="s">
        <v>73</v>
      </c>
      <c r="E59" t="s">
        <v>8</v>
      </c>
    </row>
    <row r="60" spans="1:5" hidden="1" outlineLevel="2">
      <c r="A60" s="3" t="e">
        <f>(HYPERLINK("http://www.autodoc.ru/Web/price/art/2034AGNP1B?analog=on","2034AGNP1B"))*1</f>
        <v>#VALUE!</v>
      </c>
      <c r="B60" s="1">
        <v>6961084</v>
      </c>
      <c r="C60" t="s">
        <v>72</v>
      </c>
      <c r="D60" t="s">
        <v>74</v>
      </c>
      <c r="E60" t="s">
        <v>8</v>
      </c>
    </row>
    <row r="61" spans="1:5" hidden="1" outlineLevel="2">
      <c r="A61" s="3" t="e">
        <f>(HYPERLINK("http://www.autodoc.ru/Web/price/art/2034ASMS?analog=on","2034ASMS"))*1</f>
        <v>#VALUE!</v>
      </c>
      <c r="B61" s="1">
        <v>6100017</v>
      </c>
      <c r="C61" t="s">
        <v>19</v>
      </c>
      <c r="D61" t="s">
        <v>75</v>
      </c>
      <c r="E61" t="s">
        <v>21</v>
      </c>
    </row>
    <row r="62" spans="1:5" hidden="1" outlineLevel="2">
      <c r="A62" s="3" t="e">
        <f>(HYPERLINK("http://www.autodoc.ru/Web/price/art/2034BGNSA?analog=on","2034BGNSA"))*1</f>
        <v>#VALUE!</v>
      </c>
      <c r="B62" s="1">
        <v>6994913</v>
      </c>
      <c r="C62" t="s">
        <v>72</v>
      </c>
      <c r="D62" t="s">
        <v>76</v>
      </c>
      <c r="E62" t="s">
        <v>23</v>
      </c>
    </row>
    <row r="63" spans="1:5" hidden="1" outlineLevel="2">
      <c r="A63" s="3" t="e">
        <f>(HYPERLINK("http://www.autodoc.ru/Web/price/art/2034BSMS?analog=on","2034BSMS"))*1</f>
        <v>#VALUE!</v>
      </c>
      <c r="B63" s="1">
        <v>6100437</v>
      </c>
      <c r="C63" t="s">
        <v>19</v>
      </c>
      <c r="D63" t="s">
        <v>77</v>
      </c>
      <c r="E63" t="s">
        <v>21</v>
      </c>
    </row>
    <row r="64" spans="1:5" hidden="1" outlineLevel="2">
      <c r="A64" s="3" t="e">
        <f>(HYPERLINK("http://www.autodoc.ru/Web/price/art/2034LGNS4FDW?analog=on","2034LGNS4FDW"))*1</f>
        <v>#VALUE!</v>
      </c>
      <c r="B64" s="1">
        <v>6997630</v>
      </c>
      <c r="C64" t="s">
        <v>72</v>
      </c>
      <c r="D64" t="s">
        <v>78</v>
      </c>
      <c r="E64" t="s">
        <v>10</v>
      </c>
    </row>
    <row r="65" spans="1:5" hidden="1" outlineLevel="2">
      <c r="A65" s="3" t="e">
        <f>(HYPERLINK("http://www.autodoc.ru/Web/price/art/2034LGNS4RDW?analog=on","2034LGNS4RDW"))*1</f>
        <v>#VALUE!</v>
      </c>
      <c r="B65" s="1">
        <v>6997632</v>
      </c>
      <c r="C65" t="s">
        <v>72</v>
      </c>
      <c r="D65" t="s">
        <v>79</v>
      </c>
      <c r="E65" t="s">
        <v>10</v>
      </c>
    </row>
    <row r="66" spans="1:5" hidden="1" outlineLevel="2">
      <c r="A66" s="3" t="e">
        <f>(HYPERLINK("http://www.autodoc.ru/Web/price/art/2034RGNS4FDW?analog=on","2034RGNS4FDW"))*1</f>
        <v>#VALUE!</v>
      </c>
      <c r="B66" s="1">
        <v>6997631</v>
      </c>
      <c r="C66" t="s">
        <v>72</v>
      </c>
      <c r="D66" t="s">
        <v>80</v>
      </c>
      <c r="E66" t="s">
        <v>10</v>
      </c>
    </row>
    <row r="67" spans="1:5" hidden="1" outlineLevel="2">
      <c r="A67" s="3" t="e">
        <f>(HYPERLINK("http://www.autodoc.ru/Web/price/art/2034RGNS4RDW?analog=on","2034RGNS4RDW"))*1</f>
        <v>#VALUE!</v>
      </c>
      <c r="B67" s="1">
        <v>6997633</v>
      </c>
      <c r="C67" t="s">
        <v>72</v>
      </c>
      <c r="D67" t="s">
        <v>81</v>
      </c>
      <c r="E67" t="s">
        <v>10</v>
      </c>
    </row>
    <row r="68" spans="1:5" hidden="1" outlineLevel="1">
      <c r="A68" s="2">
        <v>0</v>
      </c>
      <c r="B68" s="26" t="s">
        <v>82</v>
      </c>
      <c r="C68" s="27">
        <v>0</v>
      </c>
      <c r="D68" s="27">
        <v>0</v>
      </c>
      <c r="E68" s="27">
        <v>0</v>
      </c>
    </row>
    <row r="69" spans="1:5" hidden="1" outlineLevel="2">
      <c r="A69" s="3" t="e">
        <f>(HYPERLINK("http://www.autodoc.ru/Web/price/art/2039AGS?analog=on","2039AGS"))*1</f>
        <v>#VALUE!</v>
      </c>
      <c r="B69" s="1">
        <v>6960592</v>
      </c>
      <c r="C69" t="s">
        <v>83</v>
      </c>
      <c r="D69" t="s">
        <v>84</v>
      </c>
      <c r="E69" t="s">
        <v>8</v>
      </c>
    </row>
    <row r="70" spans="1:5" hidden="1" outlineLevel="2">
      <c r="A70" s="3" t="e">
        <f>(HYPERLINK("http://www.autodoc.ru/Web/price/art/2039AGSM1B?analog=on","2039AGSM1B"))*1</f>
        <v>#VALUE!</v>
      </c>
      <c r="B70" s="1">
        <v>6961396</v>
      </c>
      <c r="C70" t="s">
        <v>83</v>
      </c>
      <c r="D70" t="s">
        <v>85</v>
      </c>
      <c r="E70" t="s">
        <v>8</v>
      </c>
    </row>
    <row r="71" spans="1:5" hidden="1" outlineLevel="2">
      <c r="A71" s="3" t="e">
        <f>(HYPERLINK("http://www.autodoc.ru/Web/price/art/2039BGPEZ?analog=on","2039BGPEZ"))*1</f>
        <v>#VALUE!</v>
      </c>
      <c r="B71" s="1">
        <v>6993351</v>
      </c>
      <c r="C71" t="s">
        <v>83</v>
      </c>
      <c r="D71" t="s">
        <v>86</v>
      </c>
      <c r="E71" t="s">
        <v>23</v>
      </c>
    </row>
    <row r="72" spans="1:5" hidden="1" outlineLevel="2">
      <c r="A72" s="3" t="e">
        <f>(HYPERLINK("http://www.autodoc.ru/Web/price/art/2039BGSEZ?analog=on","2039BGSEZ"))*1</f>
        <v>#VALUE!</v>
      </c>
      <c r="B72" s="1">
        <v>6992154</v>
      </c>
      <c r="C72" t="s">
        <v>83</v>
      </c>
      <c r="D72" t="s">
        <v>87</v>
      </c>
      <c r="E72" t="s">
        <v>23</v>
      </c>
    </row>
    <row r="73" spans="1:5" hidden="1" outlineLevel="2">
      <c r="A73" s="3" t="e">
        <f>(HYPERLINK("http://www.autodoc.ru/Web/price/art/2039BGSSB?analog=on","2039BGSSB"))*1</f>
        <v>#VALUE!</v>
      </c>
      <c r="B73" s="1">
        <v>6992167</v>
      </c>
      <c r="C73" t="s">
        <v>83</v>
      </c>
      <c r="D73" t="s">
        <v>88</v>
      </c>
      <c r="E73" t="s">
        <v>23</v>
      </c>
    </row>
    <row r="74" spans="1:5" hidden="1" outlineLevel="2">
      <c r="A74" s="3" t="e">
        <f>(HYPERLINK("http://www.autodoc.ru/Web/price/art/2039LGPE5RDW?analog=on","2039LGPE5RDW"))*1</f>
        <v>#VALUE!</v>
      </c>
      <c r="B74" s="1">
        <v>6993354</v>
      </c>
      <c r="C74" t="s">
        <v>83</v>
      </c>
      <c r="D74" t="s">
        <v>89</v>
      </c>
      <c r="E74" t="s">
        <v>10</v>
      </c>
    </row>
    <row r="75" spans="1:5" hidden="1" outlineLevel="2">
      <c r="A75" s="3" t="e">
        <f>(HYPERLINK("http://www.autodoc.ru/Web/price/art/2039LGPE5RQZ?analog=on","2039LGPE5RQZ"))*1</f>
        <v>#VALUE!</v>
      </c>
      <c r="B75" s="1">
        <v>6993352</v>
      </c>
      <c r="C75" t="s">
        <v>83</v>
      </c>
      <c r="D75" t="s">
        <v>90</v>
      </c>
      <c r="E75" t="s">
        <v>10</v>
      </c>
    </row>
    <row r="76" spans="1:5" hidden="1" outlineLevel="2">
      <c r="A76" s="3" t="e">
        <f>(HYPERLINK("http://www.autodoc.ru/Web/price/art/2039LGSE5RDW?analog=on","2039LGSE5RDW"))*1</f>
        <v>#VALUE!</v>
      </c>
      <c r="B76" s="1">
        <v>6993184</v>
      </c>
      <c r="C76" t="s">
        <v>83</v>
      </c>
      <c r="D76" t="s">
        <v>91</v>
      </c>
      <c r="E76" t="s">
        <v>10</v>
      </c>
    </row>
    <row r="77" spans="1:5" hidden="1" outlineLevel="2">
      <c r="A77" s="3" t="e">
        <f>(HYPERLINK("http://www.autodoc.ru/Web/price/art/2039LGSE5RQZ?analog=on","2039LGSE5RQZ"))*1</f>
        <v>#VALUE!</v>
      </c>
      <c r="B77" s="1">
        <v>6992284</v>
      </c>
      <c r="C77" t="s">
        <v>83</v>
      </c>
      <c r="D77" t="s">
        <v>92</v>
      </c>
      <c r="E77" t="s">
        <v>10</v>
      </c>
    </row>
    <row r="78" spans="1:5" hidden="1" outlineLevel="2">
      <c r="A78" s="3" t="e">
        <f>(HYPERLINK("http://www.autodoc.ru/Web/price/art/2039LGSS4FD?analog=on","2039LGSS4FD"))*1</f>
        <v>#VALUE!</v>
      </c>
      <c r="B78" s="1">
        <v>6992164</v>
      </c>
      <c r="C78" t="s">
        <v>83</v>
      </c>
      <c r="D78" t="s">
        <v>93</v>
      </c>
      <c r="E78" t="s">
        <v>10</v>
      </c>
    </row>
    <row r="79" spans="1:5" hidden="1" outlineLevel="2">
      <c r="A79" s="3" t="e">
        <f>(HYPERLINK("http://www.autodoc.ru/Web/price/art/2039LGSS4RDW?analog=on","2039LGSS4RDW"))*1</f>
        <v>#VALUE!</v>
      </c>
      <c r="B79" s="1">
        <v>6992166</v>
      </c>
      <c r="C79" t="s">
        <v>83</v>
      </c>
      <c r="D79" t="s">
        <v>94</v>
      </c>
      <c r="E79" t="s">
        <v>10</v>
      </c>
    </row>
    <row r="80" spans="1:5" hidden="1" outlineLevel="2">
      <c r="A80" s="3" t="e">
        <f>(HYPERLINK("http://www.autodoc.ru/Web/price/art/2039RGPE5RDW?analog=on","2039RGPE5RDW"))*1</f>
        <v>#VALUE!</v>
      </c>
      <c r="B80" s="1">
        <v>6993355</v>
      </c>
      <c r="C80" t="s">
        <v>83</v>
      </c>
      <c r="D80" t="s">
        <v>95</v>
      </c>
      <c r="E80" t="s">
        <v>10</v>
      </c>
    </row>
    <row r="81" spans="1:5" hidden="1" outlineLevel="2">
      <c r="A81" s="3" t="e">
        <f>(HYPERLINK("http://www.autodoc.ru/Web/price/art/2039RGPE5RQZ?analog=on","2039RGPE5RQZ"))*1</f>
        <v>#VALUE!</v>
      </c>
      <c r="B81" s="1">
        <v>6993353</v>
      </c>
      <c r="C81" t="s">
        <v>83</v>
      </c>
      <c r="D81" t="s">
        <v>96</v>
      </c>
      <c r="E81" t="s">
        <v>10</v>
      </c>
    </row>
    <row r="82" spans="1:5" hidden="1" outlineLevel="2">
      <c r="A82" s="3" t="e">
        <f>(HYPERLINK("http://www.autodoc.ru/Web/price/art/2039RGSE5RDW?analog=on","2039RGSE5RDW"))*1</f>
        <v>#VALUE!</v>
      </c>
      <c r="B82" s="1">
        <v>6993183</v>
      </c>
      <c r="C82" t="s">
        <v>83</v>
      </c>
      <c r="D82" t="s">
        <v>97</v>
      </c>
      <c r="E82" t="s">
        <v>10</v>
      </c>
    </row>
    <row r="83" spans="1:5" hidden="1" outlineLevel="2">
      <c r="A83" s="3" t="e">
        <f>(HYPERLINK("http://www.autodoc.ru/Web/price/art/2039RGSE5RQZ?analog=on","2039RGSE5RQZ"))*1</f>
        <v>#VALUE!</v>
      </c>
      <c r="B83" s="1">
        <v>6992285</v>
      </c>
      <c r="C83" t="s">
        <v>83</v>
      </c>
      <c r="D83" t="s">
        <v>98</v>
      </c>
      <c r="E83" t="s">
        <v>10</v>
      </c>
    </row>
    <row r="84" spans="1:5" hidden="1" outlineLevel="2">
      <c r="A84" s="3" t="e">
        <f>(HYPERLINK("http://www.autodoc.ru/Web/price/art/2039RGSS4FD?analog=on","2039RGSS4FD"))*1</f>
        <v>#VALUE!</v>
      </c>
      <c r="B84" s="1">
        <v>6992163</v>
      </c>
      <c r="C84" t="s">
        <v>83</v>
      </c>
      <c r="D84" t="s">
        <v>99</v>
      </c>
      <c r="E84" t="s">
        <v>10</v>
      </c>
    </row>
    <row r="85" spans="1:5" hidden="1" outlineLevel="2">
      <c r="A85" s="3" t="e">
        <f>(HYPERLINK("http://www.autodoc.ru/Web/price/art/2039RGSS4RDW?analog=on","2039RGSS4RDW"))*1</f>
        <v>#VALUE!</v>
      </c>
      <c r="B85" s="1">
        <v>6992165</v>
      </c>
      <c r="C85" t="s">
        <v>83</v>
      </c>
      <c r="D85" t="s">
        <v>100</v>
      </c>
      <c r="E85" t="s">
        <v>10</v>
      </c>
    </row>
    <row r="86" spans="1:5" hidden="1" outlineLevel="1">
      <c r="A86" s="2">
        <v>0</v>
      </c>
      <c r="B86" s="26" t="s">
        <v>101</v>
      </c>
      <c r="C86" s="27">
        <v>0</v>
      </c>
      <c r="D86" s="27">
        <v>0</v>
      </c>
      <c r="E86" s="27">
        <v>0</v>
      </c>
    </row>
    <row r="87" spans="1:5" hidden="1" outlineLevel="2">
      <c r="A87" s="3" t="e">
        <f>(HYPERLINK("http://www.autodoc.ru/Web/price/art/2027AGNGN?analog=on","2027AGNGN"))*1</f>
        <v>#VALUE!</v>
      </c>
      <c r="B87" s="1">
        <v>6969800</v>
      </c>
      <c r="C87" t="s">
        <v>102</v>
      </c>
      <c r="D87" t="s">
        <v>103</v>
      </c>
      <c r="E87" t="s">
        <v>8</v>
      </c>
    </row>
    <row r="88" spans="1:5" hidden="1" outlineLevel="2">
      <c r="A88" s="3" t="e">
        <f>(HYPERLINK("http://www.autodoc.ru/Web/price/art/2027LGNS4FD?analog=on","2027LGNS4FD"))*1</f>
        <v>#VALUE!</v>
      </c>
      <c r="B88" s="1">
        <v>6995636</v>
      </c>
      <c r="C88" t="s">
        <v>102</v>
      </c>
      <c r="D88" t="s">
        <v>104</v>
      </c>
      <c r="E88" t="s">
        <v>10</v>
      </c>
    </row>
    <row r="89" spans="1:5" hidden="1" outlineLevel="2">
      <c r="A89" s="3" t="e">
        <f>(HYPERLINK("http://www.autodoc.ru/Web/price/art/2027LGNS4RD?analog=on","2027LGNS4RD"))*1</f>
        <v>#VALUE!</v>
      </c>
      <c r="B89" s="1">
        <v>6996614</v>
      </c>
      <c r="C89" t="s">
        <v>102</v>
      </c>
      <c r="D89" t="s">
        <v>105</v>
      </c>
      <c r="E89" t="s">
        <v>10</v>
      </c>
    </row>
    <row r="90" spans="1:5" hidden="1" outlineLevel="2">
      <c r="A90" s="3" t="e">
        <f>(HYPERLINK("http://www.autodoc.ru/Web/price/art/2027RGNS4FD?analog=on","2027RGNS4FD"))*1</f>
        <v>#VALUE!</v>
      </c>
      <c r="B90" s="1">
        <v>6995637</v>
      </c>
      <c r="C90" t="s">
        <v>102</v>
      </c>
      <c r="D90" t="s">
        <v>106</v>
      </c>
      <c r="E90" t="s">
        <v>10</v>
      </c>
    </row>
    <row r="91" spans="1:5" hidden="1" outlineLevel="2">
      <c r="A91" s="3" t="e">
        <f>(HYPERLINK("http://www.autodoc.ru/Web/price/art/2027RGNS4RD?analog=on","2027RGNS4RD"))*1</f>
        <v>#VALUE!</v>
      </c>
      <c r="B91" s="1">
        <v>6996616</v>
      </c>
      <c r="C91" t="s">
        <v>102</v>
      </c>
      <c r="D91" t="s">
        <v>107</v>
      </c>
      <c r="E91" t="s">
        <v>10</v>
      </c>
    </row>
    <row r="92" spans="1:5" hidden="1" outlineLevel="2">
      <c r="A92" s="3" t="e">
        <f>(HYPERLINK("http://www.autodoc.ru/Web/price/art/2027RGNS4RV?analog=on","2027RGNS4RV"))*1</f>
        <v>#VALUE!</v>
      </c>
      <c r="B92" s="1">
        <v>6996617</v>
      </c>
      <c r="C92" t="s">
        <v>102</v>
      </c>
      <c r="D92" t="s">
        <v>108</v>
      </c>
      <c r="E92" t="s">
        <v>10</v>
      </c>
    </row>
    <row r="93" spans="1:5" hidden="1" outlineLevel="1">
      <c r="A93" s="2">
        <v>0</v>
      </c>
      <c r="B93" s="26" t="s">
        <v>109</v>
      </c>
      <c r="C93" s="27">
        <v>0</v>
      </c>
      <c r="D93" s="27">
        <v>0</v>
      </c>
      <c r="E93" s="27">
        <v>0</v>
      </c>
    </row>
    <row r="94" spans="1:5" hidden="1" outlineLevel="2">
      <c r="A94" s="3" t="e">
        <f>(HYPERLINK("http://www.autodoc.ru/Web/price/art/2036AGSBL?analog=on","2036AGSBL"))*1</f>
        <v>#VALUE!</v>
      </c>
      <c r="B94" s="1">
        <v>6961635</v>
      </c>
      <c r="C94" t="s">
        <v>110</v>
      </c>
      <c r="D94" t="s">
        <v>111</v>
      </c>
      <c r="E94" t="s">
        <v>8</v>
      </c>
    </row>
    <row r="95" spans="1:5" hidden="1" outlineLevel="2">
      <c r="A95" s="3" t="e">
        <f>(HYPERLINK("http://www.autodoc.ru/Web/price/art/2036AGSBLH?analog=on","2036AGSBLH"))*1</f>
        <v>#VALUE!</v>
      </c>
      <c r="B95" s="1">
        <v>6961637</v>
      </c>
      <c r="C95" t="s">
        <v>110</v>
      </c>
      <c r="D95" t="s">
        <v>112</v>
      </c>
      <c r="E95" t="s">
        <v>8</v>
      </c>
    </row>
    <row r="96" spans="1:5" hidden="1" outlineLevel="2">
      <c r="A96" s="3" t="e">
        <f>(HYPERLINK("http://www.autodoc.ru/Web/price/art/2036AGSBLHM?analog=on","2036AGSBLHM"))*1</f>
        <v>#VALUE!</v>
      </c>
      <c r="B96" s="1">
        <v>6961636</v>
      </c>
      <c r="C96" t="s">
        <v>110</v>
      </c>
      <c r="D96" t="s">
        <v>113</v>
      </c>
      <c r="E96" t="s">
        <v>8</v>
      </c>
    </row>
    <row r="97" spans="1:5" hidden="1" outlineLevel="2">
      <c r="A97" s="3" t="e">
        <f>(HYPERLINK("http://www.autodoc.ru/Web/price/art/2036AGSBLM?analog=on","2036AGSBLM"))*1</f>
        <v>#VALUE!</v>
      </c>
      <c r="B97" s="1">
        <v>6961638</v>
      </c>
      <c r="C97" t="s">
        <v>110</v>
      </c>
      <c r="D97" t="s">
        <v>114</v>
      </c>
      <c r="E97" t="s">
        <v>8</v>
      </c>
    </row>
    <row r="98" spans="1:5" hidden="1" outlineLevel="2">
      <c r="A98" s="3" t="e">
        <f>(HYPERLINK("http://www.autodoc.ru/Web/price/art/2036ASMST?analog=on","2036ASMST"))*1</f>
        <v>#VALUE!</v>
      </c>
      <c r="B98" s="1">
        <v>6100019</v>
      </c>
      <c r="C98" t="s">
        <v>19</v>
      </c>
      <c r="D98" t="s">
        <v>115</v>
      </c>
      <c r="E98" t="s">
        <v>21</v>
      </c>
    </row>
    <row r="99" spans="1:5" hidden="1" outlineLevel="2">
      <c r="A99" s="3" t="e">
        <f>(HYPERLINK("http://www.autodoc.ru/Web/price/art/2036BGSSABW?analog=on","2036BGSSABW"))*1</f>
        <v>#VALUE!</v>
      </c>
      <c r="B99" s="1">
        <v>6993014</v>
      </c>
      <c r="C99" t="s">
        <v>110</v>
      </c>
      <c r="D99" t="s">
        <v>116</v>
      </c>
      <c r="E99" t="s">
        <v>23</v>
      </c>
    </row>
    <row r="100" spans="1:5" hidden="1" outlineLevel="2">
      <c r="A100" s="3" t="e">
        <f>(HYPERLINK("http://www.autodoc.ru/Web/price/art/2036LGSS4FD?analog=on","2036LGSS4FD"))*1</f>
        <v>#VALUE!</v>
      </c>
      <c r="B100" s="1">
        <v>6993011</v>
      </c>
      <c r="C100" t="s">
        <v>110</v>
      </c>
      <c r="D100" t="s">
        <v>117</v>
      </c>
      <c r="E100" t="s">
        <v>10</v>
      </c>
    </row>
    <row r="101" spans="1:5" hidden="1" outlineLevel="2">
      <c r="A101" s="3" t="e">
        <f>(HYPERLINK("http://www.autodoc.ru/Web/price/art/2036LGSS4RDW?analog=on","2036LGSS4RDW"))*1</f>
        <v>#VALUE!</v>
      </c>
      <c r="B101" s="1">
        <v>6993013</v>
      </c>
      <c r="C101" t="s">
        <v>110</v>
      </c>
      <c r="D101" t="s">
        <v>118</v>
      </c>
      <c r="E101" t="s">
        <v>10</v>
      </c>
    </row>
    <row r="102" spans="1:5" hidden="1" outlineLevel="2">
      <c r="A102" s="3" t="e">
        <f>(HYPERLINK("http://www.autodoc.ru/Web/price/art/2036RGSS4FD?analog=on","2036RGSS4FD"))*1</f>
        <v>#VALUE!</v>
      </c>
      <c r="B102" s="1">
        <v>6993010</v>
      </c>
      <c r="C102" t="s">
        <v>110</v>
      </c>
      <c r="D102" t="s">
        <v>119</v>
      </c>
      <c r="E102" t="s">
        <v>10</v>
      </c>
    </row>
    <row r="103" spans="1:5" hidden="1" outlineLevel="2">
      <c r="A103" s="3" t="e">
        <f>(HYPERLINK("http://www.autodoc.ru/Web/price/art/2036RGSS4RDW?analog=on","2036RGSS4RDW"))*1</f>
        <v>#VALUE!</v>
      </c>
      <c r="B103" s="1">
        <v>6993012</v>
      </c>
      <c r="C103" t="s">
        <v>110</v>
      </c>
      <c r="D103" t="s">
        <v>120</v>
      </c>
      <c r="E103" t="s">
        <v>10</v>
      </c>
    </row>
    <row r="104" spans="1:5" hidden="1" outlineLevel="1">
      <c r="A104" s="2">
        <v>0</v>
      </c>
      <c r="B104" s="26" t="s">
        <v>121</v>
      </c>
      <c r="C104" s="27">
        <v>0</v>
      </c>
      <c r="D104" s="27">
        <v>0</v>
      </c>
      <c r="E104" s="27">
        <v>0</v>
      </c>
    </row>
    <row r="105" spans="1:5" hidden="1" outlineLevel="2">
      <c r="A105" s="3" t="e">
        <f>(HYPERLINK("http://www.autodoc.ru/Web/price/art/2038AGS?analog=on","2038AGS"))*1</f>
        <v>#VALUE!</v>
      </c>
      <c r="B105" s="1">
        <v>6960549</v>
      </c>
      <c r="C105" t="s">
        <v>122</v>
      </c>
      <c r="D105" t="s">
        <v>123</v>
      </c>
      <c r="E105" t="s">
        <v>8</v>
      </c>
    </row>
    <row r="106" spans="1:5" hidden="1" outlineLevel="2">
      <c r="A106" s="3" t="e">
        <f>(HYPERLINK("http://www.autodoc.ru/Web/price/art/2038AGSM1B?analog=on","2038AGSM1B"))*1</f>
        <v>#VALUE!</v>
      </c>
      <c r="B106" s="1">
        <v>6960728</v>
      </c>
      <c r="C106" t="s">
        <v>122</v>
      </c>
      <c r="D106" t="s">
        <v>124</v>
      </c>
      <c r="E106" t="s">
        <v>8</v>
      </c>
    </row>
    <row r="107" spans="1:5" hidden="1" outlineLevel="2">
      <c r="A107" s="3" t="e">
        <f>(HYPERLINK("http://www.autodoc.ru/Web/price/art/2038BGDCZ?analog=on","2038BGDCZ"))*1</f>
        <v>#VALUE!</v>
      </c>
      <c r="B107" s="1">
        <v>6992526</v>
      </c>
      <c r="C107" t="s">
        <v>122</v>
      </c>
      <c r="D107" t="s">
        <v>125</v>
      </c>
      <c r="E107" t="s">
        <v>23</v>
      </c>
    </row>
    <row r="108" spans="1:5" hidden="1" outlineLevel="2">
      <c r="A108" s="3" t="e">
        <f>(HYPERLINK("http://www.autodoc.ru/Web/price/art/2038BGSCZ?analog=on","2038BGSCZ"))*1</f>
        <v>#VALUE!</v>
      </c>
      <c r="B108" s="1">
        <v>6992082</v>
      </c>
      <c r="C108" t="s">
        <v>122</v>
      </c>
      <c r="D108" t="s">
        <v>126</v>
      </c>
      <c r="E108" t="s">
        <v>23</v>
      </c>
    </row>
    <row r="109" spans="1:5" hidden="1" outlineLevel="2">
      <c r="A109" s="3" t="e">
        <f>(HYPERLINK("http://www.autodoc.ru/Web/price/art/2038LGDC2RQZ?analog=on","2038LGDC2RQZ"))*1</f>
        <v>#VALUE!</v>
      </c>
      <c r="B109" s="1">
        <v>6992524</v>
      </c>
      <c r="C109" t="s">
        <v>122</v>
      </c>
      <c r="D109" t="s">
        <v>127</v>
      </c>
      <c r="E109" t="s">
        <v>10</v>
      </c>
    </row>
    <row r="110" spans="1:5" hidden="1" outlineLevel="2">
      <c r="A110" s="3" t="e">
        <f>(HYPERLINK("http://www.autodoc.ru/Web/price/art/2038LGSC2FDW?analog=on","2038LGSC2FDW"))*1</f>
        <v>#VALUE!</v>
      </c>
      <c r="B110" s="1">
        <v>6992083</v>
      </c>
      <c r="C110" t="s">
        <v>122</v>
      </c>
      <c r="D110" t="s">
        <v>128</v>
      </c>
      <c r="E110" t="s">
        <v>10</v>
      </c>
    </row>
    <row r="111" spans="1:5" hidden="1" outlineLevel="2">
      <c r="A111" s="3" t="e">
        <f>(HYPERLINK("http://www.autodoc.ru/Web/price/art/2038LGSC2RQZ?analog=on","2038LGSC2RQZ"))*1</f>
        <v>#VALUE!</v>
      </c>
      <c r="B111" s="1">
        <v>6992085</v>
      </c>
      <c r="C111" t="s">
        <v>122</v>
      </c>
      <c r="D111" t="s">
        <v>129</v>
      </c>
      <c r="E111" t="s">
        <v>10</v>
      </c>
    </row>
    <row r="112" spans="1:5" hidden="1" outlineLevel="2">
      <c r="A112" s="3" t="e">
        <f>(HYPERLINK("http://www.autodoc.ru/Web/price/art/2038RGDC2RQZ?analog=on","2038RGDC2RQZ"))*1</f>
        <v>#VALUE!</v>
      </c>
      <c r="B112" s="1">
        <v>6992525</v>
      </c>
      <c r="C112" t="s">
        <v>122</v>
      </c>
      <c r="D112" t="s">
        <v>130</v>
      </c>
      <c r="E112" t="s">
        <v>10</v>
      </c>
    </row>
    <row r="113" spans="1:5" hidden="1" outlineLevel="2">
      <c r="A113" s="3" t="e">
        <f>(HYPERLINK("http://www.autodoc.ru/Web/price/art/2038RGSC2FDW?analog=on","2038RGSC2FDW"))*1</f>
        <v>#VALUE!</v>
      </c>
      <c r="B113" s="1">
        <v>6992084</v>
      </c>
      <c r="C113" t="s">
        <v>122</v>
      </c>
      <c r="D113" t="s">
        <v>131</v>
      </c>
      <c r="E113" t="s">
        <v>10</v>
      </c>
    </row>
    <row r="114" spans="1:5" hidden="1" outlineLevel="2">
      <c r="A114" s="3" t="e">
        <f>(HYPERLINK("http://www.autodoc.ru/Web/price/art/2038RGSC2RQZ?analog=on","2038RGSC2RQZ"))*1</f>
        <v>#VALUE!</v>
      </c>
      <c r="B114" s="1">
        <v>6992086</v>
      </c>
      <c r="C114" t="s">
        <v>122</v>
      </c>
      <c r="D114" t="s">
        <v>132</v>
      </c>
      <c r="E114" t="s">
        <v>10</v>
      </c>
    </row>
    <row r="115" spans="1:5" hidden="1" outlineLevel="1">
      <c r="A115" s="2">
        <v>0</v>
      </c>
      <c r="B115" s="26" t="s">
        <v>133</v>
      </c>
      <c r="C115" s="27">
        <v>0</v>
      </c>
      <c r="D115" s="27">
        <v>0</v>
      </c>
      <c r="E115" s="27">
        <v>0</v>
      </c>
    </row>
    <row r="116" spans="1:5" hidden="1" outlineLevel="2">
      <c r="A116" s="3" t="e">
        <f>(HYPERLINK("http://www.autodoc.ru/Web/price/art/2032AGN?analog=on","2032AGN"))*1</f>
        <v>#VALUE!</v>
      </c>
      <c r="B116" s="1">
        <v>6963605</v>
      </c>
      <c r="C116" t="s">
        <v>134</v>
      </c>
      <c r="D116" t="s">
        <v>135</v>
      </c>
      <c r="E116" t="s">
        <v>8</v>
      </c>
    </row>
    <row r="117" spans="1:5" hidden="1" outlineLevel="2">
      <c r="A117" s="3" t="e">
        <f>(HYPERLINK("http://www.autodoc.ru/Web/price/art/2032ASMC?analog=on","2032ASMC"))*1</f>
        <v>#VALUE!</v>
      </c>
      <c r="B117" s="1">
        <v>6100015</v>
      </c>
      <c r="C117" t="s">
        <v>19</v>
      </c>
      <c r="D117" t="s">
        <v>136</v>
      </c>
      <c r="E117" t="s">
        <v>21</v>
      </c>
    </row>
    <row r="118" spans="1:5" collapsed="1">
      <c r="A118" s="28" t="s">
        <v>137</v>
      </c>
      <c r="B118" s="28">
        <v>0</v>
      </c>
      <c r="C118" s="28">
        <v>0</v>
      </c>
      <c r="D118" s="28">
        <v>0</v>
      </c>
      <c r="E118" s="28">
        <v>0</v>
      </c>
    </row>
    <row r="119" spans="1:5" hidden="1" outlineLevel="1">
      <c r="A119" s="2">
        <v>0</v>
      </c>
      <c r="B119" s="26" t="s">
        <v>138</v>
      </c>
      <c r="C119" s="27">
        <v>0</v>
      </c>
      <c r="D119" s="27">
        <v>0</v>
      </c>
      <c r="E119" s="27">
        <v>0</v>
      </c>
    </row>
    <row r="120" spans="1:5" hidden="1" outlineLevel="2">
      <c r="A120" s="3" t="e">
        <f>(HYPERLINK("http://www.autodoc.ru/Web/price/art/9323ACL?analog=on","9323ACL"))*1</f>
        <v>#VALUE!</v>
      </c>
      <c r="B120" s="1">
        <v>6190232</v>
      </c>
      <c r="C120" t="s">
        <v>139</v>
      </c>
      <c r="D120" t="s">
        <v>140</v>
      </c>
      <c r="E120" t="s">
        <v>8</v>
      </c>
    </row>
    <row r="121" spans="1:5">
      <c r="A121" s="28" t="s">
        <v>141</v>
      </c>
      <c r="B121" s="28">
        <v>0</v>
      </c>
      <c r="C121" s="28">
        <v>0</v>
      </c>
      <c r="D121" s="28">
        <v>0</v>
      </c>
      <c r="E121" s="28">
        <v>0</v>
      </c>
    </row>
    <row r="122" spans="1:5" outlineLevel="1">
      <c r="A122" s="2">
        <v>0</v>
      </c>
      <c r="B122" s="26" t="s">
        <v>142</v>
      </c>
      <c r="C122" s="27">
        <v>0</v>
      </c>
      <c r="D122" s="27">
        <v>0</v>
      </c>
      <c r="E122" s="27">
        <v>0</v>
      </c>
    </row>
    <row r="123" spans="1:5" outlineLevel="2">
      <c r="A123" s="3" t="e">
        <f>(HYPERLINK("http://www.autodoc.ru/Web/price/art/8528AGNGN?analog=on","8528AGNGN"))*1</f>
        <v>#VALUE!</v>
      </c>
      <c r="B123" s="1">
        <v>6963527</v>
      </c>
      <c r="C123" t="s">
        <v>143</v>
      </c>
      <c r="D123" t="s">
        <v>144</v>
      </c>
      <c r="E123" t="s">
        <v>8</v>
      </c>
    </row>
    <row r="124" spans="1:5" outlineLevel="1" collapsed="1">
      <c r="A124" s="2">
        <v>0</v>
      </c>
      <c r="B124" s="26" t="s">
        <v>145</v>
      </c>
      <c r="C124" s="27">
        <v>0</v>
      </c>
      <c r="D124" s="27">
        <v>0</v>
      </c>
      <c r="E124" s="27">
        <v>0</v>
      </c>
    </row>
    <row r="125" spans="1:5" hidden="1" outlineLevel="2">
      <c r="A125" s="3" t="e">
        <f>(HYPERLINK("http://www.autodoc.ru/Web/price/art/8526ACL1C?analog=on","8526ACL1C"))*1</f>
        <v>#VALUE!</v>
      </c>
      <c r="B125" s="1">
        <v>6967000</v>
      </c>
      <c r="C125" t="s">
        <v>146</v>
      </c>
      <c r="D125" t="s">
        <v>147</v>
      </c>
      <c r="E125" t="s">
        <v>8</v>
      </c>
    </row>
    <row r="126" spans="1:5" hidden="1" outlineLevel="2">
      <c r="A126" s="3" t="e">
        <f>(HYPERLINK("http://www.autodoc.ru/Web/price/art/8526AGNGN1C?analog=on","8526AGNGN1C"))*1</f>
        <v>#VALUE!</v>
      </c>
      <c r="B126" s="1">
        <v>6967002</v>
      </c>
      <c r="C126" t="s">
        <v>146</v>
      </c>
      <c r="D126" t="s">
        <v>148</v>
      </c>
      <c r="E126" t="s">
        <v>8</v>
      </c>
    </row>
    <row r="127" spans="1:5" hidden="1" outlineLevel="2">
      <c r="A127" s="3" t="e">
        <f>(HYPERLINK("http://www.autodoc.ru/Web/price/art/8526ASRS?analog=on","8526ASRS"))*1</f>
        <v>#VALUE!</v>
      </c>
      <c r="B127" s="1">
        <v>6100344</v>
      </c>
      <c r="C127" t="s">
        <v>19</v>
      </c>
      <c r="D127" t="s">
        <v>149</v>
      </c>
      <c r="E127" t="s">
        <v>21</v>
      </c>
    </row>
    <row r="128" spans="1:5" hidden="1" outlineLevel="2">
      <c r="A128" s="3" t="e">
        <f>(HYPERLINK("http://www.autodoc.ru/Web/price/art/8526BCLS?analog=on","8526BCLS"))*1</f>
        <v>#VALUE!</v>
      </c>
      <c r="B128" s="1">
        <v>6997317</v>
      </c>
      <c r="C128" t="s">
        <v>146</v>
      </c>
      <c r="D128" t="s">
        <v>150</v>
      </c>
      <c r="E128" t="s">
        <v>23</v>
      </c>
    </row>
    <row r="129" spans="1:5" outlineLevel="1" collapsed="1">
      <c r="A129" s="2">
        <v>0</v>
      </c>
      <c r="B129" s="26" t="s">
        <v>151</v>
      </c>
      <c r="C129" s="27">
        <v>0</v>
      </c>
      <c r="D129" s="27">
        <v>0</v>
      </c>
      <c r="E129" s="27">
        <v>0</v>
      </c>
    </row>
    <row r="130" spans="1:5" hidden="1" outlineLevel="2">
      <c r="A130" s="3" t="e">
        <f>(HYPERLINK("http://www.autodoc.ru/Web/price/art/8534AGNBL?analog=on","8534AGNBL"))*1</f>
        <v>#VALUE!</v>
      </c>
      <c r="B130" s="1">
        <v>6961063</v>
      </c>
      <c r="C130" t="s">
        <v>152</v>
      </c>
      <c r="D130" t="s">
        <v>153</v>
      </c>
      <c r="E130" t="s">
        <v>8</v>
      </c>
    </row>
    <row r="131" spans="1:5" hidden="1" outlineLevel="2">
      <c r="A131" s="3" t="e">
        <f>(HYPERLINK("http://www.autodoc.ru/Web/price/art/8534AGNGN?analog=on","8534AGNGN"))*1</f>
        <v>#VALUE!</v>
      </c>
      <c r="B131" s="1">
        <v>6967005</v>
      </c>
      <c r="C131" t="s">
        <v>152</v>
      </c>
      <c r="D131" t="s">
        <v>154</v>
      </c>
      <c r="E131" t="s">
        <v>8</v>
      </c>
    </row>
    <row r="132" spans="1:5" hidden="1" outlineLevel="2">
      <c r="A132" s="3" t="e">
        <f>(HYPERLINK("http://www.autodoc.ru/Web/price/art/8534AGNGNV?analog=on","8534AGNGNV"))*1</f>
        <v>#VALUE!</v>
      </c>
      <c r="B132" s="1">
        <v>6967007</v>
      </c>
      <c r="C132" t="s">
        <v>152</v>
      </c>
      <c r="D132" t="s">
        <v>155</v>
      </c>
      <c r="E132" t="s">
        <v>8</v>
      </c>
    </row>
    <row r="133" spans="1:5" hidden="1" outlineLevel="2">
      <c r="A133" s="3" t="e">
        <f>(HYPERLINK("http://www.autodoc.ru/Web/price/art/8534AKMS?analog=on","8534AKMS"))*1</f>
        <v>#VALUE!</v>
      </c>
      <c r="B133" s="1">
        <v>6100235</v>
      </c>
      <c r="C133" t="s">
        <v>19</v>
      </c>
      <c r="D133" t="s">
        <v>156</v>
      </c>
      <c r="E133" t="s">
        <v>21</v>
      </c>
    </row>
    <row r="134" spans="1:5" hidden="1" outlineLevel="2">
      <c r="A134" s="3" t="e">
        <f>(HYPERLINK("http://www.autodoc.ru/Web/price/art/8534AKMSC?analog=on","8534AKMSC"))*1</f>
        <v>#VALUE!</v>
      </c>
      <c r="B134" s="1">
        <v>6100236</v>
      </c>
      <c r="C134" t="s">
        <v>19</v>
      </c>
      <c r="D134" t="s">
        <v>157</v>
      </c>
      <c r="E134" t="s">
        <v>21</v>
      </c>
    </row>
    <row r="135" spans="1:5" hidden="1" outlineLevel="2">
      <c r="A135" s="3" t="e">
        <f>(HYPERLINK("http://www.autodoc.ru/Web/price/art/8534ASMS?analog=on","8534ASMS"))*1</f>
        <v>#VALUE!</v>
      </c>
      <c r="B135" s="1">
        <v>6102326</v>
      </c>
      <c r="C135" t="s">
        <v>19</v>
      </c>
      <c r="D135" t="s">
        <v>158</v>
      </c>
      <c r="E135" t="s">
        <v>21</v>
      </c>
    </row>
    <row r="136" spans="1:5" hidden="1" outlineLevel="2">
      <c r="A136" s="3" t="e">
        <f>(HYPERLINK("http://www.autodoc.ru/Web/price/art/8534BGNEZ?analog=on","8534BGNEZ"))*1</f>
        <v>#VALUE!</v>
      </c>
      <c r="B136" s="1">
        <v>6998926</v>
      </c>
      <c r="C136" t="s">
        <v>159</v>
      </c>
      <c r="D136" t="s">
        <v>160</v>
      </c>
      <c r="E136" t="s">
        <v>23</v>
      </c>
    </row>
    <row r="137" spans="1:5" hidden="1" outlineLevel="2">
      <c r="A137" s="3" t="e">
        <f>(HYPERLINK("http://www.autodoc.ru/Web/price/art/8534BGNSA?analog=on","8534BGNSA"))*1</f>
        <v>#VALUE!</v>
      </c>
      <c r="B137" s="1">
        <v>6998927</v>
      </c>
      <c r="C137" t="s">
        <v>152</v>
      </c>
      <c r="D137" t="s">
        <v>161</v>
      </c>
      <c r="E137" t="s">
        <v>23</v>
      </c>
    </row>
    <row r="138" spans="1:5" hidden="1" outlineLevel="2">
      <c r="A138" s="3" t="e">
        <f>(HYPERLINK("http://www.autodoc.ru/Web/price/art/8534BGNSA1C?analog=on","8534BGNSA1C"))*1</f>
        <v>#VALUE!</v>
      </c>
      <c r="B138" s="1">
        <v>6998928</v>
      </c>
      <c r="C138" t="s">
        <v>152</v>
      </c>
      <c r="D138" t="s">
        <v>162</v>
      </c>
      <c r="E138" t="s">
        <v>23</v>
      </c>
    </row>
    <row r="139" spans="1:5" hidden="1" outlineLevel="2">
      <c r="A139" s="3" t="e">
        <f>(HYPERLINK("http://www.autodoc.ru/Web/price/art/8534BSMS?analog=on","8534BSMS"))*1</f>
        <v>#VALUE!</v>
      </c>
      <c r="B139" s="1">
        <v>6101119</v>
      </c>
      <c r="C139" t="s">
        <v>19</v>
      </c>
      <c r="D139" t="s">
        <v>163</v>
      </c>
      <c r="E139" t="s">
        <v>21</v>
      </c>
    </row>
    <row r="140" spans="1:5" hidden="1" outlineLevel="2">
      <c r="A140" s="3" t="e">
        <f>(HYPERLINK("http://www.autodoc.ru/Web/price/art/8534AR?analog=on","8534AR"))*1</f>
        <v>#VALUE!</v>
      </c>
      <c r="B140" s="1">
        <v>6102318</v>
      </c>
      <c r="C140" t="s">
        <v>19</v>
      </c>
      <c r="D140" t="s">
        <v>164</v>
      </c>
      <c r="E140" t="s">
        <v>21</v>
      </c>
    </row>
    <row r="141" spans="1:5" hidden="1" outlineLevel="2">
      <c r="A141" s="3" t="e">
        <f>(HYPERLINK("http://www.autodoc.ru/Web/price/art/8534LGNS4FD?analog=on","8534LGNS4FD"))*1</f>
        <v>#VALUE!</v>
      </c>
      <c r="B141" s="1">
        <v>6998500</v>
      </c>
      <c r="C141" t="s">
        <v>152</v>
      </c>
      <c r="D141" t="s">
        <v>165</v>
      </c>
      <c r="E141" t="s">
        <v>10</v>
      </c>
    </row>
    <row r="142" spans="1:5" hidden="1" outlineLevel="2">
      <c r="A142" s="3" t="e">
        <f>(HYPERLINK("http://www.autodoc.ru/Web/price/art/8534LGNS4FDW?analog=on","8534LGNS4FDW"))*1</f>
        <v>#VALUE!</v>
      </c>
      <c r="B142" s="1">
        <v>6995872</v>
      </c>
      <c r="C142" t="s">
        <v>152</v>
      </c>
      <c r="D142" t="s">
        <v>166</v>
      </c>
      <c r="E142" t="s">
        <v>10</v>
      </c>
    </row>
    <row r="143" spans="1:5" hidden="1" outlineLevel="2">
      <c r="A143" s="3" t="e">
        <f>(HYPERLINK("http://www.autodoc.ru/Web/price/art/8534LGNS4RD?analog=on","8534LGNS4RD"))*1</f>
        <v>#VALUE!</v>
      </c>
      <c r="B143" s="1">
        <v>6996930</v>
      </c>
      <c r="C143" t="s">
        <v>152</v>
      </c>
      <c r="D143" t="s">
        <v>167</v>
      </c>
      <c r="E143" t="s">
        <v>10</v>
      </c>
    </row>
    <row r="144" spans="1:5" hidden="1" outlineLevel="2">
      <c r="A144" s="3" t="e">
        <f>(HYPERLINK("http://www.autodoc.ru/Web/price/art/8534LGNS4RDW?analog=on","8534LGNS4RDW"))*1</f>
        <v>#VALUE!</v>
      </c>
      <c r="B144" s="1">
        <v>6995873</v>
      </c>
      <c r="C144" t="s">
        <v>152</v>
      </c>
      <c r="D144" t="s">
        <v>168</v>
      </c>
      <c r="E144" t="s">
        <v>10</v>
      </c>
    </row>
    <row r="145" spans="1:5" hidden="1" outlineLevel="2">
      <c r="A145" s="3" t="e">
        <f>(HYPERLINK("http://www.autodoc.ru/Web/price/art/8534LGNS4RQ?analog=on","8534LGNS4RQ"))*1</f>
        <v>#VALUE!</v>
      </c>
      <c r="B145" s="1">
        <v>6999223</v>
      </c>
      <c r="C145" t="s">
        <v>152</v>
      </c>
      <c r="D145" t="s">
        <v>169</v>
      </c>
      <c r="E145" t="s">
        <v>10</v>
      </c>
    </row>
    <row r="146" spans="1:5" hidden="1" outlineLevel="2">
      <c r="A146" s="3" t="e">
        <f>(HYPERLINK("http://www.autodoc.ru/Web/price/art/8534LGNS4RQZ?analog=on","8534LGNS4RQZ"))*1</f>
        <v>#VALUE!</v>
      </c>
      <c r="B146" s="1">
        <v>6994664</v>
      </c>
      <c r="C146" t="s">
        <v>152</v>
      </c>
      <c r="D146" t="s">
        <v>170</v>
      </c>
      <c r="E146" t="s">
        <v>10</v>
      </c>
    </row>
    <row r="147" spans="1:5" hidden="1" outlineLevel="2">
      <c r="A147" s="3" t="e">
        <f>(HYPERLINK("http://www.autodoc.ru/Web/price/art/8534RGNS4FD?analog=on","8534RGNS4FD"))*1</f>
        <v>#VALUE!</v>
      </c>
      <c r="B147" s="1">
        <v>6998501</v>
      </c>
      <c r="C147" t="s">
        <v>152</v>
      </c>
      <c r="D147" t="s">
        <v>171</v>
      </c>
      <c r="E147" t="s">
        <v>10</v>
      </c>
    </row>
    <row r="148" spans="1:5" hidden="1" outlineLevel="2">
      <c r="A148" s="3" t="e">
        <f>(HYPERLINK("http://www.autodoc.ru/Web/price/art/8534RGNS4FDW?analog=on","8534RGNS4FDW"))*1</f>
        <v>#VALUE!</v>
      </c>
      <c r="B148" s="1">
        <v>6995874</v>
      </c>
      <c r="C148" t="s">
        <v>152</v>
      </c>
      <c r="D148" t="s">
        <v>172</v>
      </c>
      <c r="E148" t="s">
        <v>10</v>
      </c>
    </row>
    <row r="149" spans="1:5" hidden="1" outlineLevel="2">
      <c r="A149" s="3" t="e">
        <f>(HYPERLINK("http://www.autodoc.ru/Web/price/art/8534RGNS4RD?analog=on","8534RGNS4RD"))*1</f>
        <v>#VALUE!</v>
      </c>
      <c r="B149" s="1">
        <v>6996931</v>
      </c>
      <c r="C149" t="s">
        <v>152</v>
      </c>
      <c r="D149" t="s">
        <v>173</v>
      </c>
      <c r="E149" t="s">
        <v>10</v>
      </c>
    </row>
    <row r="150" spans="1:5" hidden="1" outlineLevel="2">
      <c r="A150" s="3" t="e">
        <f>(HYPERLINK("http://www.autodoc.ru/Web/price/art/8534RGNS4RDW?analog=on","8534RGNS4RDW"))*1</f>
        <v>#VALUE!</v>
      </c>
      <c r="B150" s="1">
        <v>6995875</v>
      </c>
      <c r="C150" t="s">
        <v>152</v>
      </c>
      <c r="D150" t="s">
        <v>174</v>
      </c>
      <c r="E150" t="s">
        <v>10</v>
      </c>
    </row>
    <row r="151" spans="1:5" hidden="1" outlineLevel="2">
      <c r="A151" s="3" t="e">
        <f>(HYPERLINK("http://www.autodoc.ru/Web/price/art/8534RGNS4RQZ?analog=on","8534RGNS4RQZ"))*1</f>
        <v>#VALUE!</v>
      </c>
      <c r="B151" s="1">
        <v>6994666</v>
      </c>
      <c r="C151" t="s">
        <v>152</v>
      </c>
      <c r="D151" t="s">
        <v>175</v>
      </c>
      <c r="E151" t="s">
        <v>10</v>
      </c>
    </row>
    <row r="152" spans="1:5" outlineLevel="1">
      <c r="A152" s="2">
        <v>0</v>
      </c>
      <c r="B152" s="26" t="s">
        <v>176</v>
      </c>
      <c r="C152" s="27">
        <v>0</v>
      </c>
      <c r="D152" s="27">
        <v>0</v>
      </c>
      <c r="E152" s="27">
        <v>0</v>
      </c>
    </row>
    <row r="153" spans="1:5" outlineLevel="2">
      <c r="A153" s="3" t="e">
        <f>(HYPERLINK("http://www.autodoc.ru/Web/price/art/8542AGNGN?analog=on","8542AGNGN"))*1</f>
        <v>#VALUE!</v>
      </c>
      <c r="B153" s="1">
        <v>6963354</v>
      </c>
      <c r="C153" t="s">
        <v>177</v>
      </c>
      <c r="D153" t="s">
        <v>178</v>
      </c>
      <c r="E153" t="s">
        <v>8</v>
      </c>
    </row>
    <row r="154" spans="1:5" outlineLevel="1">
      <c r="A154" s="2">
        <v>0</v>
      </c>
      <c r="B154" s="26" t="s">
        <v>179</v>
      </c>
      <c r="C154" s="27">
        <v>0</v>
      </c>
      <c r="D154" s="27">
        <v>0</v>
      </c>
      <c r="E154" s="27">
        <v>0</v>
      </c>
    </row>
    <row r="155" spans="1:5" outlineLevel="2">
      <c r="A155" s="3" t="e">
        <f>(HYPERLINK("http://www.autodoc.ru/Web/price/art/8532AGNGN?analog=on","8532AGNGN"))*1</f>
        <v>#VALUE!</v>
      </c>
      <c r="B155" s="1">
        <v>6967018</v>
      </c>
      <c r="C155" t="s">
        <v>180</v>
      </c>
      <c r="D155" t="s">
        <v>181</v>
      </c>
      <c r="E155" t="s">
        <v>8</v>
      </c>
    </row>
    <row r="156" spans="1:5" outlineLevel="2">
      <c r="A156" s="3" t="e">
        <f>(HYPERLINK("http://www.autodoc.ru/Web/price/art/8532AGNGN1C?analog=on","8532AGNGN1C"))*1</f>
        <v>#VALUE!</v>
      </c>
      <c r="B156" s="1">
        <v>6967014</v>
      </c>
      <c r="C156" t="s">
        <v>180</v>
      </c>
      <c r="D156" t="s">
        <v>182</v>
      </c>
      <c r="E156" t="s">
        <v>8</v>
      </c>
    </row>
    <row r="157" spans="1:5" outlineLevel="2">
      <c r="A157" s="3" t="e">
        <f>(HYPERLINK("http://www.autodoc.ru/Web/price/art/8532AGNBL1C?analog=on","8532AGNBL1C"))*1</f>
        <v>#VALUE!</v>
      </c>
      <c r="B157" s="1">
        <v>6967033</v>
      </c>
      <c r="C157" t="s">
        <v>180</v>
      </c>
      <c r="D157" t="s">
        <v>183</v>
      </c>
      <c r="E157" t="s">
        <v>8</v>
      </c>
    </row>
    <row r="158" spans="1:5" outlineLevel="2">
      <c r="A158" s="3" t="e">
        <f>(HYPERLINK("http://www.autodoc.ru/Web/price/art/8532AKMSC?analog=on","8532AKMSC"))*1</f>
        <v>#VALUE!</v>
      </c>
      <c r="B158" s="1">
        <v>6100233</v>
      </c>
      <c r="C158" t="s">
        <v>180</v>
      </c>
      <c r="D158" t="s">
        <v>184</v>
      </c>
      <c r="E158" t="s">
        <v>21</v>
      </c>
    </row>
    <row r="159" spans="1:5" outlineLevel="2">
      <c r="A159" s="3" t="e">
        <f>(HYPERLINK("http://www.autodoc.ru/Web/price/art/8532BGNS?analog=on","8532BGNS"))*1</f>
        <v>#VALUE!</v>
      </c>
      <c r="B159" s="1">
        <v>6998506</v>
      </c>
      <c r="C159" t="s">
        <v>180</v>
      </c>
      <c r="D159" t="s">
        <v>185</v>
      </c>
      <c r="E159" t="s">
        <v>23</v>
      </c>
    </row>
    <row r="160" spans="1:5" outlineLevel="2">
      <c r="A160" s="3" t="e">
        <f>(HYPERLINK("http://www.autodoc.ru/Web/price/art/8532LGNS4FD?analog=on","8532LGNS4FD"))*1</f>
        <v>#VALUE!</v>
      </c>
      <c r="B160" s="1">
        <v>6998502</v>
      </c>
      <c r="C160" t="s">
        <v>180</v>
      </c>
      <c r="D160" t="s">
        <v>186</v>
      </c>
      <c r="E160" t="s">
        <v>10</v>
      </c>
    </row>
    <row r="161" spans="1:5" outlineLevel="2">
      <c r="A161" s="3" t="e">
        <f>(HYPERLINK("http://www.autodoc.ru/Web/price/art/8532LGNS4RD?analog=on","8532LGNS4RD"))*1</f>
        <v>#VALUE!</v>
      </c>
      <c r="B161" s="1">
        <v>6998504</v>
      </c>
      <c r="C161" t="s">
        <v>180</v>
      </c>
      <c r="D161" t="s">
        <v>187</v>
      </c>
      <c r="E161" t="s">
        <v>10</v>
      </c>
    </row>
    <row r="162" spans="1:5" outlineLevel="2">
      <c r="A162" s="3" t="e">
        <f>(HYPERLINK("http://www.autodoc.ru/Web/price/art/8532LGNS4RQ?analog=on","8532LGNS4RQ"))*1</f>
        <v>#VALUE!</v>
      </c>
      <c r="B162" s="1">
        <v>6996919</v>
      </c>
      <c r="C162" t="s">
        <v>180</v>
      </c>
      <c r="D162" t="s">
        <v>188</v>
      </c>
      <c r="E162" t="s">
        <v>10</v>
      </c>
    </row>
    <row r="163" spans="1:5" outlineLevel="2">
      <c r="A163" s="3" t="e">
        <f>(HYPERLINK("http://www.autodoc.ru/Web/price/art/8532RGNS4FD?analog=on","8532RGNS4FD"))*1</f>
        <v>#VALUE!</v>
      </c>
      <c r="B163" s="1">
        <v>6998503</v>
      </c>
      <c r="C163" t="s">
        <v>180</v>
      </c>
      <c r="D163" t="s">
        <v>189</v>
      </c>
      <c r="E163" t="s">
        <v>10</v>
      </c>
    </row>
    <row r="164" spans="1:5" outlineLevel="2">
      <c r="A164" s="3" t="e">
        <f>(HYPERLINK("http://www.autodoc.ru/Web/price/art/8532RGNS4RD?analog=on","8532RGNS4RD"))*1</f>
        <v>#VALUE!</v>
      </c>
      <c r="B164" s="1">
        <v>6998505</v>
      </c>
      <c r="C164" t="s">
        <v>180</v>
      </c>
      <c r="D164" t="s">
        <v>190</v>
      </c>
      <c r="E164" t="s">
        <v>10</v>
      </c>
    </row>
    <row r="165" spans="1:5" outlineLevel="2">
      <c r="A165" s="3" t="e">
        <f>(HYPERLINK("http://www.autodoc.ru/Web/price/art/8532RGNS4RQ?analog=on","8532RGNS4RQ"))*1</f>
        <v>#VALUE!</v>
      </c>
      <c r="B165" s="1">
        <v>6995871</v>
      </c>
      <c r="C165" t="s">
        <v>180</v>
      </c>
      <c r="D165" t="s">
        <v>191</v>
      </c>
      <c r="E165" t="s">
        <v>10</v>
      </c>
    </row>
    <row r="166" spans="1:5" outlineLevel="1">
      <c r="A166" s="2">
        <v>0</v>
      </c>
      <c r="B166" s="26" t="s">
        <v>192</v>
      </c>
      <c r="C166" s="27">
        <v>0</v>
      </c>
      <c r="D166" s="27">
        <v>0</v>
      </c>
      <c r="E166" s="27">
        <v>0</v>
      </c>
    </row>
    <row r="167" spans="1:5" outlineLevel="2">
      <c r="A167" s="3" t="e">
        <f>(HYPERLINK("http://www.autodoc.ru/Web/price/art/8540AGNBL?analog=on","8540AGNBL"))*1</f>
        <v>#VALUE!</v>
      </c>
      <c r="B167" s="1">
        <v>6967020</v>
      </c>
      <c r="C167" t="s">
        <v>193</v>
      </c>
      <c r="D167" t="s">
        <v>194</v>
      </c>
      <c r="E167" t="s">
        <v>8</v>
      </c>
    </row>
    <row r="168" spans="1:5" outlineLevel="2">
      <c r="A168" s="3" t="e">
        <f>(HYPERLINK("http://www.autodoc.ru/Web/price/art/8540AGNGN?analog=on","8540AGNGN"))*1</f>
        <v>#VALUE!</v>
      </c>
      <c r="B168" s="1">
        <v>6967010</v>
      </c>
      <c r="C168" t="s">
        <v>193</v>
      </c>
      <c r="D168" t="s">
        <v>195</v>
      </c>
      <c r="E168" t="s">
        <v>8</v>
      </c>
    </row>
    <row r="169" spans="1:5" outlineLevel="2">
      <c r="A169" s="3" t="e">
        <f>(HYPERLINK("http://www.autodoc.ru/Web/price/art/8540AGNGNV?analog=on","8540AGNGNV"))*1</f>
        <v>#VALUE!</v>
      </c>
      <c r="B169" s="1">
        <v>6967041</v>
      </c>
      <c r="C169" t="s">
        <v>193</v>
      </c>
      <c r="D169" t="s">
        <v>196</v>
      </c>
      <c r="E169" t="s">
        <v>8</v>
      </c>
    </row>
    <row r="170" spans="1:5" outlineLevel="2">
      <c r="A170" s="3" t="e">
        <f>(HYPERLINK("http://www.autodoc.ru/Web/price/art/8540ASMS?analog=on","8540ASMS"))*1</f>
        <v>#VALUE!</v>
      </c>
      <c r="B170" s="1">
        <v>6100240</v>
      </c>
      <c r="C170" t="s">
        <v>19</v>
      </c>
      <c r="D170" t="s">
        <v>197</v>
      </c>
      <c r="E170" t="s">
        <v>21</v>
      </c>
    </row>
    <row r="171" spans="1:5" outlineLevel="2">
      <c r="A171" s="3" t="e">
        <f>(HYPERLINK("http://www.autodoc.ru/Web/price/art/8540BGNEZ1B?analog=on","8540BGNEZ1B"))*1</f>
        <v>#VALUE!</v>
      </c>
      <c r="B171" s="1">
        <v>6998929</v>
      </c>
      <c r="C171" t="s">
        <v>193</v>
      </c>
      <c r="D171" t="s">
        <v>198</v>
      </c>
      <c r="E171" t="s">
        <v>23</v>
      </c>
    </row>
    <row r="172" spans="1:5" outlineLevel="2">
      <c r="A172" s="3" t="e">
        <f>(HYPERLINK("http://www.autodoc.ru/Web/price/art/8540BGNSA?analog=on","8540BGNSA"))*1</f>
        <v>#VALUE!</v>
      </c>
      <c r="B172" s="1">
        <v>6998510</v>
      </c>
      <c r="C172" t="s">
        <v>193</v>
      </c>
      <c r="D172" t="s">
        <v>199</v>
      </c>
      <c r="E172" t="s">
        <v>23</v>
      </c>
    </row>
    <row r="173" spans="1:5" outlineLevel="2">
      <c r="A173" s="3" t="e">
        <f>(HYPERLINK("http://www.autodoc.ru/Web/price/art/8540BGNSAB?analog=on","8540BGNSAB"))*1</f>
        <v>#VALUE!</v>
      </c>
      <c r="B173" s="1">
        <v>6998414</v>
      </c>
      <c r="C173" t="s">
        <v>193</v>
      </c>
      <c r="D173" t="s">
        <v>200</v>
      </c>
      <c r="E173" t="s">
        <v>23</v>
      </c>
    </row>
    <row r="174" spans="1:5" outlineLevel="2">
      <c r="A174" s="3" t="e">
        <f>(HYPERLINK("http://www.autodoc.ru/Web/price/art/8540BSMS?analog=on","8540BSMS"))*1</f>
        <v>#VALUE!</v>
      </c>
      <c r="B174" s="1">
        <v>6101044</v>
      </c>
      <c r="C174" t="s">
        <v>19</v>
      </c>
      <c r="D174" t="s">
        <v>201</v>
      </c>
      <c r="E174" t="s">
        <v>21</v>
      </c>
    </row>
    <row r="175" spans="1:5" outlineLevel="2">
      <c r="A175" s="3" t="e">
        <f>(HYPERLINK("http://www.autodoc.ru/Web/price/art/8540LGNS4FD?analog=on","8540LGNS4FD"))*1</f>
        <v>#VALUE!</v>
      </c>
      <c r="B175" s="1">
        <v>6998390</v>
      </c>
      <c r="C175" t="s">
        <v>193</v>
      </c>
      <c r="D175" t="s">
        <v>202</v>
      </c>
      <c r="E175" t="s">
        <v>10</v>
      </c>
    </row>
    <row r="176" spans="1:5" outlineLevel="2">
      <c r="A176" s="3" t="e">
        <f>(HYPERLINK("http://www.autodoc.ru/Web/price/art/8540LGNS4FDW?analog=on","8540LGNS4FDW"))*1</f>
        <v>#VALUE!</v>
      </c>
      <c r="B176" s="1">
        <v>6998508</v>
      </c>
      <c r="C176" t="s">
        <v>193</v>
      </c>
      <c r="D176" t="s">
        <v>203</v>
      </c>
      <c r="E176" t="s">
        <v>10</v>
      </c>
    </row>
    <row r="177" spans="1:5" outlineLevel="2">
      <c r="A177" s="3" t="e">
        <f>(HYPERLINK("http://www.autodoc.ru/Web/price/art/8540LGNS4RD?analog=on","8540LGNS4RD"))*1</f>
        <v>#VALUE!</v>
      </c>
      <c r="B177" s="1">
        <v>6999897</v>
      </c>
      <c r="C177" t="s">
        <v>193</v>
      </c>
      <c r="D177" t="s">
        <v>204</v>
      </c>
      <c r="E177" t="s">
        <v>10</v>
      </c>
    </row>
    <row r="178" spans="1:5" outlineLevel="2">
      <c r="A178" s="3" t="e">
        <f>(HYPERLINK("http://www.autodoc.ru/Web/price/art/8540LGNS4RDW?analog=on","8540LGNS4RDW"))*1</f>
        <v>#VALUE!</v>
      </c>
      <c r="B178" s="1">
        <v>6995882</v>
      </c>
      <c r="C178" t="s">
        <v>193</v>
      </c>
      <c r="D178" t="s">
        <v>205</v>
      </c>
      <c r="E178" t="s">
        <v>10</v>
      </c>
    </row>
    <row r="179" spans="1:5" outlineLevel="2">
      <c r="A179" s="3" t="e">
        <f>(HYPERLINK("http://www.autodoc.ru/Web/price/art/8540RGNS4FD?analog=on","8540RGNS4FD"))*1</f>
        <v>#VALUE!</v>
      </c>
      <c r="B179" s="1">
        <v>6998391</v>
      </c>
      <c r="C179" t="s">
        <v>193</v>
      </c>
      <c r="D179" t="s">
        <v>206</v>
      </c>
      <c r="E179" t="s">
        <v>10</v>
      </c>
    </row>
    <row r="180" spans="1:5" outlineLevel="2">
      <c r="A180" s="3" t="e">
        <f>(HYPERLINK("http://www.autodoc.ru/Web/price/art/8540RGNS4FDW?analog=on","8540RGNS4FDW"))*1</f>
        <v>#VALUE!</v>
      </c>
      <c r="B180" s="1">
        <v>6998509</v>
      </c>
      <c r="C180" t="s">
        <v>193</v>
      </c>
      <c r="D180" t="s">
        <v>207</v>
      </c>
      <c r="E180" t="s">
        <v>10</v>
      </c>
    </row>
    <row r="181" spans="1:5" outlineLevel="2">
      <c r="A181" s="3" t="e">
        <f>(HYPERLINK("http://www.autodoc.ru/Web/price/art/8540RGNS4RD?analog=on","8540RGNS4RD"))*1</f>
        <v>#VALUE!</v>
      </c>
      <c r="B181" s="1">
        <v>6999899</v>
      </c>
      <c r="C181" t="s">
        <v>193</v>
      </c>
      <c r="D181" t="s">
        <v>208</v>
      </c>
      <c r="E181" t="s">
        <v>10</v>
      </c>
    </row>
    <row r="182" spans="1:5" outlineLevel="2">
      <c r="A182" s="3" t="e">
        <f>(HYPERLINK("http://www.autodoc.ru/Web/price/art/8540RGNS4RDW?analog=on","8540RGNS4RDW"))*1</f>
        <v>#VALUE!</v>
      </c>
      <c r="B182" s="1">
        <v>6995883</v>
      </c>
      <c r="C182" t="s">
        <v>193</v>
      </c>
      <c r="D182" t="s">
        <v>209</v>
      </c>
      <c r="E182" t="s">
        <v>10</v>
      </c>
    </row>
    <row r="183" spans="1:5" outlineLevel="1">
      <c r="A183" s="2">
        <v>0</v>
      </c>
      <c r="B183" s="26" t="s">
        <v>210</v>
      </c>
      <c r="C183" s="27">
        <v>0</v>
      </c>
      <c r="D183" s="27">
        <v>0</v>
      </c>
      <c r="E183" s="27">
        <v>0</v>
      </c>
    </row>
    <row r="184" spans="1:5" outlineLevel="2">
      <c r="A184" s="3" t="e">
        <f>(HYPERLINK("http://www.autodoc.ru/Web/price/art/8604AGSGYMVWZ1C?analog=on","8604AGSGYMVWZ1C"))*1</f>
        <v>#VALUE!</v>
      </c>
      <c r="B184" s="1">
        <v>6965235</v>
      </c>
      <c r="C184" t="s">
        <v>211</v>
      </c>
      <c r="D184" t="s">
        <v>212</v>
      </c>
      <c r="E184" t="s">
        <v>8</v>
      </c>
    </row>
    <row r="185" spans="1:5" outlineLevel="2">
      <c r="A185" s="3" t="e">
        <f>(HYPERLINK("http://www.autodoc.ru/Web/price/art/8604AGSGYVWZ?analog=on","8604AGSGYVWZ"))*1</f>
        <v>#VALUE!</v>
      </c>
      <c r="B185" s="1">
        <v>6965234</v>
      </c>
      <c r="C185" t="s">
        <v>211</v>
      </c>
      <c r="D185" t="s">
        <v>213</v>
      </c>
      <c r="E185" t="s">
        <v>8</v>
      </c>
    </row>
    <row r="186" spans="1:5" outlineLevel="2">
      <c r="A186" s="3" t="e">
        <f>(HYPERLINK("http://www.autodoc.ru/Web/price/art/8604AGSVWZ?analog=on","8604AGSVWZ"))*1</f>
        <v>#VALUE!</v>
      </c>
      <c r="B186" s="1">
        <v>6965206</v>
      </c>
      <c r="C186" t="s">
        <v>211</v>
      </c>
      <c r="D186" t="s">
        <v>214</v>
      </c>
      <c r="E186" t="s">
        <v>8</v>
      </c>
    </row>
    <row r="187" spans="1:5" outlineLevel="1">
      <c r="A187" s="2">
        <v>0</v>
      </c>
      <c r="B187" s="26" t="s">
        <v>215</v>
      </c>
      <c r="C187" s="27">
        <v>0</v>
      </c>
      <c r="D187" s="27">
        <v>0</v>
      </c>
      <c r="E187" s="27">
        <v>0</v>
      </c>
    </row>
    <row r="188" spans="1:5" outlineLevel="2">
      <c r="A188" s="3" t="e">
        <f>(HYPERLINK("http://www.autodoc.ru/Web/price/art/8562AGSGYZ?analog=on","8562AGSGYZ"))*1</f>
        <v>#VALUE!</v>
      </c>
      <c r="B188" s="1">
        <v>6960979</v>
      </c>
      <c r="C188" t="s">
        <v>216</v>
      </c>
      <c r="D188" t="s">
        <v>217</v>
      </c>
      <c r="E188" t="s">
        <v>8</v>
      </c>
    </row>
    <row r="189" spans="1:5" outlineLevel="2">
      <c r="A189" s="3" t="e">
        <f>(HYPERLINK("http://www.autodoc.ru/Web/price/art/8562LGSH5FD?analog=on","8562LGSH5FD"))*1</f>
        <v>#VALUE!</v>
      </c>
      <c r="B189" s="1">
        <v>6980057</v>
      </c>
      <c r="C189" t="s">
        <v>216</v>
      </c>
      <c r="D189" t="s">
        <v>218</v>
      </c>
      <c r="E189" t="s">
        <v>10</v>
      </c>
    </row>
    <row r="190" spans="1:5" outlineLevel="2">
      <c r="A190" s="3" t="e">
        <f>(HYPERLINK("http://www.autodoc.ru/Web/price/art/8562RGSH5FD?analog=on","8562RGSH5FD"))*1</f>
        <v>#VALUE!</v>
      </c>
      <c r="B190" s="1">
        <v>6980792</v>
      </c>
      <c r="C190" t="s">
        <v>216</v>
      </c>
      <c r="D190" t="s">
        <v>219</v>
      </c>
      <c r="E190" t="s">
        <v>10</v>
      </c>
    </row>
    <row r="191" spans="1:5" outlineLevel="1">
      <c r="A191" s="2">
        <v>0</v>
      </c>
      <c r="B191" s="26" t="s">
        <v>220</v>
      </c>
      <c r="C191" s="27">
        <v>0</v>
      </c>
      <c r="D191" s="27">
        <v>0</v>
      </c>
      <c r="E191" s="27">
        <v>0</v>
      </c>
    </row>
    <row r="192" spans="1:5" outlineLevel="2">
      <c r="A192" s="3" t="e">
        <f>(HYPERLINK("http://www.autodoc.ru/Web/price/art/8580AGSGYMVW1B?analog=on","8580AGSGYMVW1B"))*1</f>
        <v>#VALUE!</v>
      </c>
      <c r="B192" s="1">
        <v>6961813</v>
      </c>
      <c r="C192" t="s">
        <v>221</v>
      </c>
      <c r="D192" t="s">
        <v>222</v>
      </c>
      <c r="E192" t="s">
        <v>8</v>
      </c>
    </row>
    <row r="193" spans="1:5" outlineLevel="2">
      <c r="A193" s="3" t="e">
        <f>(HYPERLINK("http://www.autodoc.ru/Web/price/art/8580AGSGYVW?analog=on","8580AGSGYVW"))*1</f>
        <v>#VALUE!</v>
      </c>
      <c r="B193" s="1">
        <v>6960417</v>
      </c>
      <c r="C193" t="s">
        <v>221</v>
      </c>
      <c r="D193" t="s">
        <v>223</v>
      </c>
      <c r="E193" t="s">
        <v>8</v>
      </c>
    </row>
    <row r="194" spans="1:5" outlineLevel="2">
      <c r="A194" s="3" t="e">
        <f>(HYPERLINK("http://www.autodoc.ru/Web/price/art/8580AGSGYW?analog=on","8580AGSGYW"))*1</f>
        <v>#VALUE!</v>
      </c>
      <c r="B194" s="1">
        <v>6960416</v>
      </c>
      <c r="C194" t="s">
        <v>221</v>
      </c>
      <c r="D194" t="s">
        <v>224</v>
      </c>
      <c r="E194" t="s">
        <v>8</v>
      </c>
    </row>
    <row r="195" spans="1:5" outlineLevel="2">
      <c r="A195" s="3" t="e">
        <f>(HYPERLINK("http://www.autodoc.ru/Web/price/art/8580AGSVW?analog=on","8580AGSVW"))*1</f>
        <v>#VALUE!</v>
      </c>
      <c r="B195" s="1">
        <v>6961670</v>
      </c>
      <c r="C195" t="s">
        <v>221</v>
      </c>
      <c r="D195" t="s">
        <v>225</v>
      </c>
      <c r="E195" t="s">
        <v>8</v>
      </c>
    </row>
    <row r="196" spans="1:5" outlineLevel="2">
      <c r="A196" s="3" t="e">
        <f>(HYPERLINK("http://www.autodoc.ru/Web/price/art/8580BGSEAGJXW?analog=on","8580BGSEAGJXW"))*1</f>
        <v>#VALUE!</v>
      </c>
      <c r="B196" s="1">
        <v>6996479</v>
      </c>
      <c r="C196" t="s">
        <v>226</v>
      </c>
      <c r="D196" t="s">
        <v>227</v>
      </c>
      <c r="E196" t="s">
        <v>23</v>
      </c>
    </row>
    <row r="197" spans="1:5" outlineLevel="2">
      <c r="A197" s="3" t="e">
        <f>(HYPERLINK("http://www.autodoc.ru/Web/price/art/8580BGSHAGZ?analog=on","8580BGSHAGZ"))*1</f>
        <v>#VALUE!</v>
      </c>
      <c r="B197" s="1">
        <v>6993730</v>
      </c>
      <c r="C197" t="s">
        <v>221</v>
      </c>
      <c r="D197" t="s">
        <v>228</v>
      </c>
      <c r="E197" t="s">
        <v>23</v>
      </c>
    </row>
    <row r="198" spans="1:5" outlineLevel="2">
      <c r="A198" s="3" t="e">
        <f>(HYPERLINK("http://www.autodoc.ru/Web/price/art/8580LGSE5FD?analog=on","8580LGSE5FD"))*1</f>
        <v>#VALUE!</v>
      </c>
      <c r="B198" s="1">
        <v>6997543</v>
      </c>
      <c r="C198" t="s">
        <v>226</v>
      </c>
      <c r="D198" t="s">
        <v>229</v>
      </c>
      <c r="E198" t="s">
        <v>10</v>
      </c>
    </row>
    <row r="199" spans="1:5" outlineLevel="2">
      <c r="A199" s="3" t="e">
        <f>(HYPERLINK("http://www.autodoc.ru/Web/price/art/8580LGSE5RD?analog=on","8580LGSE5RD"))*1</f>
        <v>#VALUE!</v>
      </c>
      <c r="B199" s="1">
        <v>6997544</v>
      </c>
      <c r="C199" t="s">
        <v>226</v>
      </c>
      <c r="D199" t="s">
        <v>230</v>
      </c>
      <c r="E199" t="s">
        <v>10</v>
      </c>
    </row>
    <row r="200" spans="1:5" outlineLevel="2">
      <c r="A200" s="3" t="e">
        <f>(HYPERLINK("http://www.autodoc.ru/Web/price/art/8580LGSE5RQZ1M?analog=on","8580LGSE5RQZ1M"))*1</f>
        <v>#VALUE!</v>
      </c>
      <c r="B200" s="1">
        <v>6996566</v>
      </c>
      <c r="C200" t="s">
        <v>226</v>
      </c>
      <c r="D200" t="s">
        <v>231</v>
      </c>
      <c r="E200" t="s">
        <v>10</v>
      </c>
    </row>
    <row r="201" spans="1:5" outlineLevel="2">
      <c r="A201" s="3" t="e">
        <f>(HYPERLINK("http://www.autodoc.ru/Web/price/art/8580LGSH3FD?analog=on","8580LGSH3FD"))*1</f>
        <v>#VALUE!</v>
      </c>
      <c r="B201" s="1">
        <v>6993731</v>
      </c>
      <c r="C201" t="s">
        <v>221</v>
      </c>
      <c r="D201" t="s">
        <v>232</v>
      </c>
      <c r="E201" t="s">
        <v>10</v>
      </c>
    </row>
    <row r="202" spans="1:5" outlineLevel="2">
      <c r="A202" s="3" t="e">
        <f>(HYPERLINK("http://www.autodoc.ru/Web/price/art/8580LGSH3RQZ?analog=on","8580LGSH3RQZ"))*1</f>
        <v>#VALUE!</v>
      </c>
      <c r="B202" s="1">
        <v>6993733</v>
      </c>
      <c r="C202" t="s">
        <v>221</v>
      </c>
      <c r="D202" t="s">
        <v>233</v>
      </c>
      <c r="E202" t="s">
        <v>10</v>
      </c>
    </row>
    <row r="203" spans="1:5" outlineLevel="2">
      <c r="A203" s="3" t="e">
        <f>(HYPERLINK("http://www.autodoc.ru/Web/price/art/8580RGSE5FD?analog=on","8580RGSE5FD"))*1</f>
        <v>#VALUE!</v>
      </c>
      <c r="B203" s="1">
        <v>6993855</v>
      </c>
      <c r="C203" t="s">
        <v>226</v>
      </c>
      <c r="D203" t="s">
        <v>234</v>
      </c>
      <c r="E203" t="s">
        <v>10</v>
      </c>
    </row>
    <row r="204" spans="1:5" outlineLevel="2">
      <c r="A204" s="3" t="e">
        <f>(HYPERLINK("http://www.autodoc.ru/Web/price/art/8580RGSE5RD?analog=on","8580RGSE5RD"))*1</f>
        <v>#VALUE!</v>
      </c>
      <c r="B204" s="1">
        <v>6993856</v>
      </c>
      <c r="C204" t="s">
        <v>226</v>
      </c>
      <c r="D204" t="s">
        <v>235</v>
      </c>
      <c r="E204" t="s">
        <v>10</v>
      </c>
    </row>
    <row r="205" spans="1:5" outlineLevel="2">
      <c r="A205" s="3" t="e">
        <f>(HYPERLINK("http://www.autodoc.ru/Web/price/art/8580RGSE5RQZ1M?analog=on","8580RGSE5RQZ1M"))*1</f>
        <v>#VALUE!</v>
      </c>
      <c r="B205" s="1">
        <v>6996567</v>
      </c>
      <c r="C205" t="s">
        <v>226</v>
      </c>
      <c r="D205" t="s">
        <v>236</v>
      </c>
      <c r="E205" t="s">
        <v>10</v>
      </c>
    </row>
    <row r="206" spans="1:5" outlineLevel="2">
      <c r="A206" s="3" t="e">
        <f>(HYPERLINK("http://www.autodoc.ru/Web/price/art/8580RGSH3FD?analog=on","8580RGSH3FD"))*1</f>
        <v>#VALUE!</v>
      </c>
      <c r="B206" s="1">
        <v>6993732</v>
      </c>
      <c r="C206" t="s">
        <v>221</v>
      </c>
      <c r="D206" t="s">
        <v>237</v>
      </c>
      <c r="E206" t="s">
        <v>10</v>
      </c>
    </row>
    <row r="207" spans="1:5" outlineLevel="2">
      <c r="A207" s="3" t="e">
        <f>(HYPERLINK("http://www.autodoc.ru/Web/price/art/8580RGSH3RQZ?analog=on","8580RGSH3RQZ"))*1</f>
        <v>#VALUE!</v>
      </c>
      <c r="B207" s="1">
        <v>6993734</v>
      </c>
      <c r="C207" t="s">
        <v>221</v>
      </c>
      <c r="D207" t="s">
        <v>238</v>
      </c>
      <c r="E207" t="s">
        <v>10</v>
      </c>
    </row>
    <row r="208" spans="1:5" outlineLevel="1">
      <c r="A208" s="2">
        <v>0</v>
      </c>
      <c r="B208" s="26" t="s">
        <v>239</v>
      </c>
      <c r="C208" s="27">
        <v>0</v>
      </c>
      <c r="D208" s="27">
        <v>0</v>
      </c>
      <c r="E208" s="27">
        <v>0</v>
      </c>
    </row>
    <row r="209" spans="1:5" outlineLevel="2">
      <c r="A209" s="3" t="e">
        <f>(HYPERLINK("http://www.autodoc.ru/Web/price/art/8554AGNGNVW?analog=on","8554AGNGNVW"))*1</f>
        <v>#VALUE!</v>
      </c>
      <c r="B209" s="1">
        <v>6967046</v>
      </c>
      <c r="C209" t="s">
        <v>240</v>
      </c>
      <c r="D209" t="s">
        <v>241</v>
      </c>
      <c r="E209" t="s">
        <v>8</v>
      </c>
    </row>
    <row r="210" spans="1:5" outlineLevel="2">
      <c r="A210" s="3" t="e">
        <f>(HYPERLINK("http://www.autodoc.ru/Web/price/art/8554AGNGNW?analog=on","8554AGNGNW"))*1</f>
        <v>#VALUE!</v>
      </c>
      <c r="B210" s="1">
        <v>6967045</v>
      </c>
      <c r="C210" t="s">
        <v>240</v>
      </c>
      <c r="D210" t="s">
        <v>242</v>
      </c>
      <c r="E210" t="s">
        <v>8</v>
      </c>
    </row>
    <row r="211" spans="1:5" outlineLevel="2">
      <c r="A211" s="3" t="e">
        <f>(HYPERLINK("http://www.autodoc.ru/Web/price/art/8554AGNGYVW?analog=on","8554AGNGYVW"))*1</f>
        <v>#VALUE!</v>
      </c>
      <c r="B211" s="1">
        <v>6963283</v>
      </c>
      <c r="C211" t="s">
        <v>240</v>
      </c>
      <c r="D211" t="s">
        <v>243</v>
      </c>
      <c r="E211" t="s">
        <v>8</v>
      </c>
    </row>
    <row r="212" spans="1:5" outlineLevel="2">
      <c r="A212" s="3" t="e">
        <f>(HYPERLINK("http://www.autodoc.ru/Web/price/art/8554AGNGYW?analog=on","8554AGNGYW"))*1</f>
        <v>#VALUE!</v>
      </c>
      <c r="B212" s="1">
        <v>6963197</v>
      </c>
      <c r="C212" t="s">
        <v>240</v>
      </c>
      <c r="D212" t="s">
        <v>244</v>
      </c>
      <c r="E212" t="s">
        <v>8</v>
      </c>
    </row>
    <row r="213" spans="1:5" outlineLevel="2">
      <c r="A213" s="3" t="e">
        <f>(HYPERLINK("http://www.autodoc.ru/Web/price/art/8554ASMHB?analog=on","8554ASMHB"))*1</f>
        <v>#VALUE!</v>
      </c>
      <c r="B213" s="1">
        <v>6101231</v>
      </c>
      <c r="C213" t="s">
        <v>19</v>
      </c>
      <c r="D213" t="s">
        <v>245</v>
      </c>
      <c r="E213" t="s">
        <v>21</v>
      </c>
    </row>
    <row r="214" spans="1:5" outlineLevel="2">
      <c r="A214" s="3" t="e">
        <f>(HYPERLINK("http://www.autodoc.ru/Web/price/art/8554ASMHT?analog=on","8554ASMHT"))*1</f>
        <v>#VALUE!</v>
      </c>
      <c r="B214" s="1">
        <v>6100245</v>
      </c>
      <c r="C214" t="s">
        <v>19</v>
      </c>
      <c r="D214" t="s">
        <v>246</v>
      </c>
      <c r="E214" t="s">
        <v>21</v>
      </c>
    </row>
    <row r="215" spans="1:5" outlineLevel="2">
      <c r="A215" s="3" t="e">
        <f>(HYPERLINK("http://www.autodoc.ru/Web/price/art/8554BGNHBZ?analog=on","8554BGNHBZ"))*1</f>
        <v>#VALUE!</v>
      </c>
      <c r="B215" s="1">
        <v>6998680</v>
      </c>
      <c r="C215" t="s">
        <v>240</v>
      </c>
      <c r="D215" t="s">
        <v>247</v>
      </c>
      <c r="E215" t="s">
        <v>23</v>
      </c>
    </row>
    <row r="216" spans="1:5" outlineLevel="2">
      <c r="A216" s="3" t="e">
        <f>(HYPERLINK("http://www.autodoc.ru/Web/price/art/8554LGNH3FD?analog=on","8554LGNH3FD"))*1</f>
        <v>#VALUE!</v>
      </c>
      <c r="B216" s="1">
        <v>6995508</v>
      </c>
      <c r="C216" t="s">
        <v>240</v>
      </c>
      <c r="D216" t="s">
        <v>248</v>
      </c>
      <c r="E216" t="s">
        <v>10</v>
      </c>
    </row>
    <row r="217" spans="1:5" outlineLevel="2">
      <c r="A217" s="3" t="e">
        <f>(HYPERLINK("http://www.autodoc.ru/Web/price/art/8554LGNH3RQOW?analog=on","8554LGNH3RQOW"))*1</f>
        <v>#VALUE!</v>
      </c>
      <c r="B217" s="1">
        <v>6993923</v>
      </c>
      <c r="C217" t="s">
        <v>240</v>
      </c>
      <c r="D217" t="s">
        <v>249</v>
      </c>
      <c r="E217" t="s">
        <v>10</v>
      </c>
    </row>
    <row r="218" spans="1:5" outlineLevel="2">
      <c r="A218" s="3" t="e">
        <f>(HYPERLINK("http://www.autodoc.ru/Web/price/art/8554LGNH5FD?analog=on","8554LGNH5FD"))*1</f>
        <v>#VALUE!</v>
      </c>
      <c r="B218" s="1">
        <v>6996151</v>
      </c>
      <c r="C218" t="s">
        <v>250</v>
      </c>
      <c r="D218" t="s">
        <v>251</v>
      </c>
      <c r="E218" t="s">
        <v>10</v>
      </c>
    </row>
    <row r="219" spans="1:5" outlineLevel="2">
      <c r="A219" s="3" t="e">
        <f>(HYPERLINK("http://www.autodoc.ru/Web/price/art/8554RGNH3FD?analog=on","8554RGNH3FD"))*1</f>
        <v>#VALUE!</v>
      </c>
      <c r="B219" s="1">
        <v>6995509</v>
      </c>
      <c r="C219" t="s">
        <v>240</v>
      </c>
      <c r="D219" t="s">
        <v>252</v>
      </c>
      <c r="E219" t="s">
        <v>10</v>
      </c>
    </row>
    <row r="220" spans="1:5" outlineLevel="2">
      <c r="A220" s="3" t="e">
        <f>(HYPERLINK("http://www.autodoc.ru/Web/price/art/8554RGNH3RQOW?analog=on","8554RGNH3RQOW"))*1</f>
        <v>#VALUE!</v>
      </c>
      <c r="B220" s="1">
        <v>6993924</v>
      </c>
      <c r="C220" t="s">
        <v>240</v>
      </c>
      <c r="D220" t="s">
        <v>253</v>
      </c>
      <c r="E220" t="s">
        <v>10</v>
      </c>
    </row>
    <row r="221" spans="1:5" outlineLevel="2">
      <c r="A221" s="3" t="e">
        <f>(HYPERLINK("http://www.autodoc.ru/Web/price/art/8554RGNH5FD?analog=on","8554RGNH5FD"))*1</f>
        <v>#VALUE!</v>
      </c>
      <c r="B221" s="1">
        <v>6996152</v>
      </c>
      <c r="C221" t="s">
        <v>250</v>
      </c>
      <c r="D221" t="s">
        <v>254</v>
      </c>
      <c r="E221" t="s">
        <v>10</v>
      </c>
    </row>
    <row r="222" spans="1:5" outlineLevel="1">
      <c r="A222" s="2">
        <v>0</v>
      </c>
      <c r="B222" s="26" t="s">
        <v>255</v>
      </c>
      <c r="C222" s="27">
        <v>0</v>
      </c>
      <c r="D222" s="27">
        <v>0</v>
      </c>
      <c r="E222" s="27">
        <v>0</v>
      </c>
    </row>
    <row r="223" spans="1:5" outlineLevel="2">
      <c r="A223" s="3" t="e">
        <f>(HYPERLINK("http://www.autodoc.ru/Web/price/art/8599LGST2FD?analog=on","8599LGST2FD"))*1</f>
        <v>#VALUE!</v>
      </c>
      <c r="B223" s="1">
        <v>6901468</v>
      </c>
      <c r="C223" t="s">
        <v>256</v>
      </c>
      <c r="D223" t="s">
        <v>257</v>
      </c>
      <c r="E223" t="s">
        <v>10</v>
      </c>
    </row>
    <row r="224" spans="1:5" outlineLevel="2">
      <c r="A224" s="3" t="e">
        <f>(HYPERLINK("http://www.autodoc.ru/Web/price/art/8599RGST2FD?analog=on","8599RGST2FD"))*1</f>
        <v>#VALUE!</v>
      </c>
      <c r="B224" s="1">
        <v>6901467</v>
      </c>
      <c r="C224" t="s">
        <v>256</v>
      </c>
      <c r="D224" t="s">
        <v>258</v>
      </c>
      <c r="E224" t="s">
        <v>10</v>
      </c>
    </row>
    <row r="225" spans="1:5" outlineLevel="1">
      <c r="A225" s="2">
        <v>0</v>
      </c>
      <c r="B225" s="26" t="s">
        <v>259</v>
      </c>
      <c r="C225" s="27">
        <v>0</v>
      </c>
      <c r="D225" s="27">
        <v>0</v>
      </c>
      <c r="E225" s="27">
        <v>0</v>
      </c>
    </row>
    <row r="226" spans="1:5" outlineLevel="2">
      <c r="A226" s="3" t="e">
        <f>(HYPERLINK("http://www.autodoc.ru/Web/price/art/8572AGAGYMVW1B?analog=on","8572AGAGYMVW1B"))*1</f>
        <v>#VALUE!</v>
      </c>
      <c r="B226" s="1">
        <v>6961770</v>
      </c>
      <c r="C226" t="s">
        <v>216</v>
      </c>
      <c r="D226" t="s">
        <v>260</v>
      </c>
      <c r="E226" t="s">
        <v>8</v>
      </c>
    </row>
    <row r="227" spans="1:5" outlineLevel="2">
      <c r="A227" s="3" t="e">
        <f>(HYPERLINK("http://www.autodoc.ru/Web/price/art/8572AGSGYMVW1B?analog=on","8572AGSGYMVW1B"))*1</f>
        <v>#VALUE!</v>
      </c>
      <c r="B227" s="1">
        <v>6961391</v>
      </c>
      <c r="C227" t="s">
        <v>261</v>
      </c>
      <c r="D227" t="s">
        <v>262</v>
      </c>
      <c r="E227" t="s">
        <v>8</v>
      </c>
    </row>
    <row r="228" spans="1:5" outlineLevel="2">
      <c r="A228" s="3" t="e">
        <f>(HYPERLINK("http://www.autodoc.ru/Web/price/art/8572AGSGYVW?analog=on","8572AGSGYVW"))*1</f>
        <v>#VALUE!</v>
      </c>
      <c r="B228" s="1">
        <v>6960806</v>
      </c>
      <c r="C228" t="s">
        <v>261</v>
      </c>
      <c r="D228" t="s">
        <v>263</v>
      </c>
      <c r="E228" t="s">
        <v>8</v>
      </c>
    </row>
    <row r="229" spans="1:5" outlineLevel="2">
      <c r="A229" s="3" t="e">
        <f>(HYPERLINK("http://www.autodoc.ru/Web/price/art/8572AGSGYW?analog=on","8572AGSGYW"))*1</f>
        <v>#VALUE!</v>
      </c>
      <c r="B229" s="1">
        <v>6966256</v>
      </c>
      <c r="C229" t="s">
        <v>261</v>
      </c>
      <c r="D229" t="s">
        <v>264</v>
      </c>
      <c r="E229" t="s">
        <v>8</v>
      </c>
    </row>
    <row r="230" spans="1:5" outlineLevel="2">
      <c r="A230" s="3" t="e">
        <f>(HYPERLINK("http://www.autodoc.ru/Web/price/art/8572AGSGYVW1B?analog=on","8572AGSGYVW1B"))*1</f>
        <v>#VALUE!</v>
      </c>
      <c r="B230" s="1">
        <v>6961392</v>
      </c>
      <c r="C230" t="s">
        <v>265</v>
      </c>
      <c r="D230" t="s">
        <v>266</v>
      </c>
      <c r="E230" t="s">
        <v>8</v>
      </c>
    </row>
    <row r="231" spans="1:5" outlineLevel="2">
      <c r="A231" s="3" t="e">
        <f>(HYPERLINK("http://www.autodoc.ru/Web/price/art/8572AGSVW1B?analog=on","8572AGSVW1B"))*1</f>
        <v>#VALUE!</v>
      </c>
      <c r="B231" s="1">
        <v>6961393</v>
      </c>
      <c r="C231" t="s">
        <v>265</v>
      </c>
      <c r="D231" t="s">
        <v>267</v>
      </c>
      <c r="E231" t="s">
        <v>8</v>
      </c>
    </row>
    <row r="232" spans="1:5" outlineLevel="2">
      <c r="A232" s="3" t="e">
        <f>(HYPERLINK("http://www.autodoc.ru/Web/price/art/8572AKMSS?analog=on","8572AKMSS"))*1</f>
        <v>#VALUE!</v>
      </c>
      <c r="B232" s="1">
        <v>6101820</v>
      </c>
      <c r="C232" t="s">
        <v>19</v>
      </c>
      <c r="D232" t="s">
        <v>268</v>
      </c>
      <c r="E232" t="s">
        <v>21</v>
      </c>
    </row>
    <row r="233" spans="1:5" outlineLevel="2">
      <c r="A233" s="3" t="e">
        <f>(HYPERLINK("http://www.autodoc.ru/Web/price/art/8572BGSEAZ?analog=on","8572BGSEAZ"))*1</f>
        <v>#VALUE!</v>
      </c>
      <c r="B233" s="1">
        <v>6992791</v>
      </c>
      <c r="C233" t="s">
        <v>261</v>
      </c>
      <c r="D233" t="s">
        <v>269</v>
      </c>
      <c r="E233" t="s">
        <v>23</v>
      </c>
    </row>
    <row r="234" spans="1:5" outlineLevel="2">
      <c r="A234" s="3" t="e">
        <f>(HYPERLINK("http://www.autodoc.ru/Web/price/art/8572LGSS4FDW?analog=on","8572LGSS4FDW"))*1</f>
        <v>#VALUE!</v>
      </c>
      <c r="B234" s="1">
        <v>6993146</v>
      </c>
      <c r="C234" t="s">
        <v>261</v>
      </c>
      <c r="D234" t="s">
        <v>270</v>
      </c>
      <c r="E234" t="s">
        <v>10</v>
      </c>
    </row>
    <row r="235" spans="1:5" outlineLevel="2">
      <c r="A235" s="3" t="e">
        <f>(HYPERLINK("http://www.autodoc.ru/Web/price/art/8572LGSS4RDW?analog=on","8572LGSS4RDW"))*1</f>
        <v>#VALUE!</v>
      </c>
      <c r="B235" s="1">
        <v>6996153</v>
      </c>
      <c r="C235" t="s">
        <v>261</v>
      </c>
      <c r="D235" t="s">
        <v>271</v>
      </c>
      <c r="E235" t="s">
        <v>10</v>
      </c>
    </row>
    <row r="236" spans="1:5" outlineLevel="2">
      <c r="A236" s="3" t="e">
        <f>(HYPERLINK("http://www.autodoc.ru/Web/price/art/8572RGSS4FDW?analog=on","8572RGSS4FDW"))*1</f>
        <v>#VALUE!</v>
      </c>
      <c r="B236" s="1">
        <v>6993147</v>
      </c>
      <c r="C236" t="s">
        <v>261</v>
      </c>
      <c r="D236" t="s">
        <v>272</v>
      </c>
      <c r="E236" t="s">
        <v>10</v>
      </c>
    </row>
    <row r="237" spans="1:5" outlineLevel="2">
      <c r="A237" s="3" t="e">
        <f>(HYPERLINK("http://www.autodoc.ru/Web/price/art/8572RGSS4RDW?analog=on","8572RGSS4RDW"))*1</f>
        <v>#VALUE!</v>
      </c>
      <c r="B237" s="1">
        <v>6996154</v>
      </c>
      <c r="C237" t="s">
        <v>261</v>
      </c>
      <c r="D237" t="s">
        <v>273</v>
      </c>
      <c r="E237" t="s">
        <v>10</v>
      </c>
    </row>
    <row r="238" spans="1:5" outlineLevel="1">
      <c r="A238" s="2">
        <v>0</v>
      </c>
      <c r="B238" s="26" t="s">
        <v>274</v>
      </c>
      <c r="C238" s="27">
        <v>0</v>
      </c>
      <c r="D238" s="27">
        <v>0</v>
      </c>
      <c r="E238" s="27">
        <v>0</v>
      </c>
    </row>
    <row r="239" spans="1:5" outlineLevel="2">
      <c r="A239" s="3" t="e">
        <f>(HYPERLINK("http://www.autodoc.ru/Web/price/art/8547AGNBL?analog=on","8547AGNBL"))*1</f>
        <v>#VALUE!</v>
      </c>
      <c r="B239" s="1">
        <v>6961069</v>
      </c>
      <c r="C239" t="s">
        <v>33</v>
      </c>
      <c r="D239" t="s">
        <v>275</v>
      </c>
      <c r="E239" t="s">
        <v>8</v>
      </c>
    </row>
    <row r="240" spans="1:5" outlineLevel="2">
      <c r="A240" s="3" t="e">
        <f>(HYPERLINK("http://www.autodoc.ru/Web/price/art/8547AGNBLV?analog=on","8547AGNBLV"))*1</f>
        <v>#VALUE!</v>
      </c>
      <c r="B240" s="1">
        <v>6961080</v>
      </c>
      <c r="C240" t="s">
        <v>33</v>
      </c>
      <c r="D240" t="s">
        <v>276</v>
      </c>
      <c r="E240" t="s">
        <v>8</v>
      </c>
    </row>
    <row r="241" spans="1:5" outlineLevel="2">
      <c r="A241" s="3" t="e">
        <f>(HYPERLINK("http://www.autodoc.ru/Web/price/art/8547AGNGN?analog=on","8547AGNGN"))*1</f>
        <v>#VALUE!</v>
      </c>
      <c r="B241" s="1">
        <v>6967050</v>
      </c>
      <c r="C241" t="s">
        <v>33</v>
      </c>
      <c r="D241" t="s">
        <v>277</v>
      </c>
      <c r="E241" t="s">
        <v>8</v>
      </c>
    </row>
    <row r="242" spans="1:5" outlineLevel="2">
      <c r="A242" s="3" t="e">
        <f>(HYPERLINK("http://www.autodoc.ru/Web/price/art/8547AGNGNV1V?analog=on","8547AGNGNV1V"))*1</f>
        <v>#VALUE!</v>
      </c>
      <c r="B242" s="1">
        <v>6967055</v>
      </c>
      <c r="C242" t="s">
        <v>33</v>
      </c>
      <c r="D242" t="s">
        <v>278</v>
      </c>
      <c r="E242" t="s">
        <v>8</v>
      </c>
    </row>
    <row r="243" spans="1:5" outlineLevel="2">
      <c r="A243" s="3" t="e">
        <f>(HYPERLINK("http://www.autodoc.ru/Web/price/art/8547AGNGYV1V?analog=on","8547AGNGYV1V"))*1</f>
        <v>#VALUE!</v>
      </c>
      <c r="B243" s="1">
        <v>6967061</v>
      </c>
      <c r="C243" t="s">
        <v>33</v>
      </c>
      <c r="D243" t="s">
        <v>279</v>
      </c>
      <c r="E243" t="s">
        <v>8</v>
      </c>
    </row>
    <row r="244" spans="1:5" outlineLevel="2">
      <c r="A244" s="3" t="e">
        <f>(HYPERLINK("http://www.autodoc.ru/Web/price/art/8547ASMST?analog=on","8547ASMST"))*1</f>
        <v>#VALUE!</v>
      </c>
      <c r="B244" s="1">
        <v>6100241</v>
      </c>
      <c r="C244" t="s">
        <v>19</v>
      </c>
      <c r="D244" t="s">
        <v>280</v>
      </c>
      <c r="E244" t="s">
        <v>21</v>
      </c>
    </row>
    <row r="245" spans="1:5" outlineLevel="2">
      <c r="A245" s="3" t="e">
        <f>(HYPERLINK("http://www.autodoc.ru/Web/price/art/8547BGNEBZ?analog=on","8547BGNEBZ"))*1</f>
        <v>#VALUE!</v>
      </c>
      <c r="B245" s="1">
        <v>6998930</v>
      </c>
      <c r="C245" t="s">
        <v>33</v>
      </c>
      <c r="D245" t="s">
        <v>281</v>
      </c>
      <c r="E245" t="s">
        <v>23</v>
      </c>
    </row>
    <row r="246" spans="1:5" outlineLevel="2">
      <c r="A246" s="3" t="e">
        <f>(HYPERLINK("http://www.autodoc.ru/Web/price/art/8547BGNSA?analog=on","8547BGNSA"))*1</f>
        <v>#VALUE!</v>
      </c>
      <c r="B246" s="1">
        <v>6998987</v>
      </c>
      <c r="C246" t="s">
        <v>33</v>
      </c>
      <c r="D246" t="s">
        <v>282</v>
      </c>
      <c r="E246" t="s">
        <v>23</v>
      </c>
    </row>
    <row r="247" spans="1:5" outlineLevel="2">
      <c r="A247" s="3" t="e">
        <f>(HYPERLINK("http://www.autodoc.ru/Web/price/art/8547LGNE5RD?analog=on","8547LGNE5RD"))*1</f>
        <v>#VALUE!</v>
      </c>
      <c r="B247" s="1">
        <v>6994911</v>
      </c>
      <c r="C247" t="s">
        <v>33</v>
      </c>
      <c r="D247" t="s">
        <v>283</v>
      </c>
      <c r="E247" t="s">
        <v>10</v>
      </c>
    </row>
    <row r="248" spans="1:5" outlineLevel="2">
      <c r="A248" s="3" t="e">
        <f>(HYPERLINK("http://www.autodoc.ru/Web/price/art/8547LGNS4FD?analog=on","8547LGNS4FD"))*1</f>
        <v>#VALUE!</v>
      </c>
      <c r="B248" s="1">
        <v>6998411</v>
      </c>
      <c r="C248" t="s">
        <v>33</v>
      </c>
      <c r="D248" t="s">
        <v>284</v>
      </c>
      <c r="E248" t="s">
        <v>10</v>
      </c>
    </row>
    <row r="249" spans="1:5" outlineLevel="2">
      <c r="A249" s="3" t="e">
        <f>(HYPERLINK("http://www.autodoc.ru/Web/price/art/8547LGNS4RD?analog=on","8547LGNS4RD"))*1</f>
        <v>#VALUE!</v>
      </c>
      <c r="B249" s="1">
        <v>6998409</v>
      </c>
      <c r="C249" t="s">
        <v>33</v>
      </c>
      <c r="D249" t="s">
        <v>285</v>
      </c>
      <c r="E249" t="s">
        <v>10</v>
      </c>
    </row>
    <row r="250" spans="1:5" outlineLevel="2">
      <c r="A250" s="3" t="e">
        <f>(HYPERLINK("http://www.autodoc.ru/Web/price/art/8547RGNE5RD?analog=on","8547RGNE5RD"))*1</f>
        <v>#VALUE!</v>
      </c>
      <c r="B250" s="1">
        <v>6994912</v>
      </c>
      <c r="C250" t="s">
        <v>33</v>
      </c>
      <c r="D250" t="s">
        <v>286</v>
      </c>
      <c r="E250" t="s">
        <v>10</v>
      </c>
    </row>
    <row r="251" spans="1:5" outlineLevel="2">
      <c r="A251" s="3" t="e">
        <f>(HYPERLINK("http://www.autodoc.ru/Web/price/art/8547RGNS4FD?analog=on","8547RGNS4FD"))*1</f>
        <v>#VALUE!</v>
      </c>
      <c r="B251" s="1">
        <v>6998410</v>
      </c>
      <c r="C251" t="s">
        <v>33</v>
      </c>
      <c r="D251" t="s">
        <v>287</v>
      </c>
      <c r="E251" t="s">
        <v>10</v>
      </c>
    </row>
    <row r="252" spans="1:5" outlineLevel="2">
      <c r="A252" s="3" t="e">
        <f>(HYPERLINK("http://www.autodoc.ru/Web/price/art/8547RGNS4RD?analog=on","8547RGNS4RD"))*1</f>
        <v>#VALUE!</v>
      </c>
      <c r="B252" s="1">
        <v>6998408</v>
      </c>
      <c r="C252" t="s">
        <v>33</v>
      </c>
      <c r="D252" t="s">
        <v>288</v>
      </c>
      <c r="E252" t="s">
        <v>10</v>
      </c>
    </row>
    <row r="253" spans="1:5" outlineLevel="1">
      <c r="A253" s="2">
        <v>0</v>
      </c>
      <c r="B253" s="26" t="s">
        <v>289</v>
      </c>
      <c r="C253" s="27">
        <v>0</v>
      </c>
      <c r="D253" s="27">
        <v>0</v>
      </c>
      <c r="E253" s="27">
        <v>0</v>
      </c>
    </row>
    <row r="254" spans="1:5" outlineLevel="2">
      <c r="A254" s="3" t="e">
        <f>(HYPERLINK("http://www.autodoc.ru/Web/price/art/8589AGNGYMVZ1P?analog=on","8589AGNGYMVZ1P"))*1</f>
        <v>#VALUE!</v>
      </c>
      <c r="B254" s="1">
        <v>6962753</v>
      </c>
      <c r="C254" t="s">
        <v>290</v>
      </c>
      <c r="D254" t="s">
        <v>291</v>
      </c>
      <c r="E254" t="s">
        <v>8</v>
      </c>
    </row>
    <row r="255" spans="1:5" outlineLevel="2">
      <c r="A255" s="3" t="e">
        <f>(HYPERLINK("http://www.autodoc.ru/Web/price/art/8589AGNGYVZ?analog=on","8589AGNGYVZ"))*1</f>
        <v>#VALUE!</v>
      </c>
      <c r="B255" s="1">
        <v>6964638</v>
      </c>
      <c r="C255" t="s">
        <v>290</v>
      </c>
      <c r="D255" t="s">
        <v>292</v>
      </c>
      <c r="E255" t="s">
        <v>8</v>
      </c>
    </row>
    <row r="256" spans="1:5" outlineLevel="2">
      <c r="A256" s="3" t="e">
        <f>(HYPERLINK("http://www.autodoc.ru/Web/price/art/8589AGNVZ?analog=on","8589AGNVZ"))*1</f>
        <v>#VALUE!</v>
      </c>
      <c r="B256" s="1">
        <v>6962784</v>
      </c>
      <c r="C256" t="s">
        <v>290</v>
      </c>
      <c r="D256" t="s">
        <v>293</v>
      </c>
      <c r="E256" t="s">
        <v>8</v>
      </c>
    </row>
    <row r="257" spans="1:5" outlineLevel="2">
      <c r="A257" s="3" t="e">
        <f>(HYPERLINK("http://www.autodoc.ru/Web/price/art/8589BGNSABW?analog=on","8589BGNSABW"))*1</f>
        <v>#VALUE!</v>
      </c>
      <c r="B257" s="1">
        <v>6900564</v>
      </c>
      <c r="C257" t="s">
        <v>290</v>
      </c>
      <c r="D257" t="s">
        <v>294</v>
      </c>
      <c r="E257" t="s">
        <v>23</v>
      </c>
    </row>
    <row r="258" spans="1:5" outlineLevel="2">
      <c r="A258" s="3" t="e">
        <f>(HYPERLINK("http://www.autodoc.ru/Web/price/art/8589LGSS4FD?analog=on","8589LGSS4FD"))*1</f>
        <v>#VALUE!</v>
      </c>
      <c r="B258" s="1">
        <v>6900796</v>
      </c>
      <c r="C258" t="s">
        <v>290</v>
      </c>
      <c r="D258" t="s">
        <v>295</v>
      </c>
      <c r="E258" t="s">
        <v>10</v>
      </c>
    </row>
    <row r="259" spans="1:5" outlineLevel="2">
      <c r="A259" s="3" t="e">
        <f>(HYPERLINK("http://www.autodoc.ru/Web/price/art/8589LGSS4RD?analog=on","8589LGSS4RD"))*1</f>
        <v>#VALUE!</v>
      </c>
      <c r="B259" s="1">
        <v>6900798</v>
      </c>
      <c r="C259" t="s">
        <v>290</v>
      </c>
      <c r="D259" t="s">
        <v>296</v>
      </c>
      <c r="E259" t="s">
        <v>10</v>
      </c>
    </row>
    <row r="260" spans="1:5" outlineLevel="2">
      <c r="A260" s="3" t="e">
        <f>(HYPERLINK("http://www.autodoc.ru/Web/price/art/8589RGSS4FD?analog=on","8589RGSS4FD"))*1</f>
        <v>#VALUE!</v>
      </c>
      <c r="B260" s="1">
        <v>6900795</v>
      </c>
      <c r="C260" t="s">
        <v>290</v>
      </c>
      <c r="D260" t="s">
        <v>297</v>
      </c>
      <c r="E260" t="s">
        <v>10</v>
      </c>
    </row>
    <row r="261" spans="1:5" outlineLevel="2">
      <c r="A261" s="3" t="e">
        <f>(HYPERLINK("http://www.autodoc.ru/Web/price/art/8589RGSS4RD?analog=on","8589RGSS4RD"))*1</f>
        <v>#VALUE!</v>
      </c>
      <c r="B261" s="1">
        <v>6900797</v>
      </c>
      <c r="C261" t="s">
        <v>290</v>
      </c>
      <c r="D261" t="s">
        <v>298</v>
      </c>
      <c r="E261" t="s">
        <v>10</v>
      </c>
    </row>
    <row r="262" spans="1:5" outlineLevel="1">
      <c r="A262" s="2">
        <v>0</v>
      </c>
      <c r="B262" s="26" t="s">
        <v>299</v>
      </c>
      <c r="C262" s="27">
        <v>0</v>
      </c>
      <c r="D262" s="27">
        <v>0</v>
      </c>
      <c r="E262" s="27">
        <v>0</v>
      </c>
    </row>
    <row r="263" spans="1:5" outlineLevel="2">
      <c r="A263" s="3" t="e">
        <f>(HYPERLINK("http://www.autodoc.ru/Web/price/art/8592AGSGYMVZ1P?analog=on","8592AGSGYMVZ1P"))*1</f>
        <v>#VALUE!</v>
      </c>
      <c r="B263" s="1">
        <v>6962476</v>
      </c>
      <c r="C263" t="s">
        <v>290</v>
      </c>
      <c r="D263" t="s">
        <v>300</v>
      </c>
      <c r="E263" t="s">
        <v>8</v>
      </c>
    </row>
    <row r="264" spans="1:5" outlineLevel="2">
      <c r="A264" s="3" t="e">
        <f>(HYPERLINK("http://www.autodoc.ru/Web/price/art/8592AGSVZ?analog=on","8592AGSVZ"))*1</f>
        <v>#VALUE!</v>
      </c>
      <c r="B264" s="1">
        <v>6962468</v>
      </c>
      <c r="C264" t="s">
        <v>290</v>
      </c>
      <c r="D264" t="s">
        <v>301</v>
      </c>
      <c r="E264" t="s">
        <v>8</v>
      </c>
    </row>
    <row r="265" spans="1:5" outlineLevel="2">
      <c r="A265" s="3" t="e">
        <f>(HYPERLINK("http://www.autodoc.ru/Web/price/art/8592LGSC2FD?analog=on","8592LGSC2FD"))*1</f>
        <v>#VALUE!</v>
      </c>
      <c r="B265" s="1">
        <v>6900648</v>
      </c>
      <c r="C265" t="s">
        <v>290</v>
      </c>
      <c r="D265" t="s">
        <v>302</v>
      </c>
      <c r="E265" t="s">
        <v>10</v>
      </c>
    </row>
    <row r="266" spans="1:5" outlineLevel="2">
      <c r="A266" s="3" t="e">
        <f>(HYPERLINK("http://www.autodoc.ru/Web/price/art/8592RGSC2FD?analog=on","8592RGSC2FD"))*1</f>
        <v>#VALUE!</v>
      </c>
      <c r="B266" s="1">
        <v>6900647</v>
      </c>
      <c r="C266" t="s">
        <v>290</v>
      </c>
      <c r="D266" t="s">
        <v>303</v>
      </c>
      <c r="E266" t="s">
        <v>10</v>
      </c>
    </row>
    <row r="267" spans="1:5" outlineLevel="1">
      <c r="A267" s="2">
        <v>0</v>
      </c>
      <c r="B267" s="26" t="s">
        <v>304</v>
      </c>
      <c r="C267" s="27">
        <v>0</v>
      </c>
      <c r="D267" s="27">
        <v>0</v>
      </c>
      <c r="E267" s="27">
        <v>0</v>
      </c>
    </row>
    <row r="268" spans="1:5" outlineLevel="2">
      <c r="A268" s="3" t="e">
        <f>(HYPERLINK("http://www.autodoc.ru/Web/price/art/8582ACCGYMW1B?analog=on","8582ACCGYMW1B"))*1</f>
        <v>#VALUE!</v>
      </c>
      <c r="B268" s="1">
        <v>6962483</v>
      </c>
      <c r="C268" t="s">
        <v>305</v>
      </c>
      <c r="D268" t="s">
        <v>306</v>
      </c>
      <c r="E268" t="s">
        <v>8</v>
      </c>
    </row>
    <row r="269" spans="1:5" outlineLevel="2">
      <c r="A269" s="3" t="e">
        <f>(HYPERLINK("http://www.autodoc.ru/Web/price/art/8582AGSGYMVW?analog=on","8582AGSGYMVW"))*1</f>
        <v>#VALUE!</v>
      </c>
      <c r="B269" s="1">
        <v>6961347</v>
      </c>
      <c r="C269" t="s">
        <v>305</v>
      </c>
      <c r="D269" t="s">
        <v>307</v>
      </c>
      <c r="E269" t="s">
        <v>8</v>
      </c>
    </row>
    <row r="270" spans="1:5" outlineLevel="2">
      <c r="A270" s="3" t="e">
        <f>(HYPERLINK("http://www.autodoc.ru/Web/price/art/8582BCCSABGJKPZ?analog=on","8582BCCSABGJKPZ"))*1</f>
        <v>#VALUE!</v>
      </c>
      <c r="B270" s="1">
        <v>6962373</v>
      </c>
      <c r="C270" t="s">
        <v>305</v>
      </c>
      <c r="D270" t="s">
        <v>308</v>
      </c>
      <c r="E270" t="s">
        <v>23</v>
      </c>
    </row>
    <row r="271" spans="1:5" outlineLevel="2">
      <c r="A271" s="3" t="e">
        <f>(HYPERLINK("http://www.autodoc.ru/Web/price/art/8582BGSEAW?analog=on","8582BGSEAW"))*1</f>
        <v>#VALUE!</v>
      </c>
      <c r="B271" s="1">
        <v>6992176</v>
      </c>
      <c r="C271" t="s">
        <v>83</v>
      </c>
      <c r="D271" t="s">
        <v>309</v>
      </c>
      <c r="E271" t="s">
        <v>23</v>
      </c>
    </row>
    <row r="272" spans="1:5" outlineLevel="2">
      <c r="A272" s="3" t="e">
        <f>(HYPERLINK("http://www.autodoc.ru/Web/price/art/8582BGSSABGJPZ?analog=on","8582BGSSABGJPZ"))*1</f>
        <v>#VALUE!</v>
      </c>
      <c r="B272" s="1">
        <v>6997750</v>
      </c>
      <c r="C272" t="s">
        <v>305</v>
      </c>
      <c r="D272" t="s">
        <v>310</v>
      </c>
      <c r="E272" t="s">
        <v>23</v>
      </c>
    </row>
    <row r="273" spans="1:5" outlineLevel="2">
      <c r="A273" s="3" t="e">
        <f>(HYPERLINK("http://www.autodoc.ru/Web/price/art/8582BZPEAW?analog=on","8582BZPEAW"))*1</f>
        <v>#VALUE!</v>
      </c>
      <c r="B273" s="1">
        <v>6997751</v>
      </c>
      <c r="C273" t="s">
        <v>83</v>
      </c>
      <c r="D273" t="s">
        <v>311</v>
      </c>
      <c r="E273" t="s">
        <v>23</v>
      </c>
    </row>
    <row r="274" spans="1:5" outlineLevel="2">
      <c r="A274" s="3" t="e">
        <f>(HYPERLINK("http://www.autodoc.ru/Web/price/art/8582LGSE5RD?analog=on","8582LGSE5RD"))*1</f>
        <v>#VALUE!</v>
      </c>
      <c r="B274" s="1">
        <v>6992294</v>
      </c>
      <c r="C274" t="s">
        <v>83</v>
      </c>
      <c r="D274" t="s">
        <v>312</v>
      </c>
      <c r="E274" t="s">
        <v>10</v>
      </c>
    </row>
    <row r="275" spans="1:5" outlineLevel="2">
      <c r="A275" s="3" t="e">
        <f>(HYPERLINK("http://www.autodoc.ru/Web/price/art/8582LGSS4FD?analog=on","8582LGSS4FD"))*1</f>
        <v>#VALUE!</v>
      </c>
      <c r="B275" s="1">
        <v>6997545</v>
      </c>
      <c r="C275" t="s">
        <v>305</v>
      </c>
      <c r="D275" t="s">
        <v>313</v>
      </c>
      <c r="E275" t="s">
        <v>10</v>
      </c>
    </row>
    <row r="276" spans="1:5" outlineLevel="2">
      <c r="A276" s="3" t="e">
        <f>(HYPERLINK("http://www.autodoc.ru/Web/price/art/8582LGSS4RD?analog=on","8582LGSS4RD"))*1</f>
        <v>#VALUE!</v>
      </c>
      <c r="B276" s="1">
        <v>6997546</v>
      </c>
      <c r="C276" t="s">
        <v>305</v>
      </c>
      <c r="D276" t="s">
        <v>314</v>
      </c>
      <c r="E276" t="s">
        <v>10</v>
      </c>
    </row>
    <row r="277" spans="1:5" outlineLevel="2">
      <c r="A277" s="3" t="e">
        <f>(HYPERLINK("http://www.autodoc.ru/Web/price/art/8582RGSE5RD?analog=on","8582RGSE5RD"))*1</f>
        <v>#VALUE!</v>
      </c>
      <c r="B277" s="1">
        <v>6992295</v>
      </c>
      <c r="C277" t="s">
        <v>83</v>
      </c>
      <c r="D277" t="s">
        <v>315</v>
      </c>
      <c r="E277" t="s">
        <v>10</v>
      </c>
    </row>
    <row r="278" spans="1:5" outlineLevel="2">
      <c r="A278" s="3" t="e">
        <f>(HYPERLINK("http://www.autodoc.ru/Web/price/art/8582RGSS4FD?analog=on","8582RGSS4FD"))*1</f>
        <v>#VALUE!</v>
      </c>
      <c r="B278" s="1">
        <v>6993858</v>
      </c>
      <c r="C278" t="s">
        <v>305</v>
      </c>
      <c r="D278" t="s">
        <v>316</v>
      </c>
      <c r="E278" t="s">
        <v>10</v>
      </c>
    </row>
    <row r="279" spans="1:5" outlineLevel="2">
      <c r="A279" s="3" t="e">
        <f>(HYPERLINK("http://www.autodoc.ru/Web/price/art/8582RGSS4RD?analog=on","8582RGSS4RD"))*1</f>
        <v>#VALUE!</v>
      </c>
      <c r="B279" s="1">
        <v>6993857</v>
      </c>
      <c r="C279" t="s">
        <v>305</v>
      </c>
      <c r="D279" t="s">
        <v>317</v>
      </c>
      <c r="E279" t="s">
        <v>10</v>
      </c>
    </row>
    <row r="280" spans="1:5" outlineLevel="1">
      <c r="A280" s="2">
        <v>0</v>
      </c>
      <c r="B280" s="26" t="s">
        <v>318</v>
      </c>
      <c r="C280" s="27">
        <v>0</v>
      </c>
      <c r="D280" s="27">
        <v>0</v>
      </c>
      <c r="E280" s="27">
        <v>0</v>
      </c>
    </row>
    <row r="281" spans="1:5" outlineLevel="2">
      <c r="A281" s="3" t="e">
        <f>(HYPERLINK("http://www.autodoc.ru/Web/price/art/8557AGNGYVZ?analog=on","8557AGNGYVZ"))*1</f>
        <v>#VALUE!</v>
      </c>
      <c r="B281" s="1">
        <v>6960004</v>
      </c>
      <c r="C281" t="s">
        <v>319</v>
      </c>
      <c r="D281" t="s">
        <v>320</v>
      </c>
      <c r="E281" t="s">
        <v>8</v>
      </c>
    </row>
    <row r="282" spans="1:5" outlineLevel="2">
      <c r="A282" s="3" t="e">
        <f>(HYPERLINK("http://www.autodoc.ru/Web/price/art/8557AGNGYVZ1B?analog=on","8557AGNGYVZ1B"))*1</f>
        <v>#VALUE!</v>
      </c>
      <c r="B282" s="1">
        <v>6961672</v>
      </c>
      <c r="C282" t="s">
        <v>321</v>
      </c>
      <c r="D282" t="s">
        <v>322</v>
      </c>
      <c r="E282" t="s">
        <v>8</v>
      </c>
    </row>
    <row r="283" spans="1:5" outlineLevel="2">
      <c r="A283" s="3" t="e">
        <f>(HYPERLINK("http://www.autodoc.ru/Web/price/art/8557AGNGYZ?analog=on","8557AGNGYZ"))*1</f>
        <v>#VALUE!</v>
      </c>
      <c r="B283" s="1">
        <v>6967040</v>
      </c>
      <c r="C283" t="s">
        <v>323</v>
      </c>
      <c r="D283" t="s">
        <v>324</v>
      </c>
      <c r="E283" t="s">
        <v>8</v>
      </c>
    </row>
    <row r="284" spans="1:5" outlineLevel="2">
      <c r="A284" s="3" t="e">
        <f>(HYPERLINK("http://www.autodoc.ru/Web/price/art/8557BGNSAGZ?analog=on","8557BGNSAGZ"))*1</f>
        <v>#VALUE!</v>
      </c>
      <c r="B284" s="1">
        <v>6997746</v>
      </c>
      <c r="C284" t="s">
        <v>323</v>
      </c>
      <c r="D284" t="s">
        <v>325</v>
      </c>
      <c r="E284" t="s">
        <v>23</v>
      </c>
    </row>
    <row r="285" spans="1:5" outlineLevel="2">
      <c r="A285" s="3" t="e">
        <f>(HYPERLINK("http://www.autodoc.ru/Web/price/art/8557BGNSAZ?analog=on","8557BGNSAZ"))*1</f>
        <v>#VALUE!</v>
      </c>
      <c r="B285" s="1">
        <v>6998681</v>
      </c>
      <c r="C285" t="s">
        <v>323</v>
      </c>
      <c r="D285" t="s">
        <v>326</v>
      </c>
      <c r="E285" t="s">
        <v>23</v>
      </c>
    </row>
    <row r="286" spans="1:5" outlineLevel="2">
      <c r="A286" s="3" t="e">
        <f>(HYPERLINK("http://www.autodoc.ru/Web/price/art/8557LGNS4FD?analog=on","8557LGNS4FD"))*1</f>
        <v>#VALUE!</v>
      </c>
      <c r="B286" s="1">
        <v>6994685</v>
      </c>
      <c r="C286" t="s">
        <v>323</v>
      </c>
      <c r="D286" t="s">
        <v>327</v>
      </c>
      <c r="E286" t="s">
        <v>10</v>
      </c>
    </row>
    <row r="287" spans="1:5" outlineLevel="2">
      <c r="A287" s="3" t="e">
        <f>(HYPERLINK("http://www.autodoc.ru/Web/price/art/8557LGNS4RD?analog=on","8557LGNS4RD"))*1</f>
        <v>#VALUE!</v>
      </c>
      <c r="B287" s="1">
        <v>6994686</v>
      </c>
      <c r="C287" t="s">
        <v>323</v>
      </c>
      <c r="D287" t="s">
        <v>328</v>
      </c>
      <c r="E287" t="s">
        <v>10</v>
      </c>
    </row>
    <row r="288" spans="1:5" outlineLevel="2">
      <c r="A288" s="3" t="e">
        <f>(HYPERLINK("http://www.autodoc.ru/Web/price/art/8557RGNS4FD?analog=on","8557RGNS4FD"))*1</f>
        <v>#VALUE!</v>
      </c>
      <c r="B288" s="1">
        <v>6994687</v>
      </c>
      <c r="C288" t="s">
        <v>323</v>
      </c>
      <c r="D288" t="s">
        <v>329</v>
      </c>
      <c r="E288" t="s">
        <v>10</v>
      </c>
    </row>
    <row r="289" spans="1:5" outlineLevel="2">
      <c r="A289" s="3" t="e">
        <f>(HYPERLINK("http://www.autodoc.ru/Web/price/art/8557RGNS4RD?analog=on","8557RGNS4RD"))*1</f>
        <v>#VALUE!</v>
      </c>
      <c r="B289" s="1">
        <v>6994688</v>
      </c>
      <c r="C289" t="s">
        <v>323</v>
      </c>
      <c r="D289" t="s">
        <v>330</v>
      </c>
      <c r="E289" t="s">
        <v>10</v>
      </c>
    </row>
    <row r="290" spans="1:5" outlineLevel="1">
      <c r="A290" s="2">
        <v>0</v>
      </c>
      <c r="B290" s="26" t="s">
        <v>331</v>
      </c>
      <c r="C290" s="27">
        <v>0</v>
      </c>
      <c r="D290" s="27">
        <v>0</v>
      </c>
      <c r="E290" s="27">
        <v>0</v>
      </c>
    </row>
    <row r="291" spans="1:5" outlineLevel="2">
      <c r="A291" s="3" t="e">
        <f>(HYPERLINK("http://www.autodoc.ru/Web/price/art/8566AGNGYVZ?analog=on","8566AGNGYVZ"))*1</f>
        <v>#VALUE!</v>
      </c>
      <c r="B291" s="1">
        <v>6962097</v>
      </c>
      <c r="C291" t="s">
        <v>332</v>
      </c>
      <c r="D291" t="s">
        <v>333</v>
      </c>
      <c r="E291" t="s">
        <v>8</v>
      </c>
    </row>
    <row r="292" spans="1:5" outlineLevel="1">
      <c r="A292" s="2">
        <v>0</v>
      </c>
      <c r="B292" s="26" t="s">
        <v>334</v>
      </c>
      <c r="C292" s="27">
        <v>0</v>
      </c>
      <c r="D292" s="27">
        <v>0</v>
      </c>
      <c r="E292" s="27">
        <v>0</v>
      </c>
    </row>
    <row r="293" spans="1:5" outlineLevel="2">
      <c r="A293" s="3" t="e">
        <f>(HYPERLINK("http://www.autodoc.ru/Web/price/art/8565AGNGYVZ?analog=on","8565AGNGYVZ"))*1</f>
        <v>#VALUE!</v>
      </c>
      <c r="B293" s="1">
        <v>6960540</v>
      </c>
      <c r="C293" t="s">
        <v>323</v>
      </c>
      <c r="D293" t="s">
        <v>335</v>
      </c>
      <c r="E293" t="s">
        <v>8</v>
      </c>
    </row>
    <row r="294" spans="1:5" outlineLevel="2">
      <c r="A294" s="3" t="e">
        <f>(HYPERLINK("http://www.autodoc.ru/Web/price/art/8565AGNGYVZ1B?analog=on","8565AGNGYVZ1B"))*1</f>
        <v>#VALUE!</v>
      </c>
      <c r="B294" s="1">
        <v>6961264</v>
      </c>
      <c r="C294" t="s">
        <v>323</v>
      </c>
      <c r="D294" t="s">
        <v>336</v>
      </c>
      <c r="E294" t="s">
        <v>8</v>
      </c>
    </row>
    <row r="295" spans="1:5" outlineLevel="2">
      <c r="A295" s="3" t="e">
        <f>(HYPERLINK("http://www.autodoc.ru/Web/price/art/8565AGNGYZ?analog=on","8565AGNGYZ"))*1</f>
        <v>#VALUE!</v>
      </c>
      <c r="B295" s="1">
        <v>6961915</v>
      </c>
      <c r="C295" t="s">
        <v>323</v>
      </c>
      <c r="D295" t="s">
        <v>337</v>
      </c>
      <c r="E295" t="s">
        <v>8</v>
      </c>
    </row>
    <row r="296" spans="1:5" outlineLevel="2">
      <c r="A296" s="3" t="e">
        <f>(HYPERLINK("http://www.autodoc.ru/Web/price/art/8565BGNEZ?analog=on","8565BGNEZ"))*1</f>
        <v>#VALUE!</v>
      </c>
      <c r="B296" s="1">
        <v>6998682</v>
      </c>
      <c r="C296" t="s">
        <v>323</v>
      </c>
      <c r="D296" t="s">
        <v>338</v>
      </c>
      <c r="E296" t="s">
        <v>23</v>
      </c>
    </row>
    <row r="297" spans="1:5" outlineLevel="2">
      <c r="A297" s="3" t="e">
        <f>(HYPERLINK("http://www.autodoc.ru/Web/price/art/8565RGNE5RD?analog=on","8565RGNE5RD"))*1</f>
        <v>#VALUE!</v>
      </c>
      <c r="B297" s="1">
        <v>6992548</v>
      </c>
      <c r="C297" t="s">
        <v>323</v>
      </c>
      <c r="D297" t="s">
        <v>339</v>
      </c>
      <c r="E297" t="s">
        <v>10</v>
      </c>
    </row>
    <row r="298" spans="1:5" outlineLevel="1">
      <c r="A298" s="2">
        <v>0</v>
      </c>
      <c r="B298" s="26" t="s">
        <v>340</v>
      </c>
      <c r="C298" s="27">
        <v>0</v>
      </c>
      <c r="D298" s="27">
        <v>0</v>
      </c>
      <c r="E298" s="27">
        <v>0</v>
      </c>
    </row>
    <row r="299" spans="1:5" outlineLevel="2">
      <c r="A299" s="3" t="e">
        <f>(HYPERLINK("http://www.autodoc.ru/Web/price/art/8611AGAMVWZ?analog=on","8611AGAMVWZ"))*1</f>
        <v>#VALUE!</v>
      </c>
      <c r="B299" s="1">
        <v>6965662</v>
      </c>
      <c r="C299" t="s">
        <v>341</v>
      </c>
      <c r="D299" t="s">
        <v>342</v>
      </c>
      <c r="E299" t="s">
        <v>8</v>
      </c>
    </row>
    <row r="300" spans="1:5" outlineLevel="1">
      <c r="A300" s="2">
        <v>0</v>
      </c>
      <c r="B300" s="26" t="s">
        <v>343</v>
      </c>
      <c r="C300" s="27">
        <v>0</v>
      </c>
      <c r="D300" s="27">
        <v>0</v>
      </c>
      <c r="E300" s="27">
        <v>0</v>
      </c>
    </row>
    <row r="301" spans="1:5" outlineLevel="2">
      <c r="A301" s="3" t="e">
        <f>(HYPERLINK("http://www.autodoc.ru/Web/price/art/8608AGAMVWZ?analog=on","8608AGAMVWZ"))*1</f>
        <v>#VALUE!</v>
      </c>
      <c r="B301" s="1">
        <v>6965550</v>
      </c>
      <c r="C301" t="s">
        <v>341</v>
      </c>
      <c r="D301" t="s">
        <v>344</v>
      </c>
      <c r="E301" t="s">
        <v>8</v>
      </c>
    </row>
    <row r="302" spans="1:5" outlineLevel="2">
      <c r="A302" s="3" t="e">
        <f>(HYPERLINK("http://www.autodoc.ru/Web/price/art/8608LGSH5FD?analog=on","8608LGSH5FD"))*1</f>
        <v>#VALUE!</v>
      </c>
      <c r="B302" s="1">
        <v>6902173</v>
      </c>
      <c r="C302" t="s">
        <v>341</v>
      </c>
      <c r="D302" t="s">
        <v>345</v>
      </c>
      <c r="E302" t="s">
        <v>10</v>
      </c>
    </row>
    <row r="303" spans="1:5" outlineLevel="2">
      <c r="A303" s="3" t="e">
        <f>(HYPERLINK("http://www.autodoc.ru/Web/price/art/8608RGSH5FD?analog=on","8608RGSH5FD"))*1</f>
        <v>#VALUE!</v>
      </c>
      <c r="B303" s="1">
        <v>6902172</v>
      </c>
      <c r="C303" t="s">
        <v>341</v>
      </c>
      <c r="D303" t="s">
        <v>346</v>
      </c>
      <c r="E303" t="s">
        <v>10</v>
      </c>
    </row>
    <row r="304" spans="1:5" outlineLevel="1">
      <c r="A304" s="2">
        <v>0</v>
      </c>
      <c r="B304" s="26" t="s">
        <v>347</v>
      </c>
      <c r="C304" s="27">
        <v>0</v>
      </c>
      <c r="D304" s="27">
        <v>0</v>
      </c>
      <c r="E304" s="27">
        <v>0</v>
      </c>
    </row>
    <row r="305" spans="1:5" outlineLevel="2">
      <c r="A305" s="3" t="e">
        <f>(HYPERLINK("http://www.autodoc.ru/Web/price/art/8578ACCGYMVW6A?analog=on","8578ACCGYMVW6A"))*1</f>
        <v>#VALUE!</v>
      </c>
      <c r="B305" s="1">
        <v>6962481</v>
      </c>
      <c r="C305" t="s">
        <v>321</v>
      </c>
      <c r="D305" t="s">
        <v>348</v>
      </c>
      <c r="E305" t="s">
        <v>8</v>
      </c>
    </row>
    <row r="306" spans="1:5" outlineLevel="2">
      <c r="A306" s="3" t="e">
        <f>(HYPERLINK("http://www.autodoc.ru/Web/price/art/8578AGSGYMOVW?analog=on","8578AGSGYMOVW"))*1</f>
        <v>#VALUE!</v>
      </c>
      <c r="B306" s="1">
        <v>6962378</v>
      </c>
      <c r="C306" t="s">
        <v>321</v>
      </c>
      <c r="D306" t="s">
        <v>349</v>
      </c>
      <c r="E306" t="s">
        <v>8</v>
      </c>
    </row>
    <row r="307" spans="1:5" outlineLevel="2">
      <c r="A307" s="3" t="e">
        <f>(HYPERLINK("http://www.autodoc.ru/Web/price/art/8578AGSGYMVW?analog=on","8578AGSGYMVW"))*1</f>
        <v>#VALUE!</v>
      </c>
      <c r="B307" s="1">
        <v>6950007</v>
      </c>
      <c r="C307" t="s">
        <v>321</v>
      </c>
      <c r="D307" t="s">
        <v>350</v>
      </c>
      <c r="E307" t="s">
        <v>8</v>
      </c>
    </row>
    <row r="308" spans="1:5" outlineLevel="2">
      <c r="A308" s="3" t="e">
        <f>(HYPERLINK("http://www.autodoc.ru/Web/price/art/8578BCCSAKTZ?analog=on","8578BCCSAKTZ"))*1</f>
        <v>#VALUE!</v>
      </c>
      <c r="B308" s="1">
        <v>6962374</v>
      </c>
      <c r="C308" t="s">
        <v>321</v>
      </c>
      <c r="D308" t="s">
        <v>351</v>
      </c>
      <c r="E308" t="s">
        <v>23</v>
      </c>
    </row>
    <row r="309" spans="1:5" outlineLevel="2">
      <c r="A309" s="3" t="e">
        <f>(HYPERLINK("http://www.autodoc.ru/Web/price/art/8578BGSSAKZ?analog=on","8578BGSSAKZ"))*1</f>
        <v>#VALUE!</v>
      </c>
      <c r="B309" s="1">
        <v>6962914</v>
      </c>
      <c r="C309" t="s">
        <v>321</v>
      </c>
      <c r="D309" t="s">
        <v>352</v>
      </c>
      <c r="E309" t="s">
        <v>23</v>
      </c>
    </row>
    <row r="310" spans="1:5" outlineLevel="1">
      <c r="A310" s="2">
        <v>0</v>
      </c>
      <c r="B310" s="26" t="s">
        <v>353</v>
      </c>
      <c r="C310" s="27">
        <v>0</v>
      </c>
      <c r="D310" s="27">
        <v>0</v>
      </c>
      <c r="E310" s="27">
        <v>0</v>
      </c>
    </row>
    <row r="311" spans="1:5" outlineLevel="2">
      <c r="A311" s="3" t="e">
        <f>(HYPERLINK("http://www.autodoc.ru/Web/price/art/8546AGNGY?analog=on","8546AGNGY"))*1</f>
        <v>#VALUE!</v>
      </c>
      <c r="B311" s="1">
        <v>6963723</v>
      </c>
      <c r="C311" t="s">
        <v>354</v>
      </c>
      <c r="D311" t="s">
        <v>355</v>
      </c>
      <c r="E311" t="s">
        <v>8</v>
      </c>
    </row>
    <row r="312" spans="1:5" outlineLevel="2">
      <c r="A312" s="3" t="e">
        <f>(HYPERLINK("http://www.autodoc.ru/Web/price/art/8546ASMS?analog=on","8546ASMS"))*1</f>
        <v>#VALUE!</v>
      </c>
      <c r="B312" s="1">
        <v>6101168</v>
      </c>
      <c r="C312" t="s">
        <v>19</v>
      </c>
      <c r="D312" t="s">
        <v>356</v>
      </c>
      <c r="E312" t="s">
        <v>21</v>
      </c>
    </row>
    <row r="313" spans="1:5" outlineLevel="2">
      <c r="A313" s="3" t="e">
        <f>(HYPERLINK("http://www.autodoc.ru/Web/price/art/8546BCCSK?analog=on","8546BCCSK"))*1</f>
        <v>#VALUE!</v>
      </c>
      <c r="B313" s="1">
        <v>6998075</v>
      </c>
      <c r="C313" t="s">
        <v>354</v>
      </c>
      <c r="D313" t="s">
        <v>357</v>
      </c>
      <c r="E313" t="s">
        <v>23</v>
      </c>
    </row>
    <row r="314" spans="1:5" outlineLevel="1">
      <c r="A314" s="2">
        <v>0</v>
      </c>
      <c r="B314" s="26" t="s">
        <v>358</v>
      </c>
      <c r="C314" s="27">
        <v>0</v>
      </c>
      <c r="D314" s="27">
        <v>0</v>
      </c>
      <c r="E314" s="27">
        <v>0</v>
      </c>
    </row>
    <row r="315" spans="1:5" outlineLevel="2">
      <c r="A315" s="3" t="e">
        <f>(HYPERLINK("http://www.autodoc.ru/Web/price/art/8569AGSGY?analog=on","8569AGSGY"))*1</f>
        <v>#VALUE!</v>
      </c>
      <c r="B315" s="1">
        <v>6961925</v>
      </c>
      <c r="C315" t="s">
        <v>359</v>
      </c>
      <c r="D315" t="s">
        <v>360</v>
      </c>
      <c r="E315" t="s">
        <v>8</v>
      </c>
    </row>
    <row r="316" spans="1:5" outlineLevel="1">
      <c r="A316" s="2">
        <v>0</v>
      </c>
      <c r="B316" s="26" t="s">
        <v>361</v>
      </c>
      <c r="C316" s="27">
        <v>0</v>
      </c>
      <c r="D316" s="27">
        <v>0</v>
      </c>
      <c r="E316" s="27">
        <v>0</v>
      </c>
    </row>
    <row r="317" spans="1:5" outlineLevel="2">
      <c r="A317" s="3" t="e">
        <f>(HYPERLINK("http://www.autodoc.ru/Web/price/art/8593AGSGYVWZ?analog=on","8593AGSGYVWZ"))*1</f>
        <v>#VALUE!</v>
      </c>
      <c r="B317" s="1">
        <v>6962492</v>
      </c>
      <c r="C317" t="s">
        <v>290</v>
      </c>
      <c r="D317" t="s">
        <v>362</v>
      </c>
      <c r="E317" t="s">
        <v>8</v>
      </c>
    </row>
    <row r="318" spans="1:5" outlineLevel="2">
      <c r="A318" s="3" t="e">
        <f>(HYPERLINK("http://www.autodoc.ru/Web/price/art/8593LGSC2FDW?analog=on","8593LGSC2FDW"))*1</f>
        <v>#VALUE!</v>
      </c>
      <c r="B318" s="1">
        <v>6901466</v>
      </c>
      <c r="C318" t="s">
        <v>290</v>
      </c>
      <c r="D318" t="s">
        <v>363</v>
      </c>
      <c r="E318" t="s">
        <v>10</v>
      </c>
    </row>
    <row r="319" spans="1:5" outlineLevel="2">
      <c r="A319" s="3" t="e">
        <f>(HYPERLINK("http://www.autodoc.ru/Web/price/art/8593RGSC2FDW?analog=on","8593RGSC2FDW"))*1</f>
        <v>#VALUE!</v>
      </c>
      <c r="B319" s="1">
        <v>6901465</v>
      </c>
      <c r="C319" t="s">
        <v>290</v>
      </c>
      <c r="D319" t="s">
        <v>364</v>
      </c>
      <c r="E319" t="s">
        <v>10</v>
      </c>
    </row>
    <row r="320" spans="1:5" outlineLevel="1">
      <c r="A320" s="2">
        <v>0</v>
      </c>
      <c r="B320" s="26" t="s">
        <v>365</v>
      </c>
      <c r="C320" s="27">
        <v>0</v>
      </c>
      <c r="D320" s="27">
        <v>0</v>
      </c>
      <c r="E320" s="27">
        <v>0</v>
      </c>
    </row>
    <row r="321" spans="1:5" outlineLevel="2">
      <c r="A321" s="3" t="e">
        <f>(HYPERLINK("http://www.autodoc.ru/Web/price/art/8596AGSVWZ?analog=on","8596AGSVWZ"))*1</f>
        <v>#VALUE!</v>
      </c>
      <c r="B321" s="1">
        <v>6964703</v>
      </c>
      <c r="C321" t="s">
        <v>366</v>
      </c>
      <c r="D321" t="s">
        <v>367</v>
      </c>
      <c r="E321" t="s">
        <v>8</v>
      </c>
    </row>
    <row r="322" spans="1:5" outlineLevel="2">
      <c r="A322" s="3" t="e">
        <f>(HYPERLINK("http://www.autodoc.ru/Web/price/art/8596AGSGYMVWZ1P?analog=on","8596AGSGYMVWZ1P"))*1</f>
        <v>#VALUE!</v>
      </c>
      <c r="B322" s="1">
        <v>6964971</v>
      </c>
      <c r="C322" t="s">
        <v>366</v>
      </c>
      <c r="D322" t="s">
        <v>368</v>
      </c>
      <c r="E322" t="s">
        <v>8</v>
      </c>
    </row>
    <row r="323" spans="1:5" outlineLevel="2">
      <c r="A323" s="3" t="e">
        <f>(HYPERLINK("http://www.autodoc.ru/Web/price/art/8596AGAGYMVWZ1P?analog=on","8596AGAGYMVWZ1P"))*1</f>
        <v>#VALUE!</v>
      </c>
      <c r="B323" s="1">
        <v>6965976</v>
      </c>
      <c r="C323" t="s">
        <v>366</v>
      </c>
      <c r="D323" t="s">
        <v>369</v>
      </c>
      <c r="E323" t="s">
        <v>370</v>
      </c>
    </row>
    <row r="324" spans="1:5" outlineLevel="2">
      <c r="A324" s="3" t="e">
        <f>(HYPERLINK("http://www.autodoc.ru/Web/price/art/8596LGSR5RD?analog=on","8596LGSR5RD"))*1</f>
        <v>#VALUE!</v>
      </c>
      <c r="B324" s="1">
        <v>6996134</v>
      </c>
      <c r="C324" t="s">
        <v>366</v>
      </c>
      <c r="D324" t="s">
        <v>371</v>
      </c>
      <c r="E324" t="s">
        <v>10</v>
      </c>
    </row>
    <row r="325" spans="1:5" outlineLevel="2">
      <c r="A325" s="3" t="e">
        <f>(HYPERLINK("http://www.autodoc.ru/Web/price/art/8596LYPR5RD1J?analog=on","8596LYPR5RD1J"))*1</f>
        <v>#VALUE!</v>
      </c>
      <c r="B325" s="1">
        <v>6900764</v>
      </c>
      <c r="C325" t="s">
        <v>366</v>
      </c>
      <c r="D325" t="s">
        <v>372</v>
      </c>
      <c r="E325" t="s">
        <v>10</v>
      </c>
    </row>
    <row r="326" spans="1:5" outlineLevel="2">
      <c r="A326" s="3" t="e">
        <f>(HYPERLINK("http://www.autodoc.ru/Web/price/art/8596LGSR5RD1J?analog=on","8596LGSR5RD1J"))*1</f>
        <v>#VALUE!</v>
      </c>
      <c r="B326" s="1">
        <v>6900766</v>
      </c>
      <c r="C326" t="s">
        <v>366</v>
      </c>
      <c r="D326" t="s">
        <v>371</v>
      </c>
      <c r="E326" t="s">
        <v>10</v>
      </c>
    </row>
    <row r="327" spans="1:5" outlineLevel="2">
      <c r="A327" s="3" t="e">
        <f>(HYPERLINK("http://www.autodoc.ru/Web/price/art/8596LGSR5FD?analog=on","8596LGSR5FD"))*1</f>
        <v>#VALUE!</v>
      </c>
      <c r="B327" s="1">
        <v>6996132</v>
      </c>
      <c r="C327" t="s">
        <v>366</v>
      </c>
      <c r="D327" t="s">
        <v>373</v>
      </c>
      <c r="E327" t="s">
        <v>10</v>
      </c>
    </row>
    <row r="328" spans="1:5" outlineLevel="2">
      <c r="A328" s="3" t="e">
        <f>(HYPERLINK("http://www.autodoc.ru/Web/price/art/8596LGSR5RQZ1L?analog=on","8596LGSR5RQZ1L"))*1</f>
        <v>#VALUE!</v>
      </c>
      <c r="B328" s="1">
        <v>6996072</v>
      </c>
      <c r="C328" t="s">
        <v>366</v>
      </c>
      <c r="D328" t="s">
        <v>374</v>
      </c>
      <c r="E328" t="s">
        <v>10</v>
      </c>
    </row>
    <row r="329" spans="1:5" outlineLevel="2">
      <c r="A329" s="3" t="e">
        <f>(HYPERLINK("http://www.autodoc.ru/Web/price/art/8596LGSR5RQZ1M?analog=on","8596LGSR5RQZ1M"))*1</f>
        <v>#VALUE!</v>
      </c>
      <c r="B329" s="1">
        <v>6996439</v>
      </c>
      <c r="C329" t="s">
        <v>366</v>
      </c>
      <c r="D329" t="s">
        <v>375</v>
      </c>
      <c r="E329" t="s">
        <v>10</v>
      </c>
    </row>
    <row r="330" spans="1:5" outlineLevel="2">
      <c r="A330" s="3" t="e">
        <f>(HYPERLINK("http://www.autodoc.ru/Web/price/art/8596LGSR5RQAZ1L?analog=on","8596LGSR5RQAZ1L"))*1</f>
        <v>#VALUE!</v>
      </c>
      <c r="B330" s="1">
        <v>6997674</v>
      </c>
      <c r="C330" t="s">
        <v>366</v>
      </c>
      <c r="D330" t="s">
        <v>376</v>
      </c>
      <c r="E330" t="s">
        <v>10</v>
      </c>
    </row>
    <row r="331" spans="1:5" outlineLevel="2">
      <c r="A331" s="3" t="e">
        <f>(HYPERLINK("http://www.autodoc.ru/Web/price/art/8596LYPR5RQZ1L?analog=on","8596LYPR5RQZ1L"))*1</f>
        <v>#VALUE!</v>
      </c>
      <c r="B331" s="1">
        <v>6996438</v>
      </c>
      <c r="C331" t="s">
        <v>366</v>
      </c>
      <c r="D331" t="s">
        <v>377</v>
      </c>
      <c r="E331" t="s">
        <v>10</v>
      </c>
    </row>
    <row r="332" spans="1:5" outlineLevel="2">
      <c r="A332" s="3" t="e">
        <f>(HYPERLINK("http://www.autodoc.ru/Web/price/art/8596RGSR5FD?analog=on","8596RGSR5FD"))*1</f>
        <v>#VALUE!</v>
      </c>
      <c r="B332" s="1">
        <v>6996131</v>
      </c>
      <c r="C332" t="s">
        <v>366</v>
      </c>
      <c r="D332" t="s">
        <v>378</v>
      </c>
      <c r="E332" t="s">
        <v>10</v>
      </c>
    </row>
    <row r="333" spans="1:5" outlineLevel="2">
      <c r="A333" s="3" t="e">
        <f>(HYPERLINK("http://www.autodoc.ru/Web/price/art/8596RGSR5RD?analog=on","8596RGSR5RD"))*1</f>
        <v>#VALUE!</v>
      </c>
      <c r="B333" s="1">
        <v>6996133</v>
      </c>
      <c r="C333" t="s">
        <v>366</v>
      </c>
      <c r="D333" t="s">
        <v>379</v>
      </c>
      <c r="E333" t="s">
        <v>10</v>
      </c>
    </row>
    <row r="334" spans="1:5" outlineLevel="2">
      <c r="A334" s="3" t="e">
        <f>(HYPERLINK("http://www.autodoc.ru/Web/price/art/8596RYPR5RD?analog=on","8596RYPR5RD"))*1</f>
        <v>#VALUE!</v>
      </c>
      <c r="B334" s="1">
        <v>6996434</v>
      </c>
      <c r="C334" t="s">
        <v>366</v>
      </c>
      <c r="D334" t="s">
        <v>380</v>
      </c>
      <c r="E334" t="s">
        <v>10</v>
      </c>
    </row>
    <row r="335" spans="1:5" outlineLevel="2">
      <c r="A335" s="3" t="e">
        <f>(HYPERLINK("http://www.autodoc.ru/Web/price/art/8596RYPR5RD1J?analog=on","8596RYPR5RD1J"))*1</f>
        <v>#VALUE!</v>
      </c>
      <c r="B335" s="1">
        <v>6900763</v>
      </c>
      <c r="C335" t="s">
        <v>366</v>
      </c>
      <c r="D335" t="s">
        <v>381</v>
      </c>
      <c r="E335" t="s">
        <v>10</v>
      </c>
    </row>
    <row r="336" spans="1:5" outlineLevel="2">
      <c r="A336" s="3" t="e">
        <f>(HYPERLINK("http://www.autodoc.ru/Web/price/art/8596RGSR5RD1J?analog=on","8596RGSR5RD1J"))*1</f>
        <v>#VALUE!</v>
      </c>
      <c r="B336" s="1">
        <v>6900765</v>
      </c>
      <c r="C336" t="s">
        <v>366</v>
      </c>
      <c r="D336" t="s">
        <v>379</v>
      </c>
      <c r="E336" t="s">
        <v>10</v>
      </c>
    </row>
    <row r="337" spans="1:5" outlineLevel="2">
      <c r="A337" s="3" t="e">
        <f>(HYPERLINK("http://www.autodoc.ru/Web/price/art/8596RYPR5RQZ1M?analog=on","8596RYPR5RQZ1M"))*1</f>
        <v>#VALUE!</v>
      </c>
      <c r="B337" s="1">
        <v>6996442</v>
      </c>
      <c r="C337" t="s">
        <v>366</v>
      </c>
      <c r="D337" t="s">
        <v>382</v>
      </c>
      <c r="E337" t="s">
        <v>10</v>
      </c>
    </row>
    <row r="338" spans="1:5" outlineLevel="2">
      <c r="A338" s="3" t="e">
        <f>(HYPERLINK("http://www.autodoc.ru/Web/price/art/8596RGSR5RQZ1L?analog=on","8596RGSR5RQZ1L"))*1</f>
        <v>#VALUE!</v>
      </c>
      <c r="B338" s="1">
        <v>6996071</v>
      </c>
      <c r="C338" t="s">
        <v>366</v>
      </c>
      <c r="D338" t="s">
        <v>383</v>
      </c>
      <c r="E338" t="s">
        <v>10</v>
      </c>
    </row>
    <row r="339" spans="1:5" outlineLevel="2">
      <c r="A339" s="3" t="e">
        <f>(HYPERLINK("http://www.autodoc.ru/Web/price/art/8596RGSR5RQZ1M?analog=on","8596RGSR5RQZ1M"))*1</f>
        <v>#VALUE!</v>
      </c>
      <c r="B339" s="1">
        <v>6996440</v>
      </c>
      <c r="C339" t="s">
        <v>366</v>
      </c>
      <c r="D339" t="s">
        <v>384</v>
      </c>
      <c r="E339" t="s">
        <v>10</v>
      </c>
    </row>
    <row r="340" spans="1:5" outlineLevel="2">
      <c r="A340" s="3" t="e">
        <f>(HYPERLINK("http://www.autodoc.ru/Web/price/art/8596RYPR5RQZ1L?analog=on","8596RYPR5RQZ1L"))*1</f>
        <v>#VALUE!</v>
      </c>
      <c r="B340" s="1">
        <v>6996437</v>
      </c>
      <c r="C340" t="s">
        <v>366</v>
      </c>
      <c r="D340" t="s">
        <v>385</v>
      </c>
      <c r="E340" t="s">
        <v>10</v>
      </c>
    </row>
    <row r="341" spans="1:5" outlineLevel="2">
      <c r="A341" s="3" t="e">
        <f>(HYPERLINK("http://www.autodoc.ru/Web/price/art/8596BGSRAXW?analog=on","8596BGSRAXW"))*1</f>
        <v>#VALUE!</v>
      </c>
      <c r="B341" s="1">
        <v>6996065</v>
      </c>
      <c r="C341" t="s">
        <v>366</v>
      </c>
      <c r="D341" t="s">
        <v>386</v>
      </c>
      <c r="E341" t="s">
        <v>23</v>
      </c>
    </row>
    <row r="342" spans="1:5" outlineLevel="2">
      <c r="A342" s="3" t="e">
        <f>(HYPERLINK("http://www.autodoc.ru/Web/price/art/8596BYPRAXW?analog=on","8596BYPRAXW"))*1</f>
        <v>#VALUE!</v>
      </c>
      <c r="B342" s="1">
        <v>6996436</v>
      </c>
      <c r="C342" t="s">
        <v>366</v>
      </c>
      <c r="D342" t="s">
        <v>387</v>
      </c>
      <c r="E342" t="s">
        <v>23</v>
      </c>
    </row>
    <row r="343" spans="1:5" outlineLevel="1">
      <c r="A343" s="2">
        <v>0</v>
      </c>
      <c r="B343" s="26" t="s">
        <v>388</v>
      </c>
      <c r="C343" s="27">
        <v>0</v>
      </c>
      <c r="D343" s="27">
        <v>0</v>
      </c>
      <c r="E343" s="27">
        <v>0</v>
      </c>
    </row>
    <row r="344" spans="1:5" outlineLevel="2">
      <c r="A344" s="3" t="e">
        <f>(HYPERLINK("http://www.autodoc.ru/Web/price/art/8588AGSCHMVZ1B?analog=on","8588AGSCHMVZ1B"))*1</f>
        <v>#VALUE!</v>
      </c>
      <c r="B344" s="1">
        <v>6962780</v>
      </c>
      <c r="C344" t="s">
        <v>389</v>
      </c>
      <c r="D344" t="s">
        <v>390</v>
      </c>
      <c r="E344" t="s">
        <v>8</v>
      </c>
    </row>
    <row r="345" spans="1:5" outlineLevel="2">
      <c r="A345" s="3" t="e">
        <f>(HYPERLINK("http://www.autodoc.ru/Web/price/art/8588AGSGYMVZ?analog=on","8588AGSGYMVZ"))*1</f>
        <v>#VALUE!</v>
      </c>
      <c r="B345" s="1">
        <v>6961593</v>
      </c>
      <c r="C345" t="s">
        <v>389</v>
      </c>
      <c r="D345" t="s">
        <v>391</v>
      </c>
      <c r="E345" t="s">
        <v>8</v>
      </c>
    </row>
    <row r="346" spans="1:5" outlineLevel="2">
      <c r="A346" s="3" t="e">
        <f>(HYPERLINK("http://www.autodoc.ru/Web/price/art/8588ASMRL?analog=on","8588ASMRL"))*1</f>
        <v>#VALUE!</v>
      </c>
      <c r="B346" s="1">
        <v>6102634</v>
      </c>
      <c r="C346" t="s">
        <v>19</v>
      </c>
      <c r="D346" t="s">
        <v>392</v>
      </c>
      <c r="E346" t="s">
        <v>21</v>
      </c>
    </row>
    <row r="347" spans="1:5" outlineLevel="2">
      <c r="A347" s="3" t="e">
        <f>(HYPERLINK("http://www.autodoc.ru/Web/price/art/8588ASMRR?analog=on","8588ASMRR"))*1</f>
        <v>#VALUE!</v>
      </c>
      <c r="B347" s="1">
        <v>6102635</v>
      </c>
      <c r="C347" t="s">
        <v>19</v>
      </c>
      <c r="D347" t="s">
        <v>393</v>
      </c>
      <c r="E347" t="s">
        <v>21</v>
      </c>
    </row>
    <row r="348" spans="1:5" outlineLevel="2">
      <c r="A348" s="3" t="e">
        <f>(HYPERLINK("http://www.autodoc.ru/Web/price/art/8588BGSRAZ?analog=on","8588BGSRAZ"))*1</f>
        <v>#VALUE!</v>
      </c>
      <c r="B348" s="1">
        <v>6997756</v>
      </c>
      <c r="C348" t="s">
        <v>389</v>
      </c>
      <c r="D348" t="s">
        <v>394</v>
      </c>
      <c r="E348" t="s">
        <v>23</v>
      </c>
    </row>
    <row r="349" spans="1:5" outlineLevel="2">
      <c r="A349" s="3" t="e">
        <f>(HYPERLINK("http://www.autodoc.ru/Web/price/art/8588BZPRAZ?analog=on","8588BZPRAZ"))*1</f>
        <v>#VALUE!</v>
      </c>
      <c r="B349" s="1">
        <v>6997757</v>
      </c>
      <c r="C349" t="s">
        <v>389</v>
      </c>
      <c r="D349" t="s">
        <v>395</v>
      </c>
      <c r="E349" t="s">
        <v>23</v>
      </c>
    </row>
    <row r="350" spans="1:5" outlineLevel="2">
      <c r="A350" s="3" t="e">
        <f>(HYPERLINK("http://www.autodoc.ru/Web/price/art/8588LGSR5FD?analog=on","8588LGSR5FD"))*1</f>
        <v>#VALUE!</v>
      </c>
      <c r="B350" s="1">
        <v>6996568</v>
      </c>
      <c r="C350" t="s">
        <v>389</v>
      </c>
      <c r="D350" t="s">
        <v>396</v>
      </c>
      <c r="E350" t="s">
        <v>10</v>
      </c>
    </row>
    <row r="351" spans="1:5" outlineLevel="2">
      <c r="A351" s="3" t="e">
        <f>(HYPERLINK("http://www.autodoc.ru/Web/price/art/8588LGSR5RD?analog=on","8588LGSR5RD"))*1</f>
        <v>#VALUE!</v>
      </c>
      <c r="B351" s="1">
        <v>6996570</v>
      </c>
      <c r="C351" t="s">
        <v>389</v>
      </c>
      <c r="D351" t="s">
        <v>397</v>
      </c>
      <c r="E351" t="s">
        <v>10</v>
      </c>
    </row>
    <row r="352" spans="1:5" outlineLevel="2">
      <c r="A352" s="3" t="e">
        <f>(HYPERLINK("http://www.autodoc.ru/Web/price/art/8588LZPR5RD?analog=on","8588LZPR5RD"))*1</f>
        <v>#VALUE!</v>
      </c>
      <c r="B352" s="1">
        <v>6997485</v>
      </c>
      <c r="C352" t="s">
        <v>389</v>
      </c>
      <c r="D352" t="s">
        <v>398</v>
      </c>
      <c r="E352" t="s">
        <v>10</v>
      </c>
    </row>
    <row r="353" spans="1:5" outlineLevel="2">
      <c r="A353" s="3" t="e">
        <f>(HYPERLINK("http://www.autodoc.ru/Web/price/art/8588RGSR5FD?analog=on","8588RGSR5FD"))*1</f>
        <v>#VALUE!</v>
      </c>
      <c r="B353" s="1">
        <v>6996569</v>
      </c>
      <c r="C353" t="s">
        <v>389</v>
      </c>
      <c r="D353" t="s">
        <v>399</v>
      </c>
      <c r="E353" t="s">
        <v>10</v>
      </c>
    </row>
    <row r="354" spans="1:5" outlineLevel="2">
      <c r="A354" s="3" t="e">
        <f>(HYPERLINK("http://www.autodoc.ru/Web/price/art/8588RGSR5RD?analog=on","8588RGSR5RD"))*1</f>
        <v>#VALUE!</v>
      </c>
      <c r="B354" s="1">
        <v>6996571</v>
      </c>
      <c r="C354" t="s">
        <v>389</v>
      </c>
      <c r="D354" t="s">
        <v>400</v>
      </c>
      <c r="E354" t="s">
        <v>10</v>
      </c>
    </row>
    <row r="355" spans="1:5" outlineLevel="2">
      <c r="A355" s="3" t="e">
        <f>(HYPERLINK("http://www.autodoc.ru/Web/price/art/8588RZPR5RD?analog=on","8588RZPR5RD"))*1</f>
        <v>#VALUE!</v>
      </c>
      <c r="B355" s="1">
        <v>6997486</v>
      </c>
      <c r="C355" t="s">
        <v>389</v>
      </c>
      <c r="D355" t="s">
        <v>401</v>
      </c>
      <c r="E355" t="s">
        <v>10</v>
      </c>
    </row>
    <row r="356" spans="1:5" outlineLevel="1">
      <c r="A356" s="2">
        <v>0</v>
      </c>
      <c r="B356" s="26" t="s">
        <v>402</v>
      </c>
      <c r="C356" s="27">
        <v>0</v>
      </c>
      <c r="D356" s="27">
        <v>0</v>
      </c>
      <c r="E356" s="27">
        <v>0</v>
      </c>
    </row>
    <row r="357" spans="1:5" outlineLevel="2">
      <c r="A357" s="3" t="e">
        <f>(HYPERLINK("http://www.autodoc.ru/Web/price/art/8594AGSGYMVW1P?analog=on","8594AGSGYMVW1P"))*1</f>
        <v>#VALUE!</v>
      </c>
      <c r="B357" s="1">
        <v>6962495</v>
      </c>
      <c r="C357" t="s">
        <v>290</v>
      </c>
      <c r="D357" t="s">
        <v>403</v>
      </c>
      <c r="E357" t="s">
        <v>8</v>
      </c>
    </row>
    <row r="358" spans="1:5" outlineLevel="2">
      <c r="A358" s="3" t="e">
        <f>(HYPERLINK("http://www.autodoc.ru/Web/price/art/8594AGSGYVW?analog=on","8594AGSGYVW"))*1</f>
        <v>#VALUE!</v>
      </c>
      <c r="B358" s="1">
        <v>6962497</v>
      </c>
      <c r="C358" t="s">
        <v>290</v>
      </c>
      <c r="D358" t="s">
        <v>404</v>
      </c>
      <c r="E358" t="s">
        <v>8</v>
      </c>
    </row>
    <row r="359" spans="1:5" outlineLevel="1">
      <c r="A359" s="2">
        <v>0</v>
      </c>
      <c r="B359" s="26" t="s">
        <v>405</v>
      </c>
      <c r="C359" s="27">
        <v>0</v>
      </c>
      <c r="D359" s="27">
        <v>0</v>
      </c>
      <c r="E359" s="27">
        <v>0</v>
      </c>
    </row>
    <row r="360" spans="1:5" outlineLevel="2">
      <c r="A360" s="3" t="e">
        <f>(HYPERLINK("http://www.autodoc.ru/Web/price/art/8591AGSGYMVZ1P?analog=on","8591AGSGYMVZ1P"))*1</f>
        <v>#VALUE!</v>
      </c>
      <c r="B360" s="1">
        <v>6962500</v>
      </c>
      <c r="C360" t="s">
        <v>389</v>
      </c>
      <c r="D360" t="s">
        <v>406</v>
      </c>
      <c r="E360" t="s">
        <v>8</v>
      </c>
    </row>
    <row r="361" spans="1:5" outlineLevel="2">
      <c r="A361" s="3" t="e">
        <f>(HYPERLINK("http://www.autodoc.ru/Web/price/art/8591AGSGYVZ?analog=on","8591AGSGYVZ"))*1</f>
        <v>#VALUE!</v>
      </c>
      <c r="B361" s="1">
        <v>6962498</v>
      </c>
      <c r="C361" t="s">
        <v>389</v>
      </c>
      <c r="D361" t="s">
        <v>407</v>
      </c>
      <c r="E361" t="s">
        <v>8</v>
      </c>
    </row>
    <row r="362" spans="1:5" outlineLevel="2">
      <c r="A362" s="3" t="e">
        <f>(HYPERLINK("http://www.autodoc.ru/Web/price/art/8591AGSVZ?analog=on","8591AGSVZ"))*1</f>
        <v>#VALUE!</v>
      </c>
      <c r="B362" s="1">
        <v>6962499</v>
      </c>
      <c r="C362" t="s">
        <v>389</v>
      </c>
      <c r="D362" t="s">
        <v>408</v>
      </c>
      <c r="E362" t="s">
        <v>8</v>
      </c>
    </row>
    <row r="363" spans="1:5" outlineLevel="2">
      <c r="A363" s="3" t="e">
        <f>(HYPERLINK("http://www.autodoc.ru/Web/price/art/8591BGSCAJXW?analog=on","8591BGSCAJXW"))*1</f>
        <v>#VALUE!</v>
      </c>
      <c r="B363" s="1">
        <v>6901034</v>
      </c>
      <c r="C363" t="s">
        <v>389</v>
      </c>
      <c r="D363" t="s">
        <v>409</v>
      </c>
      <c r="E363" t="s">
        <v>23</v>
      </c>
    </row>
    <row r="364" spans="1:5" outlineLevel="1">
      <c r="A364" s="2">
        <v>0</v>
      </c>
      <c r="B364" s="26" t="s">
        <v>410</v>
      </c>
      <c r="C364" s="27">
        <v>0</v>
      </c>
      <c r="D364" s="27">
        <v>0</v>
      </c>
      <c r="E364" s="27">
        <v>0</v>
      </c>
    </row>
    <row r="365" spans="1:5" outlineLevel="2">
      <c r="A365" s="3" t="e">
        <f>(HYPERLINK("http://www.autodoc.ru/Web/price/art/8561AGNGYVZ1C?analog=on","8561AGNGYVZ1C"))*1</f>
        <v>#VALUE!</v>
      </c>
      <c r="B365" s="1">
        <v>6960535</v>
      </c>
      <c r="C365" t="s">
        <v>411</v>
      </c>
      <c r="D365" t="s">
        <v>412</v>
      </c>
      <c r="E365" t="s">
        <v>8</v>
      </c>
    </row>
    <row r="366" spans="1:5" outlineLevel="2">
      <c r="A366" s="3" t="e">
        <f>(HYPERLINK("http://www.autodoc.ru/Web/price/art/8561AGNGYZ1C?analog=on","8561AGNGYZ1C"))*1</f>
        <v>#VALUE!</v>
      </c>
      <c r="B366" s="1">
        <v>6960994</v>
      </c>
      <c r="C366" t="s">
        <v>411</v>
      </c>
      <c r="D366" t="s">
        <v>413</v>
      </c>
      <c r="E366" t="s">
        <v>8</v>
      </c>
    </row>
    <row r="367" spans="1:5" outlineLevel="2">
      <c r="A367" s="3" t="e">
        <f>(HYPERLINK("http://www.autodoc.ru/Web/price/art/8561LGNC2FD?analog=on","8561LGNC2FD"))*1</f>
        <v>#VALUE!</v>
      </c>
      <c r="B367" s="1">
        <v>6980784</v>
      </c>
      <c r="C367" t="s">
        <v>411</v>
      </c>
      <c r="D367" t="s">
        <v>414</v>
      </c>
      <c r="E367" t="s">
        <v>10</v>
      </c>
    </row>
    <row r="368" spans="1:5" outlineLevel="2">
      <c r="A368" s="3" t="e">
        <f>(HYPERLINK("http://www.autodoc.ru/Web/price/art/8561RGNC2FD?analog=on","8561RGNC2FD"))*1</f>
        <v>#VALUE!</v>
      </c>
      <c r="B368" s="1">
        <v>6980788</v>
      </c>
      <c r="C368" t="s">
        <v>411</v>
      </c>
      <c r="D368" t="s">
        <v>415</v>
      </c>
      <c r="E368" t="s">
        <v>10</v>
      </c>
    </row>
    <row r="369" spans="1:5" collapsed="1">
      <c r="A369" s="28" t="s">
        <v>416</v>
      </c>
      <c r="B369" s="28">
        <v>0</v>
      </c>
      <c r="C369" s="28">
        <v>0</v>
      </c>
      <c r="D369" s="28">
        <v>0</v>
      </c>
      <c r="E369" s="28">
        <v>0</v>
      </c>
    </row>
    <row r="370" spans="1:5" hidden="1" outlineLevel="1">
      <c r="A370" s="2">
        <v>0</v>
      </c>
      <c r="B370" s="26" t="s">
        <v>417</v>
      </c>
      <c r="C370" s="27">
        <v>0</v>
      </c>
      <c r="D370" s="27">
        <v>0</v>
      </c>
      <c r="E370" s="27">
        <v>0</v>
      </c>
    </row>
    <row r="371" spans="1:5" hidden="1" outlineLevel="2">
      <c r="A371" s="3" t="e">
        <f>(HYPERLINK("http://www.autodoc.ru/Web/price/art/2513ACL?analog=on","2513ACL"))*1</f>
        <v>#VALUE!</v>
      </c>
      <c r="B371" s="1">
        <v>6969971</v>
      </c>
      <c r="C371" t="s">
        <v>418</v>
      </c>
      <c r="D371" t="s">
        <v>419</v>
      </c>
      <c r="E371" t="s">
        <v>8</v>
      </c>
    </row>
    <row r="372" spans="1:5" hidden="1" outlineLevel="1">
      <c r="A372" s="2">
        <v>0</v>
      </c>
      <c r="B372" s="26" t="s">
        <v>420</v>
      </c>
      <c r="C372" s="27">
        <v>0</v>
      </c>
      <c r="D372" s="27">
        <v>0</v>
      </c>
      <c r="E372" s="27">
        <v>0</v>
      </c>
    </row>
    <row r="373" spans="1:5" hidden="1" outlineLevel="2">
      <c r="A373" s="3" t="e">
        <f>(HYPERLINK("http://www.autodoc.ru/Web/price/art/2514ACL?analog=on","2514ACL"))*1</f>
        <v>#VALUE!</v>
      </c>
      <c r="B373" s="1">
        <v>6190345</v>
      </c>
      <c r="C373" t="s">
        <v>421</v>
      </c>
      <c r="D373" t="s">
        <v>422</v>
      </c>
      <c r="E373" t="s">
        <v>8</v>
      </c>
    </row>
    <row r="374" spans="1:5" collapsed="1">
      <c r="A374" s="28" t="s">
        <v>423</v>
      </c>
      <c r="B374" s="28">
        <v>0</v>
      </c>
      <c r="C374" s="28">
        <v>0</v>
      </c>
      <c r="D374" s="28">
        <v>0</v>
      </c>
      <c r="E374" s="28">
        <v>0</v>
      </c>
    </row>
    <row r="375" spans="1:5" hidden="1" outlineLevel="1">
      <c r="A375" s="2">
        <v>0</v>
      </c>
      <c r="B375" s="26" t="s">
        <v>424</v>
      </c>
      <c r="C375" s="27">
        <v>0</v>
      </c>
      <c r="D375" s="27">
        <v>0</v>
      </c>
      <c r="E375" s="27">
        <v>0</v>
      </c>
    </row>
    <row r="376" spans="1:5" hidden="1" outlineLevel="2">
      <c r="A376" s="3" t="e">
        <f>(HYPERLINK("http://www.autodoc.ru/Web/price/art/2448AGNGNMV1B?analog=on","2448AGNGNMV1B"))*1</f>
        <v>#VALUE!</v>
      </c>
      <c r="B376" s="1">
        <v>6961277</v>
      </c>
      <c r="C376" t="s">
        <v>425</v>
      </c>
      <c r="D376" t="s">
        <v>426</v>
      </c>
      <c r="E376" t="s">
        <v>8</v>
      </c>
    </row>
    <row r="377" spans="1:5" hidden="1" outlineLevel="2">
      <c r="A377" s="3" t="e">
        <f>(HYPERLINK("http://www.autodoc.ru/Web/price/art/2448AGNGNV?analog=on","2448AGNGNV"))*1</f>
        <v>#VALUE!</v>
      </c>
      <c r="B377" s="1">
        <v>6961278</v>
      </c>
      <c r="C377" t="s">
        <v>425</v>
      </c>
      <c r="D377" t="s">
        <v>427</v>
      </c>
      <c r="E377" t="s">
        <v>8</v>
      </c>
    </row>
    <row r="378" spans="1:5" hidden="1" outlineLevel="2">
      <c r="A378" s="3" t="e">
        <f>(HYPERLINK("http://www.autodoc.ru/Web/price/art/2448AGNMV1B?analog=on","2448AGNMV1B"))*1</f>
        <v>#VALUE!</v>
      </c>
      <c r="B378" s="1">
        <v>6961279</v>
      </c>
      <c r="C378" t="s">
        <v>425</v>
      </c>
      <c r="D378" t="s">
        <v>428</v>
      </c>
      <c r="E378" t="s">
        <v>8</v>
      </c>
    </row>
    <row r="379" spans="1:5" hidden="1" outlineLevel="2">
      <c r="A379" s="3" t="e">
        <f>(HYPERLINK("http://www.autodoc.ru/Web/price/art/2448AGNV?analog=on","2448AGNV"))*1</f>
        <v>#VALUE!</v>
      </c>
      <c r="B379" s="1">
        <v>6961280</v>
      </c>
      <c r="C379" t="s">
        <v>425</v>
      </c>
      <c r="D379" t="s">
        <v>429</v>
      </c>
      <c r="E379" t="s">
        <v>8</v>
      </c>
    </row>
    <row r="380" spans="1:5" hidden="1" outlineLevel="2">
      <c r="A380" s="3" t="e">
        <f>(HYPERLINK("http://www.autodoc.ru/Web/price/art/2448ASMH?analog=on","2448ASMH"))*1</f>
        <v>#VALUE!</v>
      </c>
      <c r="B380" s="1">
        <v>6101617</v>
      </c>
      <c r="C380" t="s">
        <v>19</v>
      </c>
      <c r="D380" t="s">
        <v>430</v>
      </c>
      <c r="E380" t="s">
        <v>21</v>
      </c>
    </row>
    <row r="381" spans="1:5" hidden="1" outlineLevel="2">
      <c r="A381" s="3" t="e">
        <f>(HYPERLINK("http://www.autodoc.ru/Web/price/art/2448BGNHAB?analog=on","2448BGNHAB"))*1</f>
        <v>#VALUE!</v>
      </c>
      <c r="B381" s="1">
        <v>6997549</v>
      </c>
      <c r="C381" t="s">
        <v>425</v>
      </c>
      <c r="D381" t="s">
        <v>431</v>
      </c>
      <c r="E381" t="s">
        <v>23</v>
      </c>
    </row>
    <row r="382" spans="1:5" hidden="1" outlineLevel="2">
      <c r="A382" s="3" t="e">
        <f>(HYPERLINK("http://www.autodoc.ru/Web/price/art/2448BGNHAB1F?analog=on","2448BGNHAB1F"))*1</f>
        <v>#VALUE!</v>
      </c>
      <c r="B382" s="1">
        <v>6996480</v>
      </c>
      <c r="C382" t="s">
        <v>425</v>
      </c>
      <c r="D382" t="s">
        <v>432</v>
      </c>
      <c r="E382" t="s">
        <v>23</v>
      </c>
    </row>
    <row r="383" spans="1:5" hidden="1" outlineLevel="2">
      <c r="A383" s="3" t="e">
        <f>(HYPERLINK("http://www.autodoc.ru/Web/price/art/2448LGDH5RD?analog=on","2448LGDH5RD"))*1</f>
        <v>#VALUE!</v>
      </c>
      <c r="B383" s="1">
        <v>6996572</v>
      </c>
      <c r="C383" t="s">
        <v>425</v>
      </c>
      <c r="D383" t="s">
        <v>433</v>
      </c>
      <c r="E383" t="s">
        <v>10</v>
      </c>
    </row>
    <row r="384" spans="1:5" hidden="1" outlineLevel="2">
      <c r="A384" s="3" t="e">
        <f>(HYPERLINK("http://www.autodoc.ru/Web/price/art/2448LGDH5RV?analog=on","2448LGDH5RV"))*1</f>
        <v>#VALUE!</v>
      </c>
      <c r="B384" s="1">
        <v>6996574</v>
      </c>
      <c r="C384" t="s">
        <v>425</v>
      </c>
      <c r="D384" t="s">
        <v>434</v>
      </c>
      <c r="E384" t="s">
        <v>10</v>
      </c>
    </row>
    <row r="385" spans="1:5" hidden="1" outlineLevel="2">
      <c r="A385" s="3" t="e">
        <f>(HYPERLINK("http://www.autodoc.ru/Web/price/art/2448LGNH5FD?analog=on","2448LGNH5FD"))*1</f>
        <v>#VALUE!</v>
      </c>
      <c r="B385" s="1">
        <v>6996456</v>
      </c>
      <c r="C385" t="s">
        <v>425</v>
      </c>
      <c r="D385" t="s">
        <v>435</v>
      </c>
      <c r="E385" t="s">
        <v>10</v>
      </c>
    </row>
    <row r="386" spans="1:5" hidden="1" outlineLevel="2">
      <c r="A386" s="3" t="e">
        <f>(HYPERLINK("http://www.autodoc.ru/Web/price/art/2448LGNH5RD?analog=on","2448LGNH5RD"))*1</f>
        <v>#VALUE!</v>
      </c>
      <c r="B386" s="1">
        <v>6996457</v>
      </c>
      <c r="C386" t="s">
        <v>425</v>
      </c>
      <c r="D386" t="s">
        <v>436</v>
      </c>
      <c r="E386" t="s">
        <v>10</v>
      </c>
    </row>
    <row r="387" spans="1:5" hidden="1" outlineLevel="2">
      <c r="A387" s="3" t="e">
        <f>(HYPERLINK("http://www.autodoc.ru/Web/price/art/2448LGNH5RV?analog=on","2448LGNH5RV"))*1</f>
        <v>#VALUE!</v>
      </c>
      <c r="B387" s="1">
        <v>6996459</v>
      </c>
      <c r="C387" t="s">
        <v>425</v>
      </c>
      <c r="D387" t="s">
        <v>437</v>
      </c>
      <c r="E387" t="s">
        <v>10</v>
      </c>
    </row>
    <row r="388" spans="1:5" hidden="1" outlineLevel="2">
      <c r="A388" s="3" t="e">
        <f>(HYPERLINK("http://www.autodoc.ru/Web/price/art/2448RGDH5RD?analog=on","2448RGDH5RD"))*1</f>
        <v>#VALUE!</v>
      </c>
      <c r="B388" s="1">
        <v>6996573</v>
      </c>
      <c r="C388" t="s">
        <v>425</v>
      </c>
      <c r="D388" t="s">
        <v>438</v>
      </c>
      <c r="E388" t="s">
        <v>10</v>
      </c>
    </row>
    <row r="389" spans="1:5" hidden="1" outlineLevel="2">
      <c r="A389" s="3" t="e">
        <f>(HYPERLINK("http://www.autodoc.ru/Web/price/art/2448RGDH5RV?analog=on","2448RGDH5RV"))*1</f>
        <v>#VALUE!</v>
      </c>
      <c r="B389" s="1">
        <v>6996575</v>
      </c>
      <c r="C389" t="s">
        <v>425</v>
      </c>
      <c r="D389" t="s">
        <v>439</v>
      </c>
      <c r="E389" t="s">
        <v>10</v>
      </c>
    </row>
    <row r="390" spans="1:5" hidden="1" outlineLevel="2">
      <c r="A390" s="3" t="e">
        <f>(HYPERLINK("http://www.autodoc.ru/Web/price/art/2448RGNH5FD?analog=on","2448RGNH5FD"))*1</f>
        <v>#VALUE!</v>
      </c>
      <c r="B390" s="1">
        <v>6993861</v>
      </c>
      <c r="C390" t="s">
        <v>425</v>
      </c>
      <c r="D390" t="s">
        <v>440</v>
      </c>
      <c r="E390" t="s">
        <v>10</v>
      </c>
    </row>
    <row r="391" spans="1:5" hidden="1" outlineLevel="2">
      <c r="A391" s="3" t="e">
        <f>(HYPERLINK("http://www.autodoc.ru/Web/price/art/2448RGNH5RD?analog=on","2448RGNH5RD"))*1</f>
        <v>#VALUE!</v>
      </c>
      <c r="B391" s="1">
        <v>6993862</v>
      </c>
      <c r="C391" t="s">
        <v>425</v>
      </c>
      <c r="D391" t="s">
        <v>441</v>
      </c>
      <c r="E391" t="s">
        <v>10</v>
      </c>
    </row>
    <row r="392" spans="1:5" hidden="1" outlineLevel="2">
      <c r="A392" s="3" t="e">
        <f>(HYPERLINK("http://www.autodoc.ru/Web/price/art/2448RGNH5RV?analog=on","2448RGNH5RV"))*1</f>
        <v>#VALUE!</v>
      </c>
      <c r="B392" s="1">
        <v>6996458</v>
      </c>
      <c r="C392" t="s">
        <v>425</v>
      </c>
      <c r="D392" t="s">
        <v>442</v>
      </c>
      <c r="E392" t="s">
        <v>10</v>
      </c>
    </row>
    <row r="393" spans="1:5" hidden="1" outlineLevel="1">
      <c r="A393" s="2">
        <v>0</v>
      </c>
      <c r="B393" s="26" t="s">
        <v>443</v>
      </c>
      <c r="C393" s="27">
        <v>0</v>
      </c>
      <c r="D393" s="27">
        <v>0</v>
      </c>
      <c r="E393" s="27">
        <v>0</v>
      </c>
    </row>
    <row r="394" spans="1:5" hidden="1" outlineLevel="2">
      <c r="A394" s="3" t="e">
        <f>(HYPERLINK("http://www.autodoc.ru/Web/price/art/2421ACL?analog=on","2421ACL"))*1</f>
        <v>#VALUE!</v>
      </c>
      <c r="B394" s="1">
        <v>6967200</v>
      </c>
      <c r="C394" t="s">
        <v>444</v>
      </c>
      <c r="D394" t="s">
        <v>445</v>
      </c>
      <c r="E394" t="s">
        <v>8</v>
      </c>
    </row>
    <row r="395" spans="1:5" hidden="1" outlineLevel="2">
      <c r="A395" s="3" t="e">
        <f>(HYPERLINK("http://www.autodoc.ru/Web/price/art/2421AGN?analog=on","2421AGN"))*1</f>
        <v>#VALUE!</v>
      </c>
      <c r="B395" s="1">
        <v>6967201</v>
      </c>
      <c r="C395" t="s">
        <v>444</v>
      </c>
      <c r="D395" t="s">
        <v>446</v>
      </c>
      <c r="E395" t="s">
        <v>8</v>
      </c>
    </row>
    <row r="396" spans="1:5" hidden="1" outlineLevel="2">
      <c r="A396" s="3" t="e">
        <f>(HYPERLINK("http://www.autodoc.ru/Web/price/art/2421AGNGN?analog=on","2421AGNGN"))*1</f>
        <v>#VALUE!</v>
      </c>
      <c r="B396" s="1">
        <v>6967202</v>
      </c>
      <c r="C396" t="s">
        <v>444</v>
      </c>
      <c r="D396" t="s">
        <v>447</v>
      </c>
      <c r="E396" t="s">
        <v>8</v>
      </c>
    </row>
    <row r="397" spans="1:5" hidden="1" outlineLevel="1">
      <c r="A397" s="2">
        <v>0</v>
      </c>
      <c r="B397" s="26" t="s">
        <v>448</v>
      </c>
      <c r="C397" s="27">
        <v>0</v>
      </c>
      <c r="D397" s="27">
        <v>0</v>
      </c>
      <c r="E397" s="27">
        <v>0</v>
      </c>
    </row>
    <row r="398" spans="1:5" hidden="1" outlineLevel="2">
      <c r="A398" s="3" t="e">
        <f>(HYPERLINK("http://www.autodoc.ru/Web/price/art/2425ABZ?analog=on","2425ABZ"))*1</f>
        <v>#VALUE!</v>
      </c>
      <c r="B398" s="1">
        <v>6967217</v>
      </c>
      <c r="C398" t="s">
        <v>449</v>
      </c>
      <c r="D398" t="s">
        <v>450</v>
      </c>
      <c r="E398" t="s">
        <v>8</v>
      </c>
    </row>
    <row r="399" spans="1:5" hidden="1" outlineLevel="2">
      <c r="A399" s="3" t="e">
        <f>(HYPERLINK("http://www.autodoc.ru/Web/price/art/2425ABZBL?analog=on","2425ABZBL"))*1</f>
        <v>#VALUE!</v>
      </c>
      <c r="B399" s="1">
        <v>6967218</v>
      </c>
      <c r="C399" t="s">
        <v>449</v>
      </c>
      <c r="D399" t="s">
        <v>451</v>
      </c>
      <c r="E399" t="s">
        <v>8</v>
      </c>
    </row>
    <row r="400" spans="1:5" hidden="1" outlineLevel="2">
      <c r="A400" s="3" t="e">
        <f>(HYPERLINK("http://www.autodoc.ru/Web/price/art/2425ACL?analog=on","2425ACL"))*1</f>
        <v>#VALUE!</v>
      </c>
      <c r="B400" s="1">
        <v>6967205</v>
      </c>
      <c r="C400" t="s">
        <v>449</v>
      </c>
      <c r="D400" t="s">
        <v>452</v>
      </c>
      <c r="E400" t="s">
        <v>8</v>
      </c>
    </row>
    <row r="401" spans="1:5" hidden="1" outlineLevel="2">
      <c r="A401" s="3" t="e">
        <f>(HYPERLINK("http://www.autodoc.ru/Web/price/art/2425AGN?analog=on","2425AGN"))*1</f>
        <v>#VALUE!</v>
      </c>
      <c r="B401" s="1">
        <v>6967206</v>
      </c>
      <c r="C401" t="s">
        <v>449</v>
      </c>
      <c r="D401" t="s">
        <v>453</v>
      </c>
      <c r="E401" t="s">
        <v>8</v>
      </c>
    </row>
    <row r="402" spans="1:5" hidden="1" outlineLevel="2">
      <c r="A402" s="3" t="e">
        <f>(HYPERLINK("http://www.autodoc.ru/Web/price/art/2425AGN1C?analog=on","2425AGN1C"))*1</f>
        <v>#VALUE!</v>
      </c>
      <c r="B402" s="1">
        <v>6963688</v>
      </c>
      <c r="C402" t="s">
        <v>454</v>
      </c>
      <c r="D402" t="s">
        <v>455</v>
      </c>
      <c r="E402" t="s">
        <v>8</v>
      </c>
    </row>
    <row r="403" spans="1:5" hidden="1" outlineLevel="2">
      <c r="A403" s="3" t="e">
        <f>(HYPERLINK("http://www.autodoc.ru/Web/price/art/2425AGNBL?analog=on","2425AGNBL"))*1</f>
        <v>#VALUE!</v>
      </c>
      <c r="B403" s="1">
        <v>6967216</v>
      </c>
      <c r="C403" t="s">
        <v>449</v>
      </c>
      <c r="D403" t="s">
        <v>456</v>
      </c>
      <c r="E403" t="s">
        <v>8</v>
      </c>
    </row>
    <row r="404" spans="1:5" hidden="1" outlineLevel="2">
      <c r="A404" s="3" t="e">
        <f>(HYPERLINK("http://www.autodoc.ru/Web/price/art/2425AGNGN?analog=on","2425AGNGN"))*1</f>
        <v>#VALUE!</v>
      </c>
      <c r="B404" s="1">
        <v>6967207</v>
      </c>
      <c r="C404" t="s">
        <v>449</v>
      </c>
      <c r="D404" t="s">
        <v>457</v>
      </c>
      <c r="E404" t="s">
        <v>8</v>
      </c>
    </row>
    <row r="405" spans="1:5" hidden="1" outlineLevel="2">
      <c r="A405" s="3" t="e">
        <f>(HYPERLINK("http://www.autodoc.ru/Web/price/art/2425AGNGN1C?analog=on","2425AGNGN1C"))*1</f>
        <v>#VALUE!</v>
      </c>
      <c r="B405" s="1">
        <v>6963689</v>
      </c>
      <c r="C405" t="s">
        <v>454</v>
      </c>
      <c r="D405" t="s">
        <v>458</v>
      </c>
      <c r="E405" t="s">
        <v>8</v>
      </c>
    </row>
    <row r="406" spans="1:5" hidden="1" outlineLevel="2">
      <c r="A406" s="3" t="e">
        <f>(HYPERLINK("http://www.autodoc.ru/Web/price/art/2425ASRS?analog=on","2425ASRS"))*1</f>
        <v>#VALUE!</v>
      </c>
      <c r="B406" s="1">
        <v>6100446</v>
      </c>
      <c r="C406" t="s">
        <v>19</v>
      </c>
      <c r="D406" t="s">
        <v>459</v>
      </c>
      <c r="E406" t="s">
        <v>21</v>
      </c>
    </row>
    <row r="407" spans="1:5" hidden="1" outlineLevel="2">
      <c r="A407" s="3" t="e">
        <f>(HYPERLINK("http://www.autodoc.ru/Web/price/art/2425BCLS?analog=on","2425BCLS"))*1</f>
        <v>#VALUE!</v>
      </c>
      <c r="B407" s="1">
        <v>6991919</v>
      </c>
      <c r="C407" t="s">
        <v>449</v>
      </c>
      <c r="D407" t="s">
        <v>460</v>
      </c>
      <c r="E407" t="s">
        <v>23</v>
      </c>
    </row>
    <row r="408" spans="1:5" hidden="1" outlineLevel="2">
      <c r="A408" s="3" t="e">
        <f>(HYPERLINK("http://www.autodoc.ru/Web/price/art/2425BGNE?analog=on","2425BGNE"))*1</f>
        <v>#VALUE!</v>
      </c>
      <c r="B408" s="1">
        <v>6998695</v>
      </c>
      <c r="C408" t="s">
        <v>449</v>
      </c>
      <c r="D408" t="s">
        <v>461</v>
      </c>
      <c r="E408" t="s">
        <v>23</v>
      </c>
    </row>
    <row r="409" spans="1:5" hidden="1" outlineLevel="2">
      <c r="A409" s="3" t="e">
        <f>(HYPERLINK("http://www.autodoc.ru/Web/price/art/2425BGNS?analog=on","2425BGNS"))*1</f>
        <v>#VALUE!</v>
      </c>
      <c r="B409" s="1">
        <v>6991920</v>
      </c>
      <c r="C409" t="s">
        <v>449</v>
      </c>
      <c r="D409" t="s">
        <v>462</v>
      </c>
      <c r="E409" t="s">
        <v>23</v>
      </c>
    </row>
    <row r="410" spans="1:5" hidden="1" outlineLevel="2">
      <c r="A410" s="3" t="e">
        <f>(HYPERLINK("http://www.autodoc.ru/Web/price/art/2425LCLS4FD?analog=on","2425LCLS4FD"))*1</f>
        <v>#VALUE!</v>
      </c>
      <c r="B410" s="1">
        <v>6996628</v>
      </c>
      <c r="C410" t="s">
        <v>449</v>
      </c>
      <c r="D410" t="s">
        <v>463</v>
      </c>
      <c r="E410" t="s">
        <v>10</v>
      </c>
    </row>
    <row r="411" spans="1:5" hidden="1" outlineLevel="2">
      <c r="A411" s="3" t="e">
        <f>(HYPERLINK("http://www.autodoc.ru/Web/price/art/2425LCLS4RV?analog=on","2425LCLS4RV"))*1</f>
        <v>#VALUE!</v>
      </c>
      <c r="B411" s="1">
        <v>6996630</v>
      </c>
      <c r="C411" t="s">
        <v>449</v>
      </c>
      <c r="D411" t="s">
        <v>464</v>
      </c>
      <c r="E411" t="s">
        <v>10</v>
      </c>
    </row>
    <row r="412" spans="1:5" hidden="1" outlineLevel="2">
      <c r="A412" s="3" t="e">
        <f>(HYPERLINK("http://www.autodoc.ru/Web/price/art/2425LGNS2FD?analog=on","2425LGNS2FD"))*1</f>
        <v>#VALUE!</v>
      </c>
      <c r="B412" s="1">
        <v>6996636</v>
      </c>
      <c r="C412" t="s">
        <v>449</v>
      </c>
      <c r="D412" t="s">
        <v>465</v>
      </c>
      <c r="E412" t="s">
        <v>10</v>
      </c>
    </row>
    <row r="413" spans="1:5" hidden="1" outlineLevel="2">
      <c r="A413" s="3" t="e">
        <f>(HYPERLINK("http://www.autodoc.ru/Web/price/art/2425LGNS2FD1J?analog=on","2425LGNS2FD1J"))*1</f>
        <v>#VALUE!</v>
      </c>
      <c r="B413" s="1">
        <v>6999337</v>
      </c>
      <c r="C413" t="s">
        <v>449</v>
      </c>
      <c r="D413" t="s">
        <v>466</v>
      </c>
      <c r="E413" t="s">
        <v>10</v>
      </c>
    </row>
    <row r="414" spans="1:5" hidden="1" outlineLevel="2">
      <c r="A414" s="3" t="e">
        <f>(HYPERLINK("http://www.autodoc.ru/Web/price/art/2425LGNS4FD?analog=on","2425LGNS4FD"))*1</f>
        <v>#VALUE!</v>
      </c>
      <c r="B414" s="1">
        <v>6991902</v>
      </c>
      <c r="C414" t="s">
        <v>449</v>
      </c>
      <c r="D414" t="s">
        <v>467</v>
      </c>
      <c r="E414" t="s">
        <v>10</v>
      </c>
    </row>
    <row r="415" spans="1:5" hidden="1" outlineLevel="2">
      <c r="A415" s="3" t="e">
        <f>(HYPERLINK("http://www.autodoc.ru/Web/price/art/2425LGNS4FD1J?analog=on","2425LGNS4FD1J"))*1</f>
        <v>#VALUE!</v>
      </c>
      <c r="B415" s="1">
        <v>6991900</v>
      </c>
      <c r="C415" t="s">
        <v>468</v>
      </c>
      <c r="D415" t="s">
        <v>469</v>
      </c>
      <c r="E415" t="s">
        <v>10</v>
      </c>
    </row>
    <row r="416" spans="1:5" hidden="1" outlineLevel="2">
      <c r="A416" s="3" t="e">
        <f>(HYPERLINK("http://www.autodoc.ru/Web/price/art/2425LGNS4RV?analog=on","2425LGNS4RV"))*1</f>
        <v>#VALUE!</v>
      </c>
      <c r="B416" s="1">
        <v>6991908</v>
      </c>
      <c r="C416" t="s">
        <v>449</v>
      </c>
      <c r="D416" t="s">
        <v>470</v>
      </c>
      <c r="E416" t="s">
        <v>10</v>
      </c>
    </row>
    <row r="417" spans="1:5" hidden="1" outlineLevel="2">
      <c r="A417" s="3" t="e">
        <f>(HYPERLINK("http://www.autodoc.ru/Web/price/art/2425LGNT2FD?analog=on","2425LGNT2FD"))*1</f>
        <v>#VALUE!</v>
      </c>
      <c r="B417" s="1">
        <v>6996638</v>
      </c>
      <c r="C417" t="s">
        <v>449</v>
      </c>
      <c r="D417" t="s">
        <v>471</v>
      </c>
      <c r="E417" t="s">
        <v>10</v>
      </c>
    </row>
    <row r="418" spans="1:5" hidden="1" outlineLevel="2">
      <c r="A418" s="3" t="e">
        <f>(HYPERLINK("http://www.autodoc.ru/Web/price/art/2425RBZS4FD?analog=on","2425RBZS4FD"))*1</f>
        <v>#VALUE!</v>
      </c>
      <c r="B418" s="1">
        <v>6996623</v>
      </c>
      <c r="C418" t="s">
        <v>449</v>
      </c>
      <c r="D418" t="s">
        <v>472</v>
      </c>
      <c r="E418" t="s">
        <v>10</v>
      </c>
    </row>
    <row r="419" spans="1:5" hidden="1" outlineLevel="2">
      <c r="A419" s="3" t="e">
        <f>(HYPERLINK("http://www.autodoc.ru/Web/price/art/2425RCLS2FD?analog=on","2425RCLS2FD"))*1</f>
        <v>#VALUE!</v>
      </c>
      <c r="B419" s="1">
        <v>6996631</v>
      </c>
      <c r="C419" t="s">
        <v>449</v>
      </c>
      <c r="D419" t="s">
        <v>473</v>
      </c>
      <c r="E419" t="s">
        <v>10</v>
      </c>
    </row>
    <row r="420" spans="1:5" hidden="1" outlineLevel="2">
      <c r="A420" s="3" t="e">
        <f>(HYPERLINK("http://www.autodoc.ru/Web/price/art/2425RCLS4FD?analog=on","2425RCLS4FD"))*1</f>
        <v>#VALUE!</v>
      </c>
      <c r="B420" s="1">
        <v>6996633</v>
      </c>
      <c r="C420" t="s">
        <v>449</v>
      </c>
      <c r="D420" t="s">
        <v>474</v>
      </c>
      <c r="E420" t="s">
        <v>10</v>
      </c>
    </row>
    <row r="421" spans="1:5" hidden="1" outlineLevel="2">
      <c r="A421" s="3" t="e">
        <f>(HYPERLINK("http://www.autodoc.ru/Web/price/art/2425RCLS4RD?analog=on","2425RCLS4RD"))*1</f>
        <v>#VALUE!</v>
      </c>
      <c r="B421" s="1">
        <v>6996634</v>
      </c>
      <c r="C421" t="s">
        <v>449</v>
      </c>
      <c r="D421" t="s">
        <v>475</v>
      </c>
      <c r="E421" t="s">
        <v>10</v>
      </c>
    </row>
    <row r="422" spans="1:5" hidden="1" outlineLevel="2">
      <c r="A422" s="3" t="e">
        <f>(HYPERLINK("http://www.autodoc.ru/Web/price/art/2425RCLS4RV?analog=on","2425RCLS4RV"))*1</f>
        <v>#VALUE!</v>
      </c>
      <c r="B422" s="1">
        <v>6996635</v>
      </c>
      <c r="C422" t="s">
        <v>449</v>
      </c>
      <c r="D422" t="s">
        <v>476</v>
      </c>
      <c r="E422" t="s">
        <v>10</v>
      </c>
    </row>
    <row r="423" spans="1:5" hidden="1" outlineLevel="2">
      <c r="A423" s="3" t="e">
        <f>(HYPERLINK("http://www.autodoc.ru/Web/price/art/2425RGNS2FD1J?analog=on","2425RGNS2FD1J"))*1</f>
        <v>#VALUE!</v>
      </c>
      <c r="B423" s="1">
        <v>6999338</v>
      </c>
      <c r="C423" t="s">
        <v>449</v>
      </c>
      <c r="D423" t="s">
        <v>477</v>
      </c>
      <c r="E423" t="s">
        <v>10</v>
      </c>
    </row>
    <row r="424" spans="1:5" hidden="1" outlineLevel="2">
      <c r="A424" s="3" t="e">
        <f>(HYPERLINK("http://www.autodoc.ru/Web/price/art/2425RGNS4FD?analog=on","2425RGNS4FD"))*1</f>
        <v>#VALUE!</v>
      </c>
      <c r="B424" s="1">
        <v>6991903</v>
      </c>
      <c r="C424" t="s">
        <v>449</v>
      </c>
      <c r="D424" t="s">
        <v>478</v>
      </c>
      <c r="E424" t="s">
        <v>10</v>
      </c>
    </row>
    <row r="425" spans="1:5" hidden="1" outlineLevel="2">
      <c r="A425" s="3" t="e">
        <f>(HYPERLINK("http://www.autodoc.ru/Web/price/art/2425RGNS4FD1J?analog=on","2425RGNS4FD1J"))*1</f>
        <v>#VALUE!</v>
      </c>
      <c r="B425" s="1">
        <v>6991901</v>
      </c>
      <c r="C425" t="s">
        <v>449</v>
      </c>
      <c r="D425" t="s">
        <v>479</v>
      </c>
      <c r="E425" t="s">
        <v>10</v>
      </c>
    </row>
    <row r="426" spans="1:5" hidden="1" outlineLevel="2">
      <c r="A426" s="3" t="e">
        <f>(HYPERLINK("http://www.autodoc.ru/Web/price/art/2425RGNS4RD?analog=on","2425RGNS4RD"))*1</f>
        <v>#VALUE!</v>
      </c>
      <c r="B426" s="1">
        <v>6991907</v>
      </c>
      <c r="C426" t="s">
        <v>449</v>
      </c>
      <c r="D426" t="s">
        <v>480</v>
      </c>
      <c r="E426" t="s">
        <v>10</v>
      </c>
    </row>
    <row r="427" spans="1:5" hidden="1" outlineLevel="2">
      <c r="A427" s="3" t="e">
        <f>(HYPERLINK("http://www.autodoc.ru/Web/price/art/2425RGNS4RD1J?analog=on","2425RGNS4RD1J"))*1</f>
        <v>#VALUE!</v>
      </c>
      <c r="B427" s="1">
        <v>6991905</v>
      </c>
      <c r="C427" t="s">
        <v>449</v>
      </c>
      <c r="D427" t="s">
        <v>481</v>
      </c>
      <c r="E427" t="s">
        <v>10</v>
      </c>
    </row>
    <row r="428" spans="1:5" hidden="1" outlineLevel="2">
      <c r="A428" s="3" t="e">
        <f>(HYPERLINK("http://www.autodoc.ru/Web/price/art/2425RGNS4RV?analog=on","2425RGNS4RV"))*1</f>
        <v>#VALUE!</v>
      </c>
      <c r="B428" s="1">
        <v>6991909</v>
      </c>
      <c r="C428" t="s">
        <v>449</v>
      </c>
      <c r="D428" t="s">
        <v>482</v>
      </c>
      <c r="E428" t="s">
        <v>10</v>
      </c>
    </row>
    <row r="429" spans="1:5" hidden="1" outlineLevel="2">
      <c r="A429" s="3" t="e">
        <f>(HYPERLINK("http://www.autodoc.ru/Web/price/art/2425RGNT2FD?analog=on","2425RGNT2FD"))*1</f>
        <v>#VALUE!</v>
      </c>
      <c r="B429" s="1">
        <v>6996642</v>
      </c>
      <c r="C429" t="s">
        <v>449</v>
      </c>
      <c r="D429" t="s">
        <v>483</v>
      </c>
      <c r="E429" t="s">
        <v>10</v>
      </c>
    </row>
    <row r="430" spans="1:5" hidden="1" outlineLevel="1">
      <c r="A430" s="2">
        <v>0</v>
      </c>
      <c r="B430" s="26" t="s">
        <v>484</v>
      </c>
      <c r="C430" s="27">
        <v>0</v>
      </c>
      <c r="D430" s="27">
        <v>0</v>
      </c>
      <c r="E430" s="27">
        <v>0</v>
      </c>
    </row>
    <row r="431" spans="1:5" hidden="1" outlineLevel="2">
      <c r="A431" s="3" t="e">
        <f>(HYPERLINK("http://www.autodoc.ru/Web/price/art/2428AGNGNZ?analog=on","2428AGNGNZ"))*1</f>
        <v>#VALUE!</v>
      </c>
      <c r="B431" s="1">
        <v>6963290</v>
      </c>
      <c r="C431" t="s">
        <v>485</v>
      </c>
      <c r="D431" t="s">
        <v>486</v>
      </c>
      <c r="E431" t="s">
        <v>8</v>
      </c>
    </row>
    <row r="432" spans="1:5" hidden="1" outlineLevel="2">
      <c r="A432" s="3" t="e">
        <f>(HYPERLINK("http://www.autodoc.ru/Web/price/art/2428AGNZ?analog=on","2428AGNZ"))*1</f>
        <v>#VALUE!</v>
      </c>
      <c r="B432" s="1">
        <v>6963538</v>
      </c>
      <c r="C432" t="s">
        <v>485</v>
      </c>
      <c r="D432" t="s">
        <v>487</v>
      </c>
      <c r="E432" t="s">
        <v>8</v>
      </c>
    </row>
    <row r="433" spans="1:5" hidden="1" outlineLevel="1">
      <c r="A433" s="2">
        <v>0</v>
      </c>
      <c r="B433" s="26" t="s">
        <v>488</v>
      </c>
      <c r="C433" s="27">
        <v>0</v>
      </c>
      <c r="D433" s="27">
        <v>0</v>
      </c>
      <c r="E433" s="27">
        <v>0</v>
      </c>
    </row>
    <row r="434" spans="1:5" hidden="1" outlineLevel="2">
      <c r="A434" s="3" t="e">
        <f>(HYPERLINK("http://www.autodoc.ru/Web/price/art/2432AGNBLV?analog=on","2432AGNBLV"))*1</f>
        <v>#VALUE!</v>
      </c>
      <c r="B434" s="1">
        <v>6967308</v>
      </c>
      <c r="C434" t="s">
        <v>489</v>
      </c>
      <c r="D434" t="s">
        <v>490</v>
      </c>
      <c r="E434" t="s">
        <v>8</v>
      </c>
    </row>
    <row r="435" spans="1:5" hidden="1" outlineLevel="2">
      <c r="A435" s="3" t="e">
        <f>(HYPERLINK("http://www.autodoc.ru/Web/price/art/2432AGNGNV?analog=on","2432AGNGNV"))*1</f>
        <v>#VALUE!</v>
      </c>
      <c r="B435" s="1">
        <v>6967313</v>
      </c>
      <c r="C435" t="s">
        <v>489</v>
      </c>
      <c r="D435" t="s">
        <v>491</v>
      </c>
      <c r="E435" t="s">
        <v>8</v>
      </c>
    </row>
    <row r="436" spans="1:5" hidden="1" outlineLevel="2">
      <c r="A436" s="3" t="e">
        <f>(HYPERLINK("http://www.autodoc.ru/Web/price/art/2432AGNV?analog=on","2432AGNV"))*1</f>
        <v>#VALUE!</v>
      </c>
      <c r="B436" s="1">
        <v>6967312</v>
      </c>
      <c r="C436" t="s">
        <v>489</v>
      </c>
      <c r="D436" t="s">
        <v>492</v>
      </c>
      <c r="E436" t="s">
        <v>8</v>
      </c>
    </row>
    <row r="437" spans="1:5" hidden="1" outlineLevel="2">
      <c r="A437" s="3" t="e">
        <f>(HYPERLINK("http://www.autodoc.ru/Web/price/art/2432ASMC?analog=on","2432ASMC"))*1</f>
        <v>#VALUE!</v>
      </c>
      <c r="B437" s="1">
        <v>6100023</v>
      </c>
      <c r="C437" t="s">
        <v>19</v>
      </c>
      <c r="D437" t="s">
        <v>493</v>
      </c>
      <c r="E437" t="s">
        <v>21</v>
      </c>
    </row>
    <row r="438" spans="1:5" hidden="1" outlineLevel="2">
      <c r="A438" s="3" t="e">
        <f>(HYPERLINK("http://www.autodoc.ru/Web/price/art/2432BGNCA?analog=on","2432BGNCA"))*1</f>
        <v>#VALUE!</v>
      </c>
      <c r="B438" s="1">
        <v>6998936</v>
      </c>
      <c r="C438" t="s">
        <v>489</v>
      </c>
      <c r="D438" t="s">
        <v>494</v>
      </c>
      <c r="E438" t="s">
        <v>23</v>
      </c>
    </row>
    <row r="439" spans="1:5" hidden="1" outlineLevel="2">
      <c r="A439" s="3" t="e">
        <f>(HYPERLINK("http://www.autodoc.ru/Web/price/art/2432BGNCAB?analog=on","2432BGNCAB"))*1</f>
        <v>#VALUE!</v>
      </c>
      <c r="B439" s="1">
        <v>6998937</v>
      </c>
      <c r="C439" t="s">
        <v>489</v>
      </c>
      <c r="D439" t="s">
        <v>495</v>
      </c>
      <c r="E439" t="s">
        <v>23</v>
      </c>
    </row>
    <row r="440" spans="1:5" hidden="1" outlineLevel="2">
      <c r="A440" s="3" t="e">
        <f>(HYPERLINK("http://www.autodoc.ru/Web/price/art/2432BSMC?analog=on","2432BSMC"))*1</f>
        <v>#VALUE!</v>
      </c>
      <c r="B440" s="1">
        <v>6100430</v>
      </c>
      <c r="C440" t="s">
        <v>19</v>
      </c>
      <c r="D440" t="s">
        <v>496</v>
      </c>
      <c r="E440" t="s">
        <v>21</v>
      </c>
    </row>
    <row r="441" spans="1:5" hidden="1" outlineLevel="2">
      <c r="A441" s="3" t="e">
        <f>(HYPERLINK("http://www.autodoc.ru/Web/price/art/2432LGNC2FD?analog=on","2432LGNC2FD"))*1</f>
        <v>#VALUE!</v>
      </c>
      <c r="B441" s="1">
        <v>6994750</v>
      </c>
      <c r="C441" t="s">
        <v>497</v>
      </c>
      <c r="D441" t="s">
        <v>498</v>
      </c>
      <c r="E441" t="s">
        <v>10</v>
      </c>
    </row>
    <row r="442" spans="1:5" hidden="1" outlineLevel="2">
      <c r="A442" s="3" t="e">
        <f>(HYPERLINK("http://www.autodoc.ru/Web/price/art/2432LGNC2FD1B?analog=on","2432LGNC2FD1B"))*1</f>
        <v>#VALUE!</v>
      </c>
      <c r="B442" s="1">
        <v>6994100</v>
      </c>
      <c r="C442" t="s">
        <v>499</v>
      </c>
      <c r="D442" t="s">
        <v>500</v>
      </c>
      <c r="E442" t="s">
        <v>10</v>
      </c>
    </row>
    <row r="443" spans="1:5" hidden="1" outlineLevel="2">
      <c r="A443" s="3" t="e">
        <f>(HYPERLINK("http://www.autodoc.ru/Web/price/art/2432RGNC2FD?analog=on","2432RGNC2FD"))*1</f>
        <v>#VALUE!</v>
      </c>
      <c r="B443" s="1">
        <v>6994753</v>
      </c>
      <c r="C443" t="s">
        <v>499</v>
      </c>
      <c r="D443" t="s">
        <v>501</v>
      </c>
      <c r="E443" t="s">
        <v>10</v>
      </c>
    </row>
    <row r="444" spans="1:5" hidden="1" outlineLevel="2">
      <c r="A444" s="3" t="e">
        <f>(HYPERLINK("http://www.autodoc.ru/Web/price/art/2432RGNC2FD1B?analog=on","2432RGNC2FD1B"))*1</f>
        <v>#VALUE!</v>
      </c>
      <c r="B444" s="1">
        <v>6994101</v>
      </c>
      <c r="C444" t="s">
        <v>499</v>
      </c>
      <c r="D444" t="s">
        <v>502</v>
      </c>
      <c r="E444" t="s">
        <v>10</v>
      </c>
    </row>
    <row r="445" spans="1:5" hidden="1" outlineLevel="1">
      <c r="A445" s="2">
        <v>0</v>
      </c>
      <c r="B445" s="26" t="s">
        <v>503</v>
      </c>
      <c r="C445" s="27">
        <v>0</v>
      </c>
      <c r="D445" s="27">
        <v>0</v>
      </c>
      <c r="E445" s="27">
        <v>0</v>
      </c>
    </row>
    <row r="446" spans="1:5" hidden="1" outlineLevel="2">
      <c r="A446" s="3" t="e">
        <f>(HYPERLINK("http://www.autodoc.ru/Web/price/art/2431AGN?analog=on","2431AGN"))*1</f>
        <v>#VALUE!</v>
      </c>
      <c r="B446" s="1">
        <v>6967304</v>
      </c>
      <c r="C446" t="s">
        <v>504</v>
      </c>
      <c r="D446" t="s">
        <v>505</v>
      </c>
      <c r="E446" t="s">
        <v>8</v>
      </c>
    </row>
    <row r="447" spans="1:5" hidden="1" outlineLevel="2">
      <c r="A447" s="3" t="e">
        <f>(HYPERLINK("http://www.autodoc.ru/Web/price/art/2431AGNBL?analog=on","2431AGNBL"))*1</f>
        <v>#VALUE!</v>
      </c>
      <c r="B447" s="1">
        <v>6967306</v>
      </c>
      <c r="C447" t="s">
        <v>504</v>
      </c>
      <c r="D447" t="s">
        <v>506</v>
      </c>
      <c r="E447" t="s">
        <v>8</v>
      </c>
    </row>
    <row r="448" spans="1:5" hidden="1" outlineLevel="2">
      <c r="A448" s="3" t="e">
        <f>(HYPERLINK("http://www.autodoc.ru/Web/price/art/2431AGNBLV?analog=on","2431AGNBLV"))*1</f>
        <v>#VALUE!</v>
      </c>
      <c r="B448" s="1">
        <v>6967303</v>
      </c>
      <c r="C448" t="s">
        <v>504</v>
      </c>
      <c r="D448" t="s">
        <v>507</v>
      </c>
      <c r="E448" t="s">
        <v>8</v>
      </c>
    </row>
    <row r="449" spans="1:5" hidden="1" outlineLevel="2">
      <c r="A449" s="3" t="e">
        <f>(HYPERLINK("http://www.autodoc.ru/Web/price/art/2431AGNGN?analog=on","2431AGNGN"))*1</f>
        <v>#VALUE!</v>
      </c>
      <c r="B449" s="1">
        <v>6967305</v>
      </c>
      <c r="C449" t="s">
        <v>504</v>
      </c>
      <c r="D449" t="s">
        <v>508</v>
      </c>
      <c r="E449" t="s">
        <v>8</v>
      </c>
    </row>
    <row r="450" spans="1:5" hidden="1" outlineLevel="2">
      <c r="A450" s="3" t="e">
        <f>(HYPERLINK("http://www.autodoc.ru/Web/price/art/2431AGNGNV?analog=on","2431AGNGNV"))*1</f>
        <v>#VALUE!</v>
      </c>
      <c r="B450" s="1">
        <v>6967302</v>
      </c>
      <c r="C450" t="s">
        <v>504</v>
      </c>
      <c r="D450" t="s">
        <v>509</v>
      </c>
      <c r="E450" t="s">
        <v>8</v>
      </c>
    </row>
    <row r="451" spans="1:5" hidden="1" outlineLevel="2">
      <c r="A451" s="3" t="e">
        <f>(HYPERLINK("http://www.autodoc.ru/Web/price/art/2431AGNV?analog=on","2431AGNV"))*1</f>
        <v>#VALUE!</v>
      </c>
      <c r="B451" s="1">
        <v>6967301</v>
      </c>
      <c r="C451" t="s">
        <v>504</v>
      </c>
      <c r="D451" t="s">
        <v>510</v>
      </c>
      <c r="E451" t="s">
        <v>8</v>
      </c>
    </row>
    <row r="452" spans="1:5" hidden="1" outlineLevel="2">
      <c r="A452" s="3" t="e">
        <f>(HYPERLINK("http://www.autodoc.ru/Web/price/art/2431ASMST?analog=on","2431ASMST"))*1</f>
        <v>#VALUE!</v>
      </c>
      <c r="B452" s="1">
        <v>6100022</v>
      </c>
      <c r="C452" t="s">
        <v>19</v>
      </c>
      <c r="D452" t="s">
        <v>511</v>
      </c>
      <c r="E452" t="s">
        <v>21</v>
      </c>
    </row>
    <row r="453" spans="1:5" hidden="1" outlineLevel="2">
      <c r="A453" s="3" t="e">
        <f>(HYPERLINK("http://www.autodoc.ru/Web/price/art/2431ASCSB?analog=on","2431ASCSB"))*1</f>
        <v>#VALUE!</v>
      </c>
      <c r="B453" s="1">
        <v>6102607</v>
      </c>
      <c r="C453" t="s">
        <v>19</v>
      </c>
      <c r="D453" t="s">
        <v>512</v>
      </c>
      <c r="E453" t="s">
        <v>21</v>
      </c>
    </row>
    <row r="454" spans="1:5" hidden="1" outlineLevel="2">
      <c r="A454" s="3" t="e">
        <f>(HYPERLINK("http://www.autodoc.ru/Web/price/art/2431BGNH?analog=on","2431BGNH"))*1</f>
        <v>#VALUE!</v>
      </c>
      <c r="B454" s="1">
        <v>6998697</v>
      </c>
      <c r="C454" t="s">
        <v>499</v>
      </c>
      <c r="D454" t="s">
        <v>513</v>
      </c>
      <c r="E454" t="s">
        <v>23</v>
      </c>
    </row>
    <row r="455" spans="1:5" hidden="1" outlineLevel="2">
      <c r="A455" s="3" t="e">
        <f>(HYPERLINK("http://www.autodoc.ru/Web/price/art/2431BGNHA?analog=on","2431BGNHA"))*1</f>
        <v>#VALUE!</v>
      </c>
      <c r="B455" s="1">
        <v>6993670</v>
      </c>
      <c r="C455" t="s">
        <v>499</v>
      </c>
      <c r="D455" t="s">
        <v>514</v>
      </c>
      <c r="E455" t="s">
        <v>23</v>
      </c>
    </row>
    <row r="456" spans="1:5" hidden="1" outlineLevel="2">
      <c r="A456" s="3" t="e">
        <f>(HYPERLINK("http://www.autodoc.ru/Web/price/art/2431BGNHAB?analog=on","2431BGNHAB"))*1</f>
        <v>#VALUE!</v>
      </c>
      <c r="B456" s="1">
        <v>6980271</v>
      </c>
      <c r="C456" t="s">
        <v>499</v>
      </c>
      <c r="D456" t="s">
        <v>515</v>
      </c>
      <c r="E456" t="s">
        <v>23</v>
      </c>
    </row>
    <row r="457" spans="1:5" hidden="1" outlineLevel="2">
      <c r="A457" s="3" t="e">
        <f>(HYPERLINK("http://www.autodoc.ru/Web/price/art/2431BGNSA?analog=on","2431BGNSA"))*1</f>
        <v>#VALUE!</v>
      </c>
      <c r="B457" s="1">
        <v>6991918</v>
      </c>
      <c r="C457" t="s">
        <v>504</v>
      </c>
      <c r="D457" t="s">
        <v>516</v>
      </c>
      <c r="E457" t="s">
        <v>23</v>
      </c>
    </row>
    <row r="458" spans="1:5" hidden="1" outlineLevel="2">
      <c r="A458" s="3" t="e">
        <f>(HYPERLINK("http://www.autodoc.ru/Web/price/art/2431BGNSAB?analog=on","2431BGNSAB"))*1</f>
        <v>#VALUE!</v>
      </c>
      <c r="B458" s="1">
        <v>6991922</v>
      </c>
      <c r="C458" t="s">
        <v>504</v>
      </c>
      <c r="D458" t="s">
        <v>517</v>
      </c>
      <c r="E458" t="s">
        <v>23</v>
      </c>
    </row>
    <row r="459" spans="1:5" hidden="1" outlineLevel="2">
      <c r="A459" s="3" t="e">
        <f>(HYPERLINK("http://www.autodoc.ru/Web/price/art/2431BSMHB?analog=on","2431BSMHB"))*1</f>
        <v>#VALUE!</v>
      </c>
      <c r="B459" s="1">
        <v>6100431</v>
      </c>
      <c r="C459" t="s">
        <v>19</v>
      </c>
      <c r="D459" t="s">
        <v>518</v>
      </c>
      <c r="E459" t="s">
        <v>21</v>
      </c>
    </row>
    <row r="460" spans="1:5" hidden="1" outlineLevel="2">
      <c r="A460" s="3" t="e">
        <f>(HYPERLINK("http://www.autodoc.ru/Web/price/art/2431BSMS?analog=on","2431BSMS"))*1</f>
        <v>#VALUE!</v>
      </c>
      <c r="B460" s="1">
        <v>6101118</v>
      </c>
      <c r="C460" t="s">
        <v>19</v>
      </c>
      <c r="D460" t="s">
        <v>519</v>
      </c>
      <c r="E460" t="s">
        <v>21</v>
      </c>
    </row>
    <row r="461" spans="1:5" hidden="1" outlineLevel="2">
      <c r="A461" s="3" t="e">
        <f>(HYPERLINK("http://www.autodoc.ru/Web/price/art/2431LGNH3FD?analog=on","2431LGNH3FD"))*1</f>
        <v>#VALUE!</v>
      </c>
      <c r="B461" s="1">
        <v>6994317</v>
      </c>
      <c r="C461" t="s">
        <v>499</v>
      </c>
      <c r="D461" t="s">
        <v>520</v>
      </c>
      <c r="E461" t="s">
        <v>10</v>
      </c>
    </row>
    <row r="462" spans="1:5" hidden="1" outlineLevel="2">
      <c r="A462" s="3" t="e">
        <f>(HYPERLINK("http://www.autodoc.ru/Web/price/art/2431LGNS4FD?analog=on","2431LGNS4FD"))*1</f>
        <v>#VALUE!</v>
      </c>
      <c r="B462" s="1">
        <v>6995987</v>
      </c>
      <c r="C462" t="s">
        <v>504</v>
      </c>
      <c r="D462" t="s">
        <v>521</v>
      </c>
      <c r="E462" t="s">
        <v>10</v>
      </c>
    </row>
    <row r="463" spans="1:5" hidden="1" outlineLevel="2">
      <c r="A463" s="3" t="e">
        <f>(HYPERLINK("http://www.autodoc.ru/Web/price/art/2431LGNS4FD1A?analog=on","2431LGNS4FD1A"))*1</f>
        <v>#VALUE!</v>
      </c>
      <c r="B463" s="1">
        <v>6991910</v>
      </c>
      <c r="C463" t="s">
        <v>522</v>
      </c>
      <c r="D463" t="s">
        <v>523</v>
      </c>
      <c r="E463" t="s">
        <v>10</v>
      </c>
    </row>
    <row r="464" spans="1:5" hidden="1" outlineLevel="2">
      <c r="A464" s="3" t="e">
        <f>(HYPERLINK("http://www.autodoc.ru/Web/price/art/2431LGNS4FDW1A?analog=on","2431LGNS4FDW1A"))*1</f>
        <v>#VALUE!</v>
      </c>
      <c r="B464" s="1">
        <v>6999814</v>
      </c>
      <c r="C464" t="s">
        <v>522</v>
      </c>
      <c r="D464" t="s">
        <v>524</v>
      </c>
      <c r="E464" t="s">
        <v>10</v>
      </c>
    </row>
    <row r="465" spans="1:5" hidden="1" outlineLevel="2">
      <c r="A465" s="3" t="e">
        <f>(HYPERLINK("http://www.autodoc.ru/Web/price/art/2431LGNS4FDWX1A?analog=on","2431LGNS4FDWX1A"))*1</f>
        <v>#VALUE!</v>
      </c>
      <c r="B465" s="1">
        <v>6993051</v>
      </c>
      <c r="C465" t="s">
        <v>522</v>
      </c>
      <c r="D465" t="s">
        <v>525</v>
      </c>
      <c r="E465" t="s">
        <v>10</v>
      </c>
    </row>
    <row r="466" spans="1:5" hidden="1" outlineLevel="2">
      <c r="A466" s="3" t="e">
        <f>(HYPERLINK("http://www.autodoc.ru/Web/price/art/2431LGNS4RD?analog=on","2431LGNS4RD"))*1</f>
        <v>#VALUE!</v>
      </c>
      <c r="B466" s="1">
        <v>6991912</v>
      </c>
      <c r="C466" t="s">
        <v>504</v>
      </c>
      <c r="D466" t="s">
        <v>526</v>
      </c>
      <c r="E466" t="s">
        <v>10</v>
      </c>
    </row>
    <row r="467" spans="1:5" hidden="1" outlineLevel="2">
      <c r="A467" s="3" t="e">
        <f>(HYPERLINK("http://www.autodoc.ru/Web/price/art/2431LGNS4RV?analog=on","2431LGNS4RV"))*1</f>
        <v>#VALUE!</v>
      </c>
      <c r="B467" s="1">
        <v>6991914</v>
      </c>
      <c r="C467" t="s">
        <v>504</v>
      </c>
      <c r="D467" t="s">
        <v>527</v>
      </c>
      <c r="E467" t="s">
        <v>10</v>
      </c>
    </row>
    <row r="468" spans="1:5" hidden="1" outlineLevel="2">
      <c r="A468" s="3" t="e">
        <f>(HYPERLINK("http://www.autodoc.ru/Web/price/art/2431LGNS4RVX?analog=on","2431LGNS4RVX"))*1</f>
        <v>#VALUE!</v>
      </c>
      <c r="B468" s="1">
        <v>6991916</v>
      </c>
      <c r="C468" t="s">
        <v>504</v>
      </c>
      <c r="D468" t="s">
        <v>528</v>
      </c>
      <c r="E468" t="s">
        <v>10</v>
      </c>
    </row>
    <row r="469" spans="1:5" hidden="1" outlineLevel="2">
      <c r="A469" s="3" t="e">
        <f>(HYPERLINK("http://www.autodoc.ru/Web/price/art/2431RGNH3FD?analog=on","2431RGNH3FD"))*1</f>
        <v>#VALUE!</v>
      </c>
      <c r="B469" s="1">
        <v>6994318</v>
      </c>
      <c r="C469" t="s">
        <v>499</v>
      </c>
      <c r="D469" t="s">
        <v>529</v>
      </c>
      <c r="E469" t="s">
        <v>10</v>
      </c>
    </row>
    <row r="470" spans="1:5" hidden="1" outlineLevel="2">
      <c r="A470" s="3" t="e">
        <f>(HYPERLINK("http://www.autodoc.ru/Web/price/art/2431RGNS4FD?analog=on","2431RGNS4FD"))*1</f>
        <v>#VALUE!</v>
      </c>
      <c r="B470" s="1">
        <v>6995186</v>
      </c>
      <c r="C470" t="s">
        <v>504</v>
      </c>
      <c r="D470" t="s">
        <v>530</v>
      </c>
      <c r="E470" t="s">
        <v>10</v>
      </c>
    </row>
    <row r="471" spans="1:5" hidden="1" outlineLevel="2">
      <c r="A471" s="3" t="e">
        <f>(HYPERLINK("http://www.autodoc.ru/Web/price/art/2431RGNS4FD1A?analog=on","2431RGNS4FD1A"))*1</f>
        <v>#VALUE!</v>
      </c>
      <c r="B471" s="1">
        <v>6991911</v>
      </c>
      <c r="C471" t="s">
        <v>522</v>
      </c>
      <c r="D471" t="s">
        <v>531</v>
      </c>
      <c r="E471" t="s">
        <v>10</v>
      </c>
    </row>
    <row r="472" spans="1:5" hidden="1" outlineLevel="2">
      <c r="A472" s="3" t="e">
        <f>(HYPERLINK("http://www.autodoc.ru/Web/price/art/2431RGNS4FDW1A?analog=on","2431RGNS4FDW1A"))*1</f>
        <v>#VALUE!</v>
      </c>
      <c r="B472" s="1">
        <v>6999816</v>
      </c>
      <c r="C472" t="s">
        <v>522</v>
      </c>
      <c r="D472" t="s">
        <v>532</v>
      </c>
      <c r="E472" t="s">
        <v>10</v>
      </c>
    </row>
    <row r="473" spans="1:5" hidden="1" outlineLevel="2">
      <c r="A473" s="3" t="e">
        <f>(HYPERLINK("http://www.autodoc.ru/Web/price/art/2431RGNS4FDWX1A?analog=on","2431RGNS4FDWX1A"))*1</f>
        <v>#VALUE!</v>
      </c>
      <c r="B473" s="1">
        <v>6993053</v>
      </c>
      <c r="C473" t="s">
        <v>522</v>
      </c>
      <c r="D473" t="s">
        <v>533</v>
      </c>
      <c r="E473" t="s">
        <v>10</v>
      </c>
    </row>
    <row r="474" spans="1:5" hidden="1" outlineLevel="2">
      <c r="A474" s="3" t="e">
        <f>(HYPERLINK("http://www.autodoc.ru/Web/price/art/2431RGNS4RD?analog=on","2431RGNS4RD"))*1</f>
        <v>#VALUE!</v>
      </c>
      <c r="B474" s="1">
        <v>6991913</v>
      </c>
      <c r="C474" t="s">
        <v>504</v>
      </c>
      <c r="D474" t="s">
        <v>534</v>
      </c>
      <c r="E474" t="s">
        <v>10</v>
      </c>
    </row>
    <row r="475" spans="1:5" hidden="1" outlineLevel="2">
      <c r="A475" s="3" t="e">
        <f>(HYPERLINK("http://www.autodoc.ru/Web/price/art/2431RGNS4RV?analog=on","2431RGNS4RV"))*1</f>
        <v>#VALUE!</v>
      </c>
      <c r="B475" s="1">
        <v>6991915</v>
      </c>
      <c r="C475" t="s">
        <v>504</v>
      </c>
      <c r="D475" t="s">
        <v>535</v>
      </c>
      <c r="E475" t="s">
        <v>10</v>
      </c>
    </row>
    <row r="476" spans="1:5" hidden="1" outlineLevel="2">
      <c r="A476" s="3" t="e">
        <f>(HYPERLINK("http://www.autodoc.ru/Web/price/art/2431RGNS4RVX?analog=on","2431RGNS4RVX"))*1</f>
        <v>#VALUE!</v>
      </c>
      <c r="B476" s="1">
        <v>6991917</v>
      </c>
      <c r="C476" t="s">
        <v>504</v>
      </c>
      <c r="D476" t="s">
        <v>536</v>
      </c>
      <c r="E476" t="s">
        <v>10</v>
      </c>
    </row>
    <row r="477" spans="1:5" hidden="1" outlineLevel="1">
      <c r="A477" s="2">
        <v>0</v>
      </c>
      <c r="B477" s="26" t="s">
        <v>537</v>
      </c>
      <c r="C477" s="27">
        <v>0</v>
      </c>
      <c r="D477" s="27">
        <v>0</v>
      </c>
      <c r="E477" s="27">
        <v>0</v>
      </c>
    </row>
    <row r="478" spans="1:5" hidden="1" outlineLevel="2">
      <c r="A478" s="3" t="e">
        <f>(HYPERLINK("http://www.autodoc.ru/Web/price/art/2437AGNGNMV1B?analog=on","2437AGNGNMV1B"))*1</f>
        <v>#VALUE!</v>
      </c>
      <c r="B478" s="1">
        <v>6965199</v>
      </c>
      <c r="C478" t="s">
        <v>538</v>
      </c>
      <c r="D478" t="s">
        <v>539</v>
      </c>
      <c r="E478" t="s">
        <v>8</v>
      </c>
    </row>
    <row r="479" spans="1:5" hidden="1" outlineLevel="2">
      <c r="A479" s="3" t="e">
        <f>(HYPERLINK("http://www.autodoc.ru/Web/price/art/2437AGNGNMV6T?analog=on","2437AGNGNMV6T"))*1</f>
        <v>#VALUE!</v>
      </c>
      <c r="B479" s="1">
        <v>6965196</v>
      </c>
      <c r="C479" t="s">
        <v>540</v>
      </c>
      <c r="D479" t="s">
        <v>541</v>
      </c>
      <c r="E479" t="s">
        <v>8</v>
      </c>
    </row>
    <row r="480" spans="1:5" hidden="1" outlineLevel="2">
      <c r="A480" s="3" t="e">
        <f>(HYPERLINK("http://www.autodoc.ru/Web/price/art/2437AGNGNV?analog=on","2437AGNGNV"))*1</f>
        <v>#VALUE!</v>
      </c>
      <c r="B480" s="1">
        <v>6960978</v>
      </c>
      <c r="C480" t="s">
        <v>538</v>
      </c>
      <c r="D480" t="s">
        <v>542</v>
      </c>
      <c r="E480" t="s">
        <v>8</v>
      </c>
    </row>
    <row r="481" spans="1:5" hidden="1" outlineLevel="2">
      <c r="A481" s="3" t="e">
        <f>(HYPERLINK("http://www.autodoc.ru/Web/price/art/2437AGNV?analog=on","2437AGNV"))*1</f>
        <v>#VALUE!</v>
      </c>
      <c r="B481" s="1">
        <v>6968992</v>
      </c>
      <c r="C481" t="s">
        <v>538</v>
      </c>
      <c r="D481" t="s">
        <v>543</v>
      </c>
      <c r="E481" t="s">
        <v>8</v>
      </c>
    </row>
    <row r="482" spans="1:5" hidden="1" outlineLevel="2">
      <c r="A482" s="3" t="e">
        <f>(HYPERLINK("http://www.autodoc.ru/Web/price/art/2437ASMC?analog=on","2437ASMC"))*1</f>
        <v>#VALUE!</v>
      </c>
      <c r="B482" s="1">
        <v>6100334</v>
      </c>
      <c r="C482" t="s">
        <v>19</v>
      </c>
      <c r="D482" t="s">
        <v>544</v>
      </c>
      <c r="E482" t="s">
        <v>21</v>
      </c>
    </row>
    <row r="483" spans="1:5" hidden="1" outlineLevel="2">
      <c r="A483" s="3" t="e">
        <f>(HYPERLINK("http://www.autodoc.ru/Web/price/art/2437BGNCABGQ?analog=on","2437BGNCABGQ"))*1</f>
        <v>#VALUE!</v>
      </c>
      <c r="B483" s="1">
        <v>6999482</v>
      </c>
      <c r="C483" t="s">
        <v>538</v>
      </c>
      <c r="D483" t="s">
        <v>545</v>
      </c>
      <c r="E483" t="s">
        <v>23</v>
      </c>
    </row>
    <row r="484" spans="1:5" hidden="1" outlineLevel="2">
      <c r="A484" s="3" t="e">
        <f>(HYPERLINK("http://www.autodoc.ru/Web/price/art/2437BSMC?analog=on","2437BSMC"))*1</f>
        <v>#VALUE!</v>
      </c>
      <c r="B484" s="1">
        <v>6101336</v>
      </c>
      <c r="C484" t="s">
        <v>19</v>
      </c>
      <c r="D484" t="s">
        <v>546</v>
      </c>
      <c r="E484" t="s">
        <v>21</v>
      </c>
    </row>
    <row r="485" spans="1:5" hidden="1" outlineLevel="2">
      <c r="A485" s="3" t="e">
        <f>(HYPERLINK("http://www.autodoc.ru/Web/price/art/2437LGNC2FD?analog=on","2437LGNC2FD"))*1</f>
        <v>#VALUE!</v>
      </c>
      <c r="B485" s="1">
        <v>6997547</v>
      </c>
      <c r="C485" t="s">
        <v>538</v>
      </c>
      <c r="D485" t="s">
        <v>547</v>
      </c>
      <c r="E485" t="s">
        <v>10</v>
      </c>
    </row>
    <row r="486" spans="1:5" hidden="1" outlineLevel="2">
      <c r="A486" s="3" t="e">
        <f>(HYPERLINK("http://www.autodoc.ru/Web/price/art/2437LGNC2RQOW?analog=on","2437LGNC2RQOW"))*1</f>
        <v>#VALUE!</v>
      </c>
      <c r="B486" s="1">
        <v>6990163</v>
      </c>
      <c r="C486" t="s">
        <v>538</v>
      </c>
      <c r="D486" t="s">
        <v>548</v>
      </c>
      <c r="E486" t="s">
        <v>10</v>
      </c>
    </row>
    <row r="487" spans="1:5" hidden="1" outlineLevel="2">
      <c r="A487" s="3" t="e">
        <f>(HYPERLINK("http://www.autodoc.ru/Web/price/art/2437RGNC2FD?analog=on","2437RGNC2FD"))*1</f>
        <v>#VALUE!</v>
      </c>
      <c r="B487" s="1">
        <v>6993860</v>
      </c>
      <c r="C487" t="s">
        <v>538</v>
      </c>
      <c r="D487" t="s">
        <v>549</v>
      </c>
      <c r="E487" t="s">
        <v>10</v>
      </c>
    </row>
    <row r="488" spans="1:5" hidden="1" outlineLevel="2">
      <c r="A488" s="3" t="e">
        <f>(HYPERLINK("http://www.autodoc.ru/Web/price/art/2437RGNC2RQOW?analog=on","2437RGNC2RQOW"))*1</f>
        <v>#VALUE!</v>
      </c>
      <c r="B488" s="1">
        <v>6990162</v>
      </c>
      <c r="C488" t="s">
        <v>538</v>
      </c>
      <c r="D488" t="s">
        <v>550</v>
      </c>
      <c r="E488" t="s">
        <v>10</v>
      </c>
    </row>
    <row r="489" spans="1:5" hidden="1" outlineLevel="1">
      <c r="A489" s="2">
        <v>0</v>
      </c>
      <c r="B489" s="26" t="s">
        <v>551</v>
      </c>
      <c r="C489" s="27">
        <v>0</v>
      </c>
      <c r="D489" s="27">
        <v>0</v>
      </c>
      <c r="E489" s="27">
        <v>0</v>
      </c>
    </row>
    <row r="490" spans="1:5" hidden="1" outlineLevel="2">
      <c r="A490" s="3" t="e">
        <f>(HYPERLINK("http://www.autodoc.ru/Web/price/art/2436AGNBLMV1B?analog=on","2436AGNBLMV1B"))*1</f>
        <v>#VALUE!</v>
      </c>
      <c r="B490" s="1">
        <v>6961064</v>
      </c>
      <c r="C490" t="s">
        <v>552</v>
      </c>
      <c r="D490" t="s">
        <v>553</v>
      </c>
      <c r="E490" t="s">
        <v>8</v>
      </c>
    </row>
    <row r="491" spans="1:5" hidden="1" outlineLevel="2">
      <c r="A491" s="3" t="e">
        <f>(HYPERLINK("http://www.autodoc.ru/Web/price/art/2436AGNBLMV6T?analog=on","2436AGNBLMV6T"))*1</f>
        <v>#VALUE!</v>
      </c>
      <c r="B491" s="1">
        <v>6962504</v>
      </c>
      <c r="C491" t="s">
        <v>554</v>
      </c>
      <c r="D491" t="s">
        <v>555</v>
      </c>
      <c r="E491" t="s">
        <v>8</v>
      </c>
    </row>
    <row r="492" spans="1:5" hidden="1" outlineLevel="2">
      <c r="A492" s="3" t="e">
        <f>(HYPERLINK("http://www.autodoc.ru/Web/price/art/2436AGNBLV?analog=on","2436AGNBLV"))*1</f>
        <v>#VALUE!</v>
      </c>
      <c r="B492" s="1">
        <v>6961065</v>
      </c>
      <c r="C492" t="s">
        <v>552</v>
      </c>
      <c r="D492" t="s">
        <v>556</v>
      </c>
      <c r="E492" t="s">
        <v>8</v>
      </c>
    </row>
    <row r="493" spans="1:5" hidden="1" outlineLevel="2">
      <c r="A493" s="3" t="e">
        <f>(HYPERLINK("http://www.autodoc.ru/Web/price/art/2436AGNGNMV1B?analog=on","2436AGNGNMV1B"))*1</f>
        <v>#VALUE!</v>
      </c>
      <c r="B493" s="1">
        <v>6963256</v>
      </c>
      <c r="C493" t="s">
        <v>552</v>
      </c>
      <c r="D493" t="s">
        <v>557</v>
      </c>
      <c r="E493" t="s">
        <v>8</v>
      </c>
    </row>
    <row r="494" spans="1:5" hidden="1" outlineLevel="2">
      <c r="A494" s="3" t="e">
        <f>(HYPERLINK("http://www.autodoc.ru/Web/price/art/2436AGNGNMV6T?analog=on","2436AGNGNMV6T"))*1</f>
        <v>#VALUE!</v>
      </c>
      <c r="B494" s="1">
        <v>6960934</v>
      </c>
      <c r="C494" t="s">
        <v>554</v>
      </c>
      <c r="D494" t="s">
        <v>558</v>
      </c>
      <c r="E494" t="s">
        <v>8</v>
      </c>
    </row>
    <row r="495" spans="1:5" hidden="1" outlineLevel="2">
      <c r="A495" s="3" t="e">
        <f>(HYPERLINK("http://www.autodoc.ru/Web/price/art/2436AGNGNV?analog=on","2436AGNGNV"))*1</f>
        <v>#VALUE!</v>
      </c>
      <c r="B495" s="1">
        <v>6963294</v>
      </c>
      <c r="C495" t="s">
        <v>552</v>
      </c>
      <c r="D495" t="s">
        <v>559</v>
      </c>
      <c r="E495" t="s">
        <v>8</v>
      </c>
    </row>
    <row r="496" spans="1:5" hidden="1" outlineLevel="2">
      <c r="A496" s="3" t="e">
        <f>(HYPERLINK("http://www.autodoc.ru/Web/price/art/2436AGNMV1B?analog=on","2436AGNMV1B"))*1</f>
        <v>#VALUE!</v>
      </c>
      <c r="B496" s="1">
        <v>6963257</v>
      </c>
      <c r="C496" t="s">
        <v>552</v>
      </c>
      <c r="D496" t="s">
        <v>560</v>
      </c>
      <c r="E496" t="s">
        <v>8</v>
      </c>
    </row>
    <row r="497" spans="1:5" hidden="1" outlineLevel="2">
      <c r="A497" s="3" t="e">
        <f>(HYPERLINK("http://www.autodoc.ru/Web/price/art/2436AGNMV6T?analog=on","2436AGNMV6T"))*1</f>
        <v>#VALUE!</v>
      </c>
      <c r="B497" s="1">
        <v>6960935</v>
      </c>
      <c r="C497" t="s">
        <v>554</v>
      </c>
      <c r="D497" t="s">
        <v>561</v>
      </c>
      <c r="E497" t="s">
        <v>8</v>
      </c>
    </row>
    <row r="498" spans="1:5" hidden="1" outlineLevel="2">
      <c r="A498" s="3" t="e">
        <f>(HYPERLINK("http://www.autodoc.ru/Web/price/art/2436AGNV?analog=on","2436AGNV"))*1</f>
        <v>#VALUE!</v>
      </c>
      <c r="B498" s="1">
        <v>6963692</v>
      </c>
      <c r="C498" t="s">
        <v>552</v>
      </c>
      <c r="D498" t="s">
        <v>562</v>
      </c>
      <c r="E498" t="s">
        <v>8</v>
      </c>
    </row>
    <row r="499" spans="1:5" hidden="1" outlineLevel="2">
      <c r="A499" s="3" t="e">
        <f>(HYPERLINK("http://www.autodoc.ru/Web/price/art/2436ASMS?analog=on","2436ASMS"))*1</f>
        <v>#VALUE!</v>
      </c>
      <c r="B499" s="1">
        <v>6100026</v>
      </c>
      <c r="C499" t="s">
        <v>19</v>
      </c>
      <c r="D499" t="s">
        <v>563</v>
      </c>
      <c r="E499" t="s">
        <v>21</v>
      </c>
    </row>
    <row r="500" spans="1:5" hidden="1" outlineLevel="2">
      <c r="A500" s="3" t="e">
        <f>(HYPERLINK("http://www.autodoc.ru/Web/price/art/2436BGNSABJW1K?analog=on","2436BGNSABJW1K"))*1</f>
        <v>#VALUE!</v>
      </c>
      <c r="B500" s="1">
        <v>6999479</v>
      </c>
      <c r="C500" t="s">
        <v>552</v>
      </c>
      <c r="D500" t="s">
        <v>564</v>
      </c>
      <c r="E500" t="s">
        <v>23</v>
      </c>
    </row>
    <row r="501" spans="1:5" hidden="1" outlineLevel="2">
      <c r="A501" s="3" t="e">
        <f>(HYPERLINK("http://www.autodoc.ru/Web/price/art/2436BGNSABW?analog=on","2436BGNSABW"))*1</f>
        <v>#VALUE!</v>
      </c>
      <c r="B501" s="1">
        <v>6998700</v>
      </c>
      <c r="C501" t="s">
        <v>552</v>
      </c>
      <c r="D501" t="s">
        <v>565</v>
      </c>
      <c r="E501" t="s">
        <v>23</v>
      </c>
    </row>
    <row r="502" spans="1:5" hidden="1" outlineLevel="2">
      <c r="A502" s="3" t="e">
        <f>(HYPERLINK("http://www.autodoc.ru/Web/price/art/2436BSMS?analog=on","2436BSMS"))*1</f>
        <v>#VALUE!</v>
      </c>
      <c r="B502" s="1">
        <v>6100428</v>
      </c>
      <c r="C502" t="s">
        <v>19</v>
      </c>
      <c r="D502" t="s">
        <v>566</v>
      </c>
      <c r="E502" t="s">
        <v>21</v>
      </c>
    </row>
    <row r="503" spans="1:5" hidden="1" outlineLevel="2">
      <c r="A503" s="3" t="e">
        <f>(HYPERLINK("http://www.autodoc.ru/Web/price/art/2436LGNS4FD?analog=on","2436LGNS4FD"))*1</f>
        <v>#VALUE!</v>
      </c>
      <c r="B503" s="1">
        <v>6995519</v>
      </c>
      <c r="C503" t="s">
        <v>552</v>
      </c>
      <c r="D503" t="s">
        <v>567</v>
      </c>
      <c r="E503" t="s">
        <v>10</v>
      </c>
    </row>
    <row r="504" spans="1:5" hidden="1" outlineLevel="2">
      <c r="A504" s="3" t="e">
        <f>(HYPERLINK("http://www.autodoc.ru/Web/price/art/2436LGNS4RD?analog=on","2436LGNS4RD"))*1</f>
        <v>#VALUE!</v>
      </c>
      <c r="B504" s="1">
        <v>6995520</v>
      </c>
      <c r="C504" t="s">
        <v>552</v>
      </c>
      <c r="D504" t="s">
        <v>568</v>
      </c>
      <c r="E504" t="s">
        <v>10</v>
      </c>
    </row>
    <row r="505" spans="1:5" hidden="1" outlineLevel="2">
      <c r="A505" s="3" t="e">
        <f>(HYPERLINK("http://www.autodoc.ru/Web/price/art/2436LGNS4RV?analog=on","2436LGNS4RV"))*1</f>
        <v>#VALUE!</v>
      </c>
      <c r="B505" s="1">
        <v>6995652</v>
      </c>
      <c r="C505" t="s">
        <v>552</v>
      </c>
      <c r="D505" t="s">
        <v>569</v>
      </c>
      <c r="E505" t="s">
        <v>10</v>
      </c>
    </row>
    <row r="506" spans="1:5" hidden="1" outlineLevel="2">
      <c r="A506" s="3" t="e">
        <f>(HYPERLINK("http://www.autodoc.ru/Web/price/art/2436RGNS4FD?analog=on","2436RGNS4FD"))*1</f>
        <v>#VALUE!</v>
      </c>
      <c r="B506" s="1">
        <v>6995521</v>
      </c>
      <c r="C506" t="s">
        <v>552</v>
      </c>
      <c r="D506" t="s">
        <v>570</v>
      </c>
      <c r="E506" t="s">
        <v>10</v>
      </c>
    </row>
    <row r="507" spans="1:5" hidden="1" outlineLevel="2">
      <c r="A507" s="3" t="e">
        <f>(HYPERLINK("http://www.autodoc.ru/Web/price/art/2436RGNS4RD?analog=on","2436RGNS4RD"))*1</f>
        <v>#VALUE!</v>
      </c>
      <c r="B507" s="1">
        <v>6995522</v>
      </c>
      <c r="C507" t="s">
        <v>552</v>
      </c>
      <c r="D507" t="s">
        <v>571</v>
      </c>
      <c r="E507" t="s">
        <v>10</v>
      </c>
    </row>
    <row r="508" spans="1:5" hidden="1" outlineLevel="2">
      <c r="A508" s="3" t="e">
        <f>(HYPERLINK("http://www.autodoc.ru/Web/price/art/2436RGNS4RV?analog=on","2436RGNS4RV"))*1</f>
        <v>#VALUE!</v>
      </c>
      <c r="B508" s="1">
        <v>6995653</v>
      </c>
      <c r="C508" t="s">
        <v>552</v>
      </c>
      <c r="D508" t="s">
        <v>572</v>
      </c>
      <c r="E508" t="s">
        <v>10</v>
      </c>
    </row>
    <row r="509" spans="1:5" hidden="1" outlineLevel="1">
      <c r="A509" s="2">
        <v>0</v>
      </c>
      <c r="B509" s="26" t="s">
        <v>573</v>
      </c>
      <c r="C509" s="27">
        <v>0</v>
      </c>
      <c r="D509" s="27">
        <v>0</v>
      </c>
      <c r="E509" s="27">
        <v>0</v>
      </c>
    </row>
    <row r="510" spans="1:5" hidden="1" outlineLevel="2">
      <c r="A510" s="3" t="e">
        <f>(HYPERLINK("http://www.autodoc.ru/Web/price/art/2442AGSGNMV1B?analog=on","2442AGSGNMV1B"))*1</f>
        <v>#VALUE!</v>
      </c>
      <c r="B510" s="1">
        <v>6961934</v>
      </c>
      <c r="C510" t="s">
        <v>554</v>
      </c>
      <c r="D510" t="s">
        <v>574</v>
      </c>
      <c r="E510" t="s">
        <v>8</v>
      </c>
    </row>
    <row r="511" spans="1:5" hidden="1" outlineLevel="2">
      <c r="A511" s="3" t="e">
        <f>(HYPERLINK("http://www.autodoc.ru/Web/price/art/2442AGSGNMV6T?analog=on","2442AGSGNMV6T"))*1</f>
        <v>#VALUE!</v>
      </c>
      <c r="B511" s="1">
        <v>6960991</v>
      </c>
      <c r="C511" t="s">
        <v>554</v>
      </c>
      <c r="D511" t="s">
        <v>575</v>
      </c>
      <c r="E511" t="s">
        <v>8</v>
      </c>
    </row>
    <row r="512" spans="1:5" hidden="1" outlineLevel="2">
      <c r="A512" s="3" t="e">
        <f>(HYPERLINK("http://www.autodoc.ru/Web/price/art/2442AGSGNPV1B?analog=on","2442AGSGNPV1B"))*1</f>
        <v>#VALUE!</v>
      </c>
      <c r="B512" s="1">
        <v>6962934</v>
      </c>
      <c r="C512" t="s">
        <v>554</v>
      </c>
      <c r="D512" t="s">
        <v>576</v>
      </c>
      <c r="E512" t="s">
        <v>8</v>
      </c>
    </row>
    <row r="513" spans="1:5" hidden="1" outlineLevel="2">
      <c r="A513" s="3" t="e">
        <f>(HYPERLINK("http://www.autodoc.ru/Web/price/art/2442AGSGNV?analog=on","2442AGSGNV"))*1</f>
        <v>#VALUE!</v>
      </c>
      <c r="B513" s="1">
        <v>6960836</v>
      </c>
      <c r="C513" t="s">
        <v>554</v>
      </c>
      <c r="D513" t="s">
        <v>577</v>
      </c>
      <c r="E513" t="s">
        <v>8</v>
      </c>
    </row>
    <row r="514" spans="1:5" hidden="1" outlineLevel="2">
      <c r="A514" s="3" t="e">
        <f>(HYPERLINK("http://www.autodoc.ru/Web/price/art/2442AGSMV6T?analog=on","2442AGSMV6T"))*1</f>
        <v>#VALUE!</v>
      </c>
      <c r="B514" s="1">
        <v>6961039</v>
      </c>
      <c r="C514" t="s">
        <v>554</v>
      </c>
      <c r="D514" t="s">
        <v>578</v>
      </c>
      <c r="E514" t="s">
        <v>8</v>
      </c>
    </row>
    <row r="515" spans="1:5" hidden="1" outlineLevel="2">
      <c r="A515" s="3" t="e">
        <f>(HYPERLINK("http://www.autodoc.ru/Web/price/art/2442AGSV?analog=on","2442AGSV"))*1</f>
        <v>#VALUE!</v>
      </c>
      <c r="B515" s="1">
        <v>6960837</v>
      </c>
      <c r="C515" t="s">
        <v>554</v>
      </c>
      <c r="D515" t="s">
        <v>577</v>
      </c>
      <c r="E515" t="s">
        <v>8</v>
      </c>
    </row>
    <row r="516" spans="1:5" hidden="1" outlineLevel="2">
      <c r="A516" s="3" t="e">
        <f>(HYPERLINK("http://www.autodoc.ru/Web/price/art/2442ASMH?analog=on","2442ASMH"))*1</f>
        <v>#VALUE!</v>
      </c>
      <c r="B516" s="1">
        <v>6101057</v>
      </c>
      <c r="C516" t="s">
        <v>19</v>
      </c>
      <c r="D516" t="s">
        <v>579</v>
      </c>
      <c r="E516" t="s">
        <v>21</v>
      </c>
    </row>
    <row r="517" spans="1:5" hidden="1" outlineLevel="2">
      <c r="A517" s="3" t="e">
        <f>(HYPERLINK("http://www.autodoc.ru/Web/price/art/2442BGSHABGP?analog=on","2442BGSHABGP"))*1</f>
        <v>#VALUE!</v>
      </c>
      <c r="B517" s="1">
        <v>6999480</v>
      </c>
      <c r="C517" t="s">
        <v>554</v>
      </c>
      <c r="D517" t="s">
        <v>580</v>
      </c>
      <c r="E517" t="s">
        <v>23</v>
      </c>
    </row>
    <row r="518" spans="1:5" hidden="1" outlineLevel="2">
      <c r="A518" s="3" t="e">
        <f>(HYPERLINK("http://www.autodoc.ru/Web/price/art/2442LGSH3FD?analog=on","2442LGSH3FD"))*1</f>
        <v>#VALUE!</v>
      </c>
      <c r="B518" s="1">
        <v>6999925</v>
      </c>
      <c r="C518" t="s">
        <v>554</v>
      </c>
      <c r="D518" t="s">
        <v>581</v>
      </c>
      <c r="E518" t="s">
        <v>10</v>
      </c>
    </row>
    <row r="519" spans="1:5" hidden="1" outlineLevel="2">
      <c r="A519" s="3" t="e">
        <f>(HYPERLINK("http://www.autodoc.ru/Web/price/art/2442RGSH3FD?analog=on","2442RGSH3FD"))*1</f>
        <v>#VALUE!</v>
      </c>
      <c r="B519" s="1">
        <v>6900017</v>
      </c>
      <c r="C519" t="s">
        <v>554</v>
      </c>
      <c r="D519" t="s">
        <v>582</v>
      </c>
      <c r="E519" t="s">
        <v>10</v>
      </c>
    </row>
    <row r="520" spans="1:5" hidden="1" outlineLevel="1">
      <c r="A520" s="2">
        <v>0</v>
      </c>
      <c r="B520" s="26" t="s">
        <v>583</v>
      </c>
      <c r="C520" s="27">
        <v>0</v>
      </c>
      <c r="D520" s="27">
        <v>0</v>
      </c>
      <c r="E520" s="27">
        <v>0</v>
      </c>
    </row>
    <row r="521" spans="1:5" hidden="1" outlineLevel="2">
      <c r="A521" s="3" t="e">
        <f>(HYPERLINK("http://www.autodoc.ru/Web/price/art/2447ACCGNMV1B?analog=on","2447ACCGNMV1B"))*1</f>
        <v>#VALUE!</v>
      </c>
      <c r="B521" s="1">
        <v>6961656</v>
      </c>
      <c r="C521" t="s">
        <v>584</v>
      </c>
      <c r="D521" t="s">
        <v>585</v>
      </c>
      <c r="E521" t="s">
        <v>8</v>
      </c>
    </row>
    <row r="522" spans="1:5" hidden="1" outlineLevel="2">
      <c r="A522" s="3" t="e">
        <f>(HYPERLINK("http://www.autodoc.ru/Web/price/art/2447AGNBLV?analog=on","2447AGNBLV"))*1</f>
        <v>#VALUE!</v>
      </c>
      <c r="B522" s="1">
        <v>6962195</v>
      </c>
      <c r="C522" t="s">
        <v>584</v>
      </c>
      <c r="D522" t="s">
        <v>586</v>
      </c>
      <c r="E522" t="s">
        <v>8</v>
      </c>
    </row>
    <row r="523" spans="1:5" hidden="1" outlineLevel="2">
      <c r="A523" s="3" t="e">
        <f>(HYPERLINK("http://www.autodoc.ru/Web/price/art/2447AGNGNMV1B?analog=on","2447AGNGNMV1B"))*1</f>
        <v>#VALUE!</v>
      </c>
      <c r="B523" s="1">
        <v>6961399</v>
      </c>
      <c r="C523" t="s">
        <v>584</v>
      </c>
      <c r="D523" t="s">
        <v>587</v>
      </c>
      <c r="E523" t="s">
        <v>8</v>
      </c>
    </row>
    <row r="524" spans="1:5" hidden="1" outlineLevel="2">
      <c r="A524" s="3" t="e">
        <f>(HYPERLINK("http://www.autodoc.ru/Web/price/art/2447AGNGNV?analog=on","2447AGNGNV"))*1</f>
        <v>#VALUE!</v>
      </c>
      <c r="B524" s="1">
        <v>6961398</v>
      </c>
      <c r="C524" t="s">
        <v>584</v>
      </c>
      <c r="D524" t="s">
        <v>588</v>
      </c>
      <c r="E524" t="s">
        <v>8</v>
      </c>
    </row>
    <row r="525" spans="1:5" hidden="1" outlineLevel="2">
      <c r="A525" s="3" t="e">
        <f>(HYPERLINK("http://www.autodoc.ru/Web/price/art/2447AGNMV1B?analog=on","2447AGNMV1B"))*1</f>
        <v>#VALUE!</v>
      </c>
      <c r="B525" s="1">
        <v>6961397</v>
      </c>
      <c r="C525" t="s">
        <v>584</v>
      </c>
      <c r="D525" t="s">
        <v>589</v>
      </c>
      <c r="E525" t="s">
        <v>8</v>
      </c>
    </row>
    <row r="526" spans="1:5" hidden="1" outlineLevel="2">
      <c r="A526" s="3" t="e">
        <f>(HYPERLINK("http://www.autodoc.ru/Web/price/art/2447AGNV?analog=on","2447AGNV"))*1</f>
        <v>#VALUE!</v>
      </c>
      <c r="B526" s="1">
        <v>6961401</v>
      </c>
      <c r="C526" t="s">
        <v>584</v>
      </c>
      <c r="D526" t="s">
        <v>590</v>
      </c>
      <c r="E526" t="s">
        <v>8</v>
      </c>
    </row>
    <row r="527" spans="1:5" hidden="1" outlineLevel="2">
      <c r="A527" s="3" t="e">
        <f>(HYPERLINK("http://www.autodoc.ru/Web/price/art/2447ASMST?analog=on","2447ASMST"))*1</f>
        <v>#VALUE!</v>
      </c>
      <c r="B527" s="1">
        <v>6101616</v>
      </c>
      <c r="C527" t="s">
        <v>19</v>
      </c>
      <c r="D527" t="s">
        <v>591</v>
      </c>
      <c r="E527" t="s">
        <v>21</v>
      </c>
    </row>
    <row r="528" spans="1:5" hidden="1" outlineLevel="2">
      <c r="A528" s="3" t="e">
        <f>(HYPERLINK("http://www.autodoc.ru/Web/price/art/2447BGDSABJW?analog=on","2447BGDSABJW"))*1</f>
        <v>#VALUE!</v>
      </c>
      <c r="B528" s="1">
        <v>6996481</v>
      </c>
      <c r="C528" t="s">
        <v>584</v>
      </c>
      <c r="D528" t="s">
        <v>592</v>
      </c>
      <c r="E528" t="s">
        <v>23</v>
      </c>
    </row>
    <row r="529" spans="1:5" hidden="1" outlineLevel="2">
      <c r="A529" s="3" t="e">
        <f>(HYPERLINK("http://www.autodoc.ru/Web/price/art/2447BGNSABJW?analog=on","2447BGNSABJW"))*1</f>
        <v>#VALUE!</v>
      </c>
      <c r="B529" s="1">
        <v>6996482</v>
      </c>
      <c r="C529" t="s">
        <v>584</v>
      </c>
      <c r="D529" t="s">
        <v>593</v>
      </c>
      <c r="E529" t="s">
        <v>23</v>
      </c>
    </row>
    <row r="530" spans="1:5" hidden="1" outlineLevel="2">
      <c r="A530" s="3" t="e">
        <f>(HYPERLINK("http://www.autodoc.ru/Web/price/art/2447LGDS4RD?analog=on","2447LGDS4RD"))*1</f>
        <v>#VALUE!</v>
      </c>
      <c r="B530" s="1">
        <v>6996576</v>
      </c>
      <c r="C530" t="s">
        <v>584</v>
      </c>
      <c r="D530" t="s">
        <v>594</v>
      </c>
      <c r="E530" t="s">
        <v>10</v>
      </c>
    </row>
    <row r="531" spans="1:5" hidden="1" outlineLevel="2">
      <c r="A531" s="3" t="e">
        <f>(HYPERLINK("http://www.autodoc.ru/Web/price/art/2447LGNE5RD?analog=on","2447LGNE5RD"))*1</f>
        <v>#VALUE!</v>
      </c>
      <c r="B531" s="1">
        <v>6997591</v>
      </c>
      <c r="C531" t="s">
        <v>584</v>
      </c>
      <c r="D531" t="s">
        <v>595</v>
      </c>
      <c r="E531" t="s">
        <v>10</v>
      </c>
    </row>
    <row r="532" spans="1:5" hidden="1" outlineLevel="2">
      <c r="A532" s="3" t="e">
        <f>(HYPERLINK("http://www.autodoc.ru/Web/price/art/2447LGNS4FD?analog=on","2447LGNS4FD"))*1</f>
        <v>#VALUE!</v>
      </c>
      <c r="B532" s="1">
        <v>6997569</v>
      </c>
      <c r="C532" t="s">
        <v>584</v>
      </c>
      <c r="D532" t="s">
        <v>596</v>
      </c>
      <c r="E532" t="s">
        <v>10</v>
      </c>
    </row>
    <row r="533" spans="1:5" hidden="1" outlineLevel="2">
      <c r="A533" s="3" t="e">
        <f>(HYPERLINK("http://www.autodoc.ru/Web/price/art/2447LGNS4RD?analog=on","2447LGNS4RD"))*1</f>
        <v>#VALUE!</v>
      </c>
      <c r="B533" s="1">
        <v>6997590</v>
      </c>
      <c r="C533" t="s">
        <v>584</v>
      </c>
      <c r="D533" t="s">
        <v>597</v>
      </c>
      <c r="E533" t="s">
        <v>10</v>
      </c>
    </row>
    <row r="534" spans="1:5" hidden="1" outlineLevel="2">
      <c r="A534" s="3" t="e">
        <f>(HYPERLINK("http://www.autodoc.ru/Web/price/art/2447LGNS4RV?analog=on","2447LGNS4RV"))*1</f>
        <v>#VALUE!</v>
      </c>
      <c r="B534" s="1">
        <v>6900289</v>
      </c>
      <c r="C534" t="s">
        <v>584</v>
      </c>
      <c r="D534" t="s">
        <v>598</v>
      </c>
      <c r="E534" t="s">
        <v>10</v>
      </c>
    </row>
    <row r="535" spans="1:5" hidden="1" outlineLevel="2">
      <c r="A535" s="3" t="e">
        <f>(HYPERLINK("http://www.autodoc.ru/Web/price/art/2447RGDS4RD?analog=on","2447RGDS4RD"))*1</f>
        <v>#VALUE!</v>
      </c>
      <c r="B535" s="1">
        <v>6996577</v>
      </c>
      <c r="C535" t="s">
        <v>584</v>
      </c>
      <c r="D535" t="s">
        <v>599</v>
      </c>
      <c r="E535" t="s">
        <v>10</v>
      </c>
    </row>
    <row r="536" spans="1:5" hidden="1" outlineLevel="2">
      <c r="A536" s="3" t="e">
        <f>(HYPERLINK("http://www.autodoc.ru/Web/price/art/2447RGNE5RD?analog=on","2447RGNE5RD"))*1</f>
        <v>#VALUE!</v>
      </c>
      <c r="B536" s="1">
        <v>6993864</v>
      </c>
      <c r="C536" t="s">
        <v>584</v>
      </c>
      <c r="D536" t="s">
        <v>600</v>
      </c>
      <c r="E536" t="s">
        <v>10</v>
      </c>
    </row>
    <row r="537" spans="1:5" hidden="1" outlineLevel="2">
      <c r="A537" s="3" t="e">
        <f>(HYPERLINK("http://www.autodoc.ru/Web/price/art/2447RGNS4FD?analog=on","2447RGNS4FD"))*1</f>
        <v>#VALUE!</v>
      </c>
      <c r="B537" s="1">
        <v>6993863</v>
      </c>
      <c r="C537" t="s">
        <v>584</v>
      </c>
      <c r="D537" t="s">
        <v>601</v>
      </c>
      <c r="E537" t="s">
        <v>10</v>
      </c>
    </row>
    <row r="538" spans="1:5" hidden="1" outlineLevel="2">
      <c r="A538" s="3" t="e">
        <f>(HYPERLINK("http://www.autodoc.ru/Web/price/art/2447RGNS4RD?analog=on","2447RGNS4RD"))*1</f>
        <v>#VALUE!</v>
      </c>
      <c r="B538" s="1">
        <v>6993865</v>
      </c>
      <c r="C538" t="s">
        <v>584</v>
      </c>
      <c r="D538" t="s">
        <v>602</v>
      </c>
      <c r="E538" t="s">
        <v>10</v>
      </c>
    </row>
    <row r="539" spans="1:5" hidden="1" outlineLevel="2">
      <c r="A539" s="3" t="e">
        <f>(HYPERLINK("http://www.autodoc.ru/Web/price/art/2447RGNS4RV?analog=on","2447RGNS4RV"))*1</f>
        <v>#VALUE!</v>
      </c>
      <c r="B539" s="1">
        <v>6900308</v>
      </c>
      <c r="C539" t="s">
        <v>584</v>
      </c>
      <c r="D539" t="s">
        <v>603</v>
      </c>
      <c r="E539" t="s">
        <v>10</v>
      </c>
    </row>
    <row r="540" spans="1:5" hidden="1" outlineLevel="1">
      <c r="A540" s="2">
        <v>0</v>
      </c>
      <c r="B540" s="26" t="s">
        <v>604</v>
      </c>
      <c r="C540" s="27">
        <v>0</v>
      </c>
      <c r="D540" s="27">
        <v>0</v>
      </c>
      <c r="E540" s="27">
        <v>0</v>
      </c>
    </row>
    <row r="541" spans="1:5" hidden="1" outlineLevel="2">
      <c r="A541" s="3" t="e">
        <f>(HYPERLINK("http://www.autodoc.ru/Web/price/art/2454AGSGYMV1B?analog=on","2454AGSGYMV1B"))*1</f>
        <v>#VALUE!</v>
      </c>
      <c r="B541" s="1">
        <v>6962338</v>
      </c>
      <c r="C541" t="s">
        <v>389</v>
      </c>
      <c r="D541" t="s">
        <v>605</v>
      </c>
      <c r="E541" t="s">
        <v>8</v>
      </c>
    </row>
    <row r="542" spans="1:5" hidden="1" outlineLevel="2">
      <c r="A542" s="3" t="e">
        <f>(HYPERLINK("http://www.autodoc.ru/Web/price/art/2454AGSGYV?analog=on","2454AGSGYV"))*1</f>
        <v>#VALUE!</v>
      </c>
      <c r="B542" s="1">
        <v>6962339</v>
      </c>
      <c r="C542" t="s">
        <v>389</v>
      </c>
      <c r="D542" t="s">
        <v>606</v>
      </c>
      <c r="E542" t="s">
        <v>8</v>
      </c>
    </row>
    <row r="543" spans="1:5" hidden="1" outlineLevel="2">
      <c r="A543" s="3" t="e">
        <f>(HYPERLINK("http://www.autodoc.ru/Web/price/art/2454BGSCB?analog=on","2454BGSCB"))*1</f>
        <v>#VALUE!</v>
      </c>
      <c r="B543" s="1">
        <v>6900669</v>
      </c>
      <c r="C543" t="s">
        <v>389</v>
      </c>
      <c r="D543" t="s">
        <v>607</v>
      </c>
      <c r="E543" t="s">
        <v>23</v>
      </c>
    </row>
    <row r="544" spans="1:5" hidden="1" outlineLevel="2">
      <c r="A544" s="3" t="e">
        <f>(HYPERLINK("http://www.autodoc.ru/Web/price/art/2454BYPCB?analog=on","2454BYPCB"))*1</f>
        <v>#VALUE!</v>
      </c>
      <c r="B544" s="1">
        <v>6900672</v>
      </c>
      <c r="C544" t="s">
        <v>389</v>
      </c>
      <c r="D544" t="s">
        <v>608</v>
      </c>
      <c r="E544" t="s">
        <v>23</v>
      </c>
    </row>
    <row r="545" spans="1:5" hidden="1" outlineLevel="2">
      <c r="A545" s="3" t="e">
        <f>(HYPERLINK("http://www.autodoc.ru/Web/price/art/2454LGSC2FDW?analog=on","2454LGSC2FDW"))*1</f>
        <v>#VALUE!</v>
      </c>
      <c r="B545" s="1">
        <v>6900670</v>
      </c>
      <c r="C545" t="s">
        <v>389</v>
      </c>
      <c r="D545" t="s">
        <v>609</v>
      </c>
      <c r="E545" t="s">
        <v>10</v>
      </c>
    </row>
    <row r="546" spans="1:5" hidden="1" outlineLevel="2">
      <c r="A546" s="3" t="e">
        <f>(HYPERLINK("http://www.autodoc.ru/Web/price/art/2454RGSC2FDW?analog=on","2454RGSC2FDW"))*1</f>
        <v>#VALUE!</v>
      </c>
      <c r="B546" s="1">
        <v>6900671</v>
      </c>
      <c r="C546" t="s">
        <v>389</v>
      </c>
      <c r="D546" t="s">
        <v>610</v>
      </c>
      <c r="E546" t="s">
        <v>10</v>
      </c>
    </row>
    <row r="547" spans="1:5" hidden="1" outlineLevel="1">
      <c r="A547" s="2">
        <v>0</v>
      </c>
      <c r="B547" s="26" t="s">
        <v>611</v>
      </c>
      <c r="C547" s="27">
        <v>0</v>
      </c>
      <c r="D547" s="27">
        <v>0</v>
      </c>
      <c r="E547" s="27">
        <v>0</v>
      </c>
    </row>
    <row r="548" spans="1:5" hidden="1" outlineLevel="2">
      <c r="A548" s="3" t="e">
        <f>(HYPERLINK("http://www.autodoc.ru/Web/price/art/2450AGSGYV?analog=on","2450AGSGYV"))*1</f>
        <v>#VALUE!</v>
      </c>
      <c r="B548" s="1">
        <v>6962510</v>
      </c>
      <c r="C548" t="s">
        <v>389</v>
      </c>
      <c r="D548" t="s">
        <v>612</v>
      </c>
      <c r="E548" t="s">
        <v>8</v>
      </c>
    </row>
    <row r="549" spans="1:5" hidden="1" outlineLevel="1">
      <c r="A549" s="2">
        <v>0</v>
      </c>
      <c r="B549" s="26" t="s">
        <v>613</v>
      </c>
      <c r="C549" s="27">
        <v>0</v>
      </c>
      <c r="D549" s="27">
        <v>0</v>
      </c>
      <c r="E549" s="27">
        <v>0</v>
      </c>
    </row>
    <row r="550" spans="1:5" hidden="1" outlineLevel="2">
      <c r="A550" s="3" t="e">
        <f>(HYPERLINK("http://www.autodoc.ru/Web/price/art/2420ACL?analog=on","2420ACL"))*1</f>
        <v>#VALUE!</v>
      </c>
      <c r="B550" s="1">
        <v>6967208</v>
      </c>
      <c r="C550" t="s">
        <v>614</v>
      </c>
      <c r="D550" t="s">
        <v>615</v>
      </c>
      <c r="E550" t="s">
        <v>8</v>
      </c>
    </row>
    <row r="551" spans="1:5" hidden="1" outlineLevel="2">
      <c r="A551" s="3" t="e">
        <f>(HYPERLINK("http://www.autodoc.ru/Web/price/art/2420AGN?analog=on","2420AGN"))*1</f>
        <v>#VALUE!</v>
      </c>
      <c r="B551" s="1">
        <v>6967204</v>
      </c>
      <c r="C551" t="s">
        <v>614</v>
      </c>
      <c r="D551" t="s">
        <v>616</v>
      </c>
      <c r="E551" t="s">
        <v>8</v>
      </c>
    </row>
    <row r="552" spans="1:5" hidden="1" outlineLevel="2">
      <c r="A552" s="3" t="e">
        <f>(HYPERLINK("http://www.autodoc.ru/Web/price/art/2420AGNGN?analog=on","2420AGNGN"))*1</f>
        <v>#VALUE!</v>
      </c>
      <c r="B552" s="1">
        <v>6967209</v>
      </c>
      <c r="C552" t="s">
        <v>614</v>
      </c>
      <c r="D552" t="s">
        <v>617</v>
      </c>
      <c r="E552" t="s">
        <v>8</v>
      </c>
    </row>
    <row r="553" spans="1:5" hidden="1" outlineLevel="2">
      <c r="A553" s="3" t="e">
        <f>(HYPERLINK("http://www.autodoc.ru/Web/price/art/2420ASRS?analog=on","2420ASRS"))*1</f>
        <v>#VALUE!</v>
      </c>
      <c r="B553" s="1">
        <v>6100443</v>
      </c>
      <c r="C553" t="s">
        <v>19</v>
      </c>
      <c r="D553" t="s">
        <v>618</v>
      </c>
      <c r="E553" t="s">
        <v>21</v>
      </c>
    </row>
    <row r="554" spans="1:5" hidden="1" outlineLevel="1">
      <c r="A554" s="2">
        <v>0</v>
      </c>
      <c r="B554" s="26" t="s">
        <v>619</v>
      </c>
      <c r="C554" s="27">
        <v>0</v>
      </c>
      <c r="D554" s="27">
        <v>0</v>
      </c>
      <c r="E554" s="27">
        <v>0</v>
      </c>
    </row>
    <row r="555" spans="1:5" hidden="1" outlineLevel="2">
      <c r="A555" s="3" t="e">
        <f>(HYPERLINK("http://www.autodoc.ru/Web/price/art/2426AGN?analog=on","2426AGN"))*1</f>
        <v>#VALUE!</v>
      </c>
      <c r="B555" s="1">
        <v>6967212</v>
      </c>
      <c r="C555" t="s">
        <v>620</v>
      </c>
      <c r="D555" t="s">
        <v>621</v>
      </c>
      <c r="E555" t="s">
        <v>8</v>
      </c>
    </row>
    <row r="556" spans="1:5" hidden="1" outlineLevel="2">
      <c r="A556" s="3" t="e">
        <f>(HYPERLINK("http://www.autodoc.ru/Web/price/art/2426AGNBL?analog=on","2426AGNBL"))*1</f>
        <v>#VALUE!</v>
      </c>
      <c r="B556" s="1">
        <v>6967219</v>
      </c>
      <c r="C556" t="s">
        <v>620</v>
      </c>
      <c r="D556" t="s">
        <v>622</v>
      </c>
      <c r="E556" t="s">
        <v>8</v>
      </c>
    </row>
    <row r="557" spans="1:5" hidden="1" outlineLevel="2">
      <c r="A557" s="3" t="e">
        <f>(HYPERLINK("http://www.autodoc.ru/Web/price/art/2426AGNGN?analog=on","2426AGNGN"))*1</f>
        <v>#VALUE!</v>
      </c>
      <c r="B557" s="1">
        <v>6967214</v>
      </c>
      <c r="C557" t="s">
        <v>620</v>
      </c>
      <c r="D557" t="s">
        <v>623</v>
      </c>
      <c r="E557" t="s">
        <v>8</v>
      </c>
    </row>
    <row r="558" spans="1:5" hidden="1" outlineLevel="2">
      <c r="A558" s="3" t="e">
        <f>(HYPERLINK("http://www.autodoc.ru/Web/price/art/2426ASCS?analog=on","2426ASCS"))*1</f>
        <v>#VALUE!</v>
      </c>
      <c r="B558" s="1">
        <v>6100021</v>
      </c>
      <c r="C558" t="s">
        <v>19</v>
      </c>
      <c r="D558" t="s">
        <v>624</v>
      </c>
      <c r="E558" t="s">
        <v>21</v>
      </c>
    </row>
    <row r="559" spans="1:5" hidden="1" outlineLevel="2">
      <c r="A559" s="3" t="e">
        <f>(HYPERLINK("http://www.autodoc.ru/Web/price/art/2426ASCSB?analog=on","2426ASCSB"))*1</f>
        <v>#VALUE!</v>
      </c>
      <c r="B559" s="1">
        <v>6102421</v>
      </c>
      <c r="C559" t="s">
        <v>19</v>
      </c>
      <c r="D559" t="s">
        <v>625</v>
      </c>
      <c r="E559" t="s">
        <v>21</v>
      </c>
    </row>
    <row r="560" spans="1:5" hidden="1" outlineLevel="2">
      <c r="A560" s="3" t="e">
        <f>(HYPERLINK("http://www.autodoc.ru/Web/price/art/2426ASSS?analog=on","2426ASSS"))*1</f>
        <v>#VALUE!</v>
      </c>
      <c r="B560" s="1">
        <v>6102422</v>
      </c>
      <c r="C560" t="s">
        <v>19</v>
      </c>
      <c r="D560" t="s">
        <v>625</v>
      </c>
      <c r="E560" t="s">
        <v>21</v>
      </c>
    </row>
    <row r="561" spans="1:5" hidden="1" outlineLevel="2">
      <c r="A561" s="3" t="e">
        <f>(HYPERLINK("http://www.autodoc.ru/Web/price/art/PMA2426/2427ASCS?analog=on","PMA2426/2427ASCS"))*1</f>
        <v>#VALUE!</v>
      </c>
      <c r="B561" s="1">
        <v>6102571</v>
      </c>
      <c r="C561" t="s">
        <v>19</v>
      </c>
      <c r="D561" t="s">
        <v>626</v>
      </c>
      <c r="E561" t="s">
        <v>21</v>
      </c>
    </row>
    <row r="562" spans="1:5" hidden="1" outlineLevel="2">
      <c r="A562" s="3" t="e">
        <f>(HYPERLINK("http://www.autodoc.ru/Web/price/art/2426BGNSA?analog=on","2426BGNSA"))*1</f>
        <v>#VALUE!</v>
      </c>
      <c r="B562" s="1">
        <v>6998934</v>
      </c>
      <c r="C562" t="s">
        <v>620</v>
      </c>
      <c r="D562" t="s">
        <v>627</v>
      </c>
      <c r="E562" t="s">
        <v>23</v>
      </c>
    </row>
    <row r="563" spans="1:5" hidden="1" outlineLevel="2">
      <c r="A563" s="3" t="e">
        <f>(HYPERLINK("http://www.autodoc.ru/Web/price/art/2426LGNS4FD?analog=on","2426LGNS4FD"))*1</f>
        <v>#VALUE!</v>
      </c>
      <c r="B563" s="1">
        <v>6996644</v>
      </c>
      <c r="C563" t="s">
        <v>620</v>
      </c>
      <c r="D563" t="s">
        <v>628</v>
      </c>
      <c r="E563" t="s">
        <v>10</v>
      </c>
    </row>
    <row r="564" spans="1:5" hidden="1" outlineLevel="2">
      <c r="A564" s="3" t="e">
        <f>(HYPERLINK("http://www.autodoc.ru/Web/price/art/2426LGNS4RD?analog=on","2426LGNS4RD"))*1</f>
        <v>#VALUE!</v>
      </c>
      <c r="B564" s="1">
        <v>6995644</v>
      </c>
      <c r="C564" t="s">
        <v>620</v>
      </c>
      <c r="D564" t="s">
        <v>629</v>
      </c>
      <c r="E564" t="s">
        <v>10</v>
      </c>
    </row>
    <row r="565" spans="1:5" hidden="1" outlineLevel="2">
      <c r="A565" s="3" t="e">
        <f>(HYPERLINK("http://www.autodoc.ru/Web/price/art/2426RGNS4FD?analog=on","2426RGNS4FD"))*1</f>
        <v>#VALUE!</v>
      </c>
      <c r="B565" s="1">
        <v>6996645</v>
      </c>
      <c r="C565" t="s">
        <v>620</v>
      </c>
      <c r="D565" t="s">
        <v>630</v>
      </c>
      <c r="E565" t="s">
        <v>10</v>
      </c>
    </row>
    <row r="566" spans="1:5" hidden="1" outlineLevel="2">
      <c r="A566" s="3" t="e">
        <f>(HYPERLINK("http://www.autodoc.ru/Web/price/art/2426RGNS4FDW?analog=on","2426RGNS4FDW"))*1</f>
        <v>#VALUE!</v>
      </c>
      <c r="B566" s="1">
        <v>6999808</v>
      </c>
      <c r="C566" t="s">
        <v>620</v>
      </c>
      <c r="D566" t="s">
        <v>631</v>
      </c>
      <c r="E566" t="s">
        <v>10</v>
      </c>
    </row>
    <row r="567" spans="1:5" hidden="1" outlineLevel="2">
      <c r="A567" s="3" t="e">
        <f>(HYPERLINK("http://www.autodoc.ru/Web/price/art/2426RGNS4RD?analog=on","2426RGNS4RD"))*1</f>
        <v>#VALUE!</v>
      </c>
      <c r="B567" s="1">
        <v>6995645</v>
      </c>
      <c r="C567" t="s">
        <v>620</v>
      </c>
      <c r="D567" t="s">
        <v>632</v>
      </c>
      <c r="E567" t="s">
        <v>10</v>
      </c>
    </row>
    <row r="568" spans="1:5" hidden="1" outlineLevel="2">
      <c r="A568" s="3" t="e">
        <f>(HYPERLINK("http://www.autodoc.ru/Web/price/art/2426RGNE5RD?analog=on","2426RGNE5RD"))*1</f>
        <v>#VALUE!</v>
      </c>
      <c r="B568" s="1">
        <v>6999340</v>
      </c>
      <c r="C568" t="s">
        <v>620</v>
      </c>
      <c r="D568" t="s">
        <v>633</v>
      </c>
      <c r="E568" t="s">
        <v>10</v>
      </c>
    </row>
    <row r="569" spans="1:5" hidden="1" outlineLevel="1">
      <c r="A569" s="2">
        <v>0</v>
      </c>
      <c r="B569" s="26" t="s">
        <v>634</v>
      </c>
      <c r="C569" s="27">
        <v>0</v>
      </c>
      <c r="D569" s="27">
        <v>0</v>
      </c>
      <c r="E569" s="27">
        <v>0</v>
      </c>
    </row>
    <row r="570" spans="1:5" hidden="1" outlineLevel="2">
      <c r="A570" s="3" t="e">
        <f>(HYPERLINK("http://www.autodoc.ru/Web/price/art/2434ACCGNV?analog=on","2434ACCGNV"))*1</f>
        <v>#VALUE!</v>
      </c>
      <c r="B570" s="1">
        <v>6960578</v>
      </c>
      <c r="C570" t="s">
        <v>240</v>
      </c>
      <c r="D570" t="s">
        <v>635</v>
      </c>
      <c r="E570" t="s">
        <v>8</v>
      </c>
    </row>
    <row r="571" spans="1:5" hidden="1" outlineLevel="2">
      <c r="A571" s="3" t="e">
        <f>(HYPERLINK("http://www.autodoc.ru/Web/price/art/2434AGNBLV?analog=on","2434AGNBLV"))*1</f>
        <v>#VALUE!</v>
      </c>
      <c r="B571" s="1">
        <v>6962933</v>
      </c>
      <c r="C571" t="s">
        <v>240</v>
      </c>
      <c r="D571" t="s">
        <v>636</v>
      </c>
      <c r="E571" t="s">
        <v>8</v>
      </c>
    </row>
    <row r="572" spans="1:5" hidden="1" outlineLevel="2">
      <c r="A572" s="3" t="e">
        <f>(HYPERLINK("http://www.autodoc.ru/Web/price/art/2434AGNGNMV?analog=on","2434AGNGNMV"))*1</f>
        <v>#VALUE!</v>
      </c>
      <c r="B572" s="1">
        <v>6961415</v>
      </c>
      <c r="C572" t="s">
        <v>637</v>
      </c>
      <c r="D572" t="s">
        <v>638</v>
      </c>
      <c r="E572" t="s">
        <v>8</v>
      </c>
    </row>
    <row r="573" spans="1:5" hidden="1" outlineLevel="2">
      <c r="A573" s="3" t="e">
        <f>(HYPERLINK("http://www.autodoc.ru/Web/price/art/2434AGNGNMV1B?analog=on","2434AGNGNMV1B"))*1</f>
        <v>#VALUE!</v>
      </c>
      <c r="B573" s="1">
        <v>6967232</v>
      </c>
      <c r="C573" t="s">
        <v>639</v>
      </c>
      <c r="D573" t="s">
        <v>640</v>
      </c>
      <c r="E573" t="s">
        <v>8</v>
      </c>
    </row>
    <row r="574" spans="1:5" hidden="1" outlineLevel="2">
      <c r="A574" s="3" t="e">
        <f>(HYPERLINK("http://www.autodoc.ru/Web/price/art/2434AGNGNMV6T?analog=on","2434AGNGNMV6T"))*1</f>
        <v>#VALUE!</v>
      </c>
      <c r="B574" s="1">
        <v>6960989</v>
      </c>
      <c r="C574" t="s">
        <v>641</v>
      </c>
      <c r="D574" t="s">
        <v>642</v>
      </c>
      <c r="E574" t="s">
        <v>8</v>
      </c>
    </row>
    <row r="575" spans="1:5" hidden="1" outlineLevel="2">
      <c r="A575" s="3" t="e">
        <f>(HYPERLINK("http://www.autodoc.ru/Web/price/art/2434AGNGNV?analog=on","2434AGNGNV"))*1</f>
        <v>#VALUE!</v>
      </c>
      <c r="B575" s="1">
        <v>6967315</v>
      </c>
      <c r="C575" t="s">
        <v>240</v>
      </c>
      <c r="D575" t="s">
        <v>643</v>
      </c>
      <c r="E575" t="s">
        <v>8</v>
      </c>
    </row>
    <row r="576" spans="1:5" hidden="1" outlineLevel="2">
      <c r="A576" s="3" t="e">
        <f>(HYPERLINK("http://www.autodoc.ru/Web/price/art/2434AGNMV?analog=on","2434AGNMV"))*1</f>
        <v>#VALUE!</v>
      </c>
      <c r="B576" s="1">
        <v>6961416</v>
      </c>
      <c r="C576" t="s">
        <v>240</v>
      </c>
      <c r="D576" t="s">
        <v>644</v>
      </c>
      <c r="E576" t="s">
        <v>8</v>
      </c>
    </row>
    <row r="577" spans="1:5" hidden="1" outlineLevel="2">
      <c r="A577" s="3" t="e">
        <f>(HYPERLINK("http://www.autodoc.ru/Web/price/art/2434AGNMV1B?analog=on","2434AGNMV1B"))*1</f>
        <v>#VALUE!</v>
      </c>
      <c r="B577" s="1">
        <v>6967231</v>
      </c>
      <c r="C577" t="s">
        <v>645</v>
      </c>
      <c r="D577" t="s">
        <v>646</v>
      </c>
      <c r="E577" t="s">
        <v>8</v>
      </c>
    </row>
    <row r="578" spans="1:5" hidden="1" outlineLevel="2">
      <c r="A578" s="3" t="e">
        <f>(HYPERLINK("http://www.autodoc.ru/Web/price/art/2434AGNMV6T?analog=on","2434AGNMV6T"))*1</f>
        <v>#VALUE!</v>
      </c>
      <c r="B578" s="1">
        <v>6960990</v>
      </c>
      <c r="C578" t="s">
        <v>641</v>
      </c>
      <c r="D578" t="s">
        <v>647</v>
      </c>
      <c r="E578" t="s">
        <v>8</v>
      </c>
    </row>
    <row r="579" spans="1:5" hidden="1" outlineLevel="2">
      <c r="A579" s="3" t="e">
        <f>(HYPERLINK("http://www.autodoc.ru/Web/price/art/2434AGNV?analog=on","2434AGNV"))*1</f>
        <v>#VALUE!</v>
      </c>
      <c r="B579" s="1">
        <v>6967314</v>
      </c>
      <c r="C579" t="s">
        <v>240</v>
      </c>
      <c r="D579" t="s">
        <v>648</v>
      </c>
      <c r="E579" t="s">
        <v>8</v>
      </c>
    </row>
    <row r="580" spans="1:5" hidden="1" outlineLevel="2">
      <c r="A580" s="3" t="e">
        <f>(HYPERLINK("http://www.autodoc.ru/Web/price/art/2434AKCSB?analog=on","2434AKCSB"))*1</f>
        <v>#VALUE!</v>
      </c>
      <c r="B580" s="1">
        <v>6101179</v>
      </c>
      <c r="C580" t="s">
        <v>19</v>
      </c>
      <c r="D580" t="s">
        <v>649</v>
      </c>
      <c r="E580" t="s">
        <v>21</v>
      </c>
    </row>
    <row r="581" spans="1:5" hidden="1" outlineLevel="2">
      <c r="A581" s="3" t="e">
        <f>(HYPERLINK("http://www.autodoc.ru/Web/price/art/2434ASDS?analog=on","2434ASDS"))*1</f>
        <v>#VALUE!</v>
      </c>
      <c r="B581" s="1">
        <v>6102503</v>
      </c>
      <c r="C581" t="s">
        <v>19</v>
      </c>
      <c r="D581" t="s">
        <v>650</v>
      </c>
      <c r="E581" t="s">
        <v>21</v>
      </c>
    </row>
    <row r="582" spans="1:5" hidden="1" outlineLevel="2">
      <c r="A582" s="3" t="e">
        <f>(HYPERLINK("http://www.autodoc.ru/Web/price/art/2434ASMS?analog=on","2434ASMS"))*1</f>
        <v>#VALUE!</v>
      </c>
      <c r="B582" s="1">
        <v>6100024</v>
      </c>
      <c r="C582" t="s">
        <v>19</v>
      </c>
      <c r="D582" t="s">
        <v>651</v>
      </c>
      <c r="E582" t="s">
        <v>21</v>
      </c>
    </row>
    <row r="583" spans="1:5" hidden="1" outlineLevel="2">
      <c r="A583" s="3" t="e">
        <f>(HYPERLINK("http://www.autodoc.ru/Web/price/art/2434ASMS1O?analog=on","2434ASMS1O"))*1</f>
        <v>#VALUE!</v>
      </c>
      <c r="B583" s="1">
        <v>6102329</v>
      </c>
      <c r="C583" t="s">
        <v>19</v>
      </c>
      <c r="D583" t="s">
        <v>652</v>
      </c>
      <c r="E583" t="s">
        <v>21</v>
      </c>
    </row>
    <row r="584" spans="1:5" hidden="1" outlineLevel="2">
      <c r="A584" s="3" t="e">
        <f>(HYPERLINK("http://www.autodoc.ru/Web/price/art/2434ASCSB?analog=on","2434ASCSB"))*1</f>
        <v>#VALUE!</v>
      </c>
      <c r="B584" s="1">
        <v>6102608</v>
      </c>
      <c r="C584" t="s">
        <v>19</v>
      </c>
      <c r="D584" t="s">
        <v>653</v>
      </c>
      <c r="E584" t="s">
        <v>21</v>
      </c>
    </row>
    <row r="585" spans="1:5" hidden="1" outlineLevel="2">
      <c r="A585" s="3" t="e">
        <f>(HYPERLINK("http://www.autodoc.ru/Web/price/art/2434BGNEABZ?analog=on","2434BGNEABZ"))*1</f>
        <v>#VALUE!</v>
      </c>
      <c r="B585" s="1">
        <v>6998609</v>
      </c>
      <c r="C585" t="s">
        <v>654</v>
      </c>
      <c r="D585" t="s">
        <v>655</v>
      </c>
      <c r="E585" t="s">
        <v>23</v>
      </c>
    </row>
    <row r="586" spans="1:5" hidden="1" outlineLevel="2">
      <c r="A586" s="3" t="e">
        <f>(HYPERLINK("http://www.autodoc.ru/Web/price/art/2434BGNSAB?analog=on","2434BGNSAB"))*1</f>
        <v>#VALUE!</v>
      </c>
      <c r="B586" s="1">
        <v>6998699</v>
      </c>
      <c r="C586" t="s">
        <v>240</v>
      </c>
      <c r="D586" t="s">
        <v>656</v>
      </c>
      <c r="E586" t="s">
        <v>23</v>
      </c>
    </row>
    <row r="587" spans="1:5" hidden="1" outlineLevel="2">
      <c r="A587" s="3" t="e">
        <f>(HYPERLINK("http://www.autodoc.ru/Web/price/art/2434BSMS?analog=on","2434BSMS"))*1</f>
        <v>#VALUE!</v>
      </c>
      <c r="B587" s="1">
        <v>6101005</v>
      </c>
      <c r="C587" t="s">
        <v>19</v>
      </c>
      <c r="D587" t="s">
        <v>657</v>
      </c>
      <c r="E587" t="s">
        <v>21</v>
      </c>
    </row>
    <row r="588" spans="1:5" hidden="1" outlineLevel="2">
      <c r="A588" s="3" t="e">
        <f>(HYPERLINK("http://www.autodoc.ru/Web/price/art/2434BSMSB?analog=on","2434BSMSB"))*1</f>
        <v>#VALUE!</v>
      </c>
      <c r="B588" s="1">
        <v>6101337</v>
      </c>
      <c r="C588" t="s">
        <v>19</v>
      </c>
      <c r="D588" t="s">
        <v>658</v>
      </c>
      <c r="E588" t="s">
        <v>21</v>
      </c>
    </row>
    <row r="589" spans="1:5" hidden="1" outlineLevel="2">
      <c r="A589" s="3" t="e">
        <f>(HYPERLINK("http://www.autodoc.ru/Web/price/art/2434LGNE5RD?analog=on","2434LGNE5RD"))*1</f>
        <v>#VALUE!</v>
      </c>
      <c r="B589" s="1">
        <v>6994756</v>
      </c>
      <c r="C589" t="s">
        <v>654</v>
      </c>
      <c r="D589" t="s">
        <v>659</v>
      </c>
      <c r="E589" t="s">
        <v>10</v>
      </c>
    </row>
    <row r="590" spans="1:5" hidden="1" outlineLevel="2">
      <c r="A590" s="3" t="e">
        <f>(HYPERLINK("http://www.autodoc.ru/Web/price/art/2434LGNE5RV?analog=on","2434LGNE5RV"))*1</f>
        <v>#VALUE!</v>
      </c>
      <c r="B590" s="1">
        <v>6994757</v>
      </c>
      <c r="C590" t="s">
        <v>654</v>
      </c>
      <c r="D590" t="s">
        <v>660</v>
      </c>
      <c r="E590" t="s">
        <v>10</v>
      </c>
    </row>
    <row r="591" spans="1:5" hidden="1" outlineLevel="2">
      <c r="A591" s="3" t="e">
        <f>(HYPERLINK("http://www.autodoc.ru/Web/price/art/2434LGNS4FD?analog=on","2434LGNS4FD"))*1</f>
        <v>#VALUE!</v>
      </c>
      <c r="B591" s="1">
        <v>6995646</v>
      </c>
      <c r="C591" t="s">
        <v>240</v>
      </c>
      <c r="D591" t="s">
        <v>661</v>
      </c>
      <c r="E591" t="s">
        <v>10</v>
      </c>
    </row>
    <row r="592" spans="1:5" hidden="1" outlineLevel="2">
      <c r="A592" s="3" t="e">
        <f>(HYPERLINK("http://www.autodoc.ru/Web/price/art/2434LGNS4RD?analog=on","2434LGNS4RD"))*1</f>
        <v>#VALUE!</v>
      </c>
      <c r="B592" s="1">
        <v>6995647</v>
      </c>
      <c r="C592" t="s">
        <v>240</v>
      </c>
      <c r="D592" t="s">
        <v>662</v>
      </c>
      <c r="E592" t="s">
        <v>10</v>
      </c>
    </row>
    <row r="593" spans="1:5" hidden="1" outlineLevel="2">
      <c r="A593" s="3" t="e">
        <f>(HYPERLINK("http://www.autodoc.ru/Web/price/art/2434LGNS4RV?analog=on","2434LGNS4RV"))*1</f>
        <v>#VALUE!</v>
      </c>
      <c r="B593" s="1">
        <v>6995648</v>
      </c>
      <c r="C593" t="s">
        <v>240</v>
      </c>
      <c r="D593" t="s">
        <v>663</v>
      </c>
      <c r="E593" t="s">
        <v>10</v>
      </c>
    </row>
    <row r="594" spans="1:5" hidden="1" outlineLevel="2">
      <c r="A594" s="3" t="e">
        <f>(HYPERLINK("http://www.autodoc.ru/Web/price/art/2434RGNE5RD?analog=on","2434RGNE5RD"))*1</f>
        <v>#VALUE!</v>
      </c>
      <c r="B594" s="1">
        <v>6994758</v>
      </c>
      <c r="C594" t="s">
        <v>240</v>
      </c>
      <c r="D594" t="s">
        <v>664</v>
      </c>
      <c r="E594" t="s">
        <v>10</v>
      </c>
    </row>
    <row r="595" spans="1:5" hidden="1" outlineLevel="2">
      <c r="A595" s="3" t="e">
        <f>(HYPERLINK("http://www.autodoc.ru/Web/price/art/2434RGNE5RV?analog=on","2434RGNE5RV"))*1</f>
        <v>#VALUE!</v>
      </c>
      <c r="B595" s="1">
        <v>6994759</v>
      </c>
      <c r="C595" t="s">
        <v>240</v>
      </c>
      <c r="D595" t="s">
        <v>665</v>
      </c>
      <c r="E595" t="s">
        <v>10</v>
      </c>
    </row>
    <row r="596" spans="1:5" hidden="1" outlineLevel="2">
      <c r="A596" s="3" t="e">
        <f>(HYPERLINK("http://www.autodoc.ru/Web/price/art/2434RGNS4FD?analog=on","2434RGNS4FD"))*1</f>
        <v>#VALUE!</v>
      </c>
      <c r="B596" s="1">
        <v>6995649</v>
      </c>
      <c r="C596" t="s">
        <v>240</v>
      </c>
      <c r="D596" t="s">
        <v>666</v>
      </c>
      <c r="E596" t="s">
        <v>10</v>
      </c>
    </row>
    <row r="597" spans="1:5" hidden="1" outlineLevel="2">
      <c r="A597" s="3" t="e">
        <f>(HYPERLINK("http://www.autodoc.ru/Web/price/art/2434RGNS4RD?analog=on","2434RGNS4RD"))*1</f>
        <v>#VALUE!</v>
      </c>
      <c r="B597" s="1">
        <v>6995650</v>
      </c>
      <c r="C597" t="s">
        <v>240</v>
      </c>
      <c r="D597" t="s">
        <v>667</v>
      </c>
      <c r="E597" t="s">
        <v>10</v>
      </c>
    </row>
    <row r="598" spans="1:5" hidden="1" outlineLevel="2">
      <c r="A598" s="3" t="e">
        <f>(HYPERLINK("http://www.autodoc.ru/Web/price/art/2434RGNS4RV?analog=on","2434RGNS4RV"))*1</f>
        <v>#VALUE!</v>
      </c>
      <c r="B598" s="1">
        <v>6995651</v>
      </c>
      <c r="C598" t="s">
        <v>240</v>
      </c>
      <c r="D598" t="s">
        <v>668</v>
      </c>
      <c r="E598" t="s">
        <v>10</v>
      </c>
    </row>
    <row r="599" spans="1:5" hidden="1" outlineLevel="1">
      <c r="A599" s="2">
        <v>0</v>
      </c>
      <c r="B599" s="26" t="s">
        <v>669</v>
      </c>
      <c r="C599" s="27">
        <v>0</v>
      </c>
      <c r="D599" s="27">
        <v>0</v>
      </c>
      <c r="E599" s="27">
        <v>0</v>
      </c>
    </row>
    <row r="600" spans="1:5" hidden="1" outlineLevel="2">
      <c r="A600" s="3" t="e">
        <f>(HYPERLINK("http://www.autodoc.ru/Web/price/art/2445ACCGNMV?analog=on","2445ACCGNMV"))*1</f>
        <v>#VALUE!</v>
      </c>
      <c r="B600" s="1">
        <v>6960424</v>
      </c>
      <c r="C600" t="s">
        <v>670</v>
      </c>
      <c r="D600" t="s">
        <v>671</v>
      </c>
      <c r="E600" t="s">
        <v>8</v>
      </c>
    </row>
    <row r="601" spans="1:5" hidden="1" outlineLevel="2">
      <c r="A601" s="3" t="e">
        <f>(HYPERLINK("http://www.autodoc.ru/Web/price/art/2445ACCGNMV6T?analog=on","2445ACCGNMV6T"))*1</f>
        <v>#VALUE!</v>
      </c>
      <c r="B601" s="1">
        <v>6961387</v>
      </c>
      <c r="C601" t="s">
        <v>672</v>
      </c>
      <c r="D601" t="s">
        <v>673</v>
      </c>
      <c r="E601" t="s">
        <v>8</v>
      </c>
    </row>
    <row r="602" spans="1:5" hidden="1" outlineLevel="2">
      <c r="A602" s="3" t="e">
        <f>(HYPERLINK("http://www.autodoc.ru/Web/price/art/2445ACCMUV?analog=on","2445ACCMUV"))*1</f>
        <v>#VALUE!</v>
      </c>
      <c r="B602" s="1">
        <v>6960422</v>
      </c>
      <c r="C602" t="s">
        <v>670</v>
      </c>
      <c r="D602" t="s">
        <v>674</v>
      </c>
      <c r="E602" t="s">
        <v>8</v>
      </c>
    </row>
    <row r="603" spans="1:5" hidden="1" outlineLevel="2">
      <c r="A603" s="3" t="e">
        <f>(HYPERLINK("http://www.autodoc.ru/Web/price/art/2445AGSGNMV?analog=on","2445AGSGNMV"))*1</f>
        <v>#VALUE!</v>
      </c>
      <c r="B603" s="1">
        <v>6960421</v>
      </c>
      <c r="C603" t="s">
        <v>670</v>
      </c>
      <c r="D603" t="s">
        <v>675</v>
      </c>
      <c r="E603" t="s">
        <v>8</v>
      </c>
    </row>
    <row r="604" spans="1:5" hidden="1" outlineLevel="2">
      <c r="A604" s="3" t="e">
        <f>(HYPERLINK("http://www.autodoc.ru/Web/price/art/2445AGSGNMV6T?analog=on","2445AGSGNMV6T"))*1</f>
        <v>#VALUE!</v>
      </c>
      <c r="B604" s="1">
        <v>6961386</v>
      </c>
      <c r="C604" t="s">
        <v>672</v>
      </c>
      <c r="D604" t="s">
        <v>676</v>
      </c>
      <c r="E604" t="s">
        <v>8</v>
      </c>
    </row>
    <row r="605" spans="1:5" hidden="1" outlineLevel="2">
      <c r="A605" s="3" t="e">
        <f>(HYPERLINK("http://www.autodoc.ru/Web/price/art/2445AGSMUV?analog=on","2445AGSMUV"))*1</f>
        <v>#VALUE!</v>
      </c>
      <c r="B605" s="1">
        <v>6960415</v>
      </c>
      <c r="C605" t="s">
        <v>670</v>
      </c>
      <c r="D605" t="s">
        <v>677</v>
      </c>
      <c r="E605" t="s">
        <v>8</v>
      </c>
    </row>
    <row r="606" spans="1:5" hidden="1" outlineLevel="2">
      <c r="A606" s="3" t="e">
        <f>(HYPERLINK("http://www.autodoc.ru/Web/price/art/2445AGSMV?analog=on","2445AGSMV"))*1</f>
        <v>#VALUE!</v>
      </c>
      <c r="B606" s="1">
        <v>6960420</v>
      </c>
      <c r="C606" t="s">
        <v>670</v>
      </c>
      <c r="D606" t="s">
        <v>678</v>
      </c>
      <c r="E606" t="s">
        <v>8</v>
      </c>
    </row>
    <row r="607" spans="1:5" hidden="1" outlineLevel="2">
      <c r="A607" s="3" t="e">
        <f>(HYPERLINK("http://www.autodoc.ru/Web/price/art/2445AGSMV6T?analog=on","2445AGSMV6T"))*1</f>
        <v>#VALUE!</v>
      </c>
      <c r="B607" s="1">
        <v>6961511</v>
      </c>
      <c r="C607" t="s">
        <v>672</v>
      </c>
      <c r="D607" t="s">
        <v>679</v>
      </c>
      <c r="E607" t="s">
        <v>8</v>
      </c>
    </row>
    <row r="608" spans="1:5" hidden="1" outlineLevel="2">
      <c r="A608" s="3" t="e">
        <f>(HYPERLINK("http://www.autodoc.ru/Web/price/art/2445ASCSS?analog=on","2445ASCSS"))*1</f>
        <v>#VALUE!</v>
      </c>
      <c r="B608" s="1">
        <v>6101271</v>
      </c>
      <c r="C608" t="s">
        <v>19</v>
      </c>
      <c r="D608" t="s">
        <v>680</v>
      </c>
      <c r="E608" t="s">
        <v>21</v>
      </c>
    </row>
    <row r="609" spans="1:5" hidden="1" outlineLevel="2">
      <c r="A609" s="3" t="e">
        <f>(HYPERLINK("http://www.autodoc.ru/Web/price/art/2445ASMST?analog=on","2445ASMST"))*1</f>
        <v>#VALUE!</v>
      </c>
      <c r="B609" s="1">
        <v>6101225</v>
      </c>
      <c r="C609" t="s">
        <v>19</v>
      </c>
      <c r="D609" t="s">
        <v>681</v>
      </c>
      <c r="E609" t="s">
        <v>21</v>
      </c>
    </row>
    <row r="610" spans="1:5" hidden="1" outlineLevel="2">
      <c r="A610" s="3" t="e">
        <f>(HYPERLINK("http://www.autodoc.ru/Web/price/art/2445BGSSABG?analog=on","2445BGSSABG"))*1</f>
        <v>#VALUE!</v>
      </c>
      <c r="B610" s="1">
        <v>6900357</v>
      </c>
      <c r="C610" t="s">
        <v>670</v>
      </c>
      <c r="D610" t="s">
        <v>682</v>
      </c>
      <c r="E610" t="s">
        <v>23</v>
      </c>
    </row>
    <row r="611" spans="1:5" hidden="1" outlineLevel="2">
      <c r="A611" s="3" t="e">
        <f>(HYPERLINK("http://www.autodoc.ru/Web/price/art/2445LCCE5RDKW?analog=on","2445LCCE5RDKW"))*1</f>
        <v>#VALUE!</v>
      </c>
      <c r="B611" s="1">
        <v>6960597</v>
      </c>
      <c r="C611" t="s">
        <v>670</v>
      </c>
      <c r="D611" t="s">
        <v>683</v>
      </c>
      <c r="E611" t="s">
        <v>10</v>
      </c>
    </row>
    <row r="612" spans="1:5" hidden="1" outlineLevel="2">
      <c r="A612" s="3" t="e">
        <f>(HYPERLINK("http://www.autodoc.ru/Web/price/art/2445LCCE5RVK?analog=on","2445LCCE5RVK"))*1</f>
        <v>#VALUE!</v>
      </c>
      <c r="B612" s="1">
        <v>6960625</v>
      </c>
      <c r="C612" t="s">
        <v>670</v>
      </c>
      <c r="D612" t="s">
        <v>684</v>
      </c>
      <c r="E612" t="s">
        <v>10</v>
      </c>
    </row>
    <row r="613" spans="1:5" hidden="1" outlineLevel="2">
      <c r="A613" s="3" t="e">
        <f>(HYPERLINK("http://www.autodoc.ru/Web/price/art/2445LCCS4FDKW?analog=on","2445LCCS4FDKW"))*1</f>
        <v>#VALUE!</v>
      </c>
      <c r="B613" s="1">
        <v>6960475</v>
      </c>
      <c r="C613" t="s">
        <v>670</v>
      </c>
      <c r="D613" t="s">
        <v>685</v>
      </c>
      <c r="E613" t="s">
        <v>10</v>
      </c>
    </row>
    <row r="614" spans="1:5" hidden="1" outlineLevel="2">
      <c r="A614" s="3" t="e">
        <f>(HYPERLINK("http://www.autodoc.ru/Web/price/art/2445LCCS4RDKW?analog=on","2445LCCS4RDKW"))*1</f>
        <v>#VALUE!</v>
      </c>
      <c r="B614" s="1">
        <v>6960477</v>
      </c>
      <c r="C614" t="s">
        <v>670</v>
      </c>
      <c r="D614" t="s">
        <v>683</v>
      </c>
      <c r="E614" t="s">
        <v>10</v>
      </c>
    </row>
    <row r="615" spans="1:5" hidden="1" outlineLevel="2">
      <c r="A615" s="3" t="e">
        <f>(HYPERLINK("http://www.autodoc.ru/Web/price/art/2445LGSE5RD?analog=on","2445LGSE5RD"))*1</f>
        <v>#VALUE!</v>
      </c>
      <c r="B615" s="1">
        <v>6992139</v>
      </c>
      <c r="C615" t="s">
        <v>670</v>
      </c>
      <c r="D615" t="s">
        <v>686</v>
      </c>
      <c r="E615" t="s">
        <v>10</v>
      </c>
    </row>
    <row r="616" spans="1:5" hidden="1" outlineLevel="2">
      <c r="A616" s="3" t="e">
        <f>(HYPERLINK("http://www.autodoc.ru/Web/price/art/2445LGSE5RV?analog=on","2445LGSE5RV"))*1</f>
        <v>#VALUE!</v>
      </c>
      <c r="B616" s="1">
        <v>6992070</v>
      </c>
      <c r="C616" t="s">
        <v>670</v>
      </c>
      <c r="D616" t="s">
        <v>687</v>
      </c>
      <c r="E616" t="s">
        <v>10</v>
      </c>
    </row>
    <row r="617" spans="1:5" hidden="1" outlineLevel="2">
      <c r="A617" s="3" t="e">
        <f>(HYPERLINK("http://www.autodoc.ru/Web/price/art/2445LGSS4FD?analog=on","2445LGSS4FD"))*1</f>
        <v>#VALUE!</v>
      </c>
      <c r="B617" s="1">
        <v>6991757</v>
      </c>
      <c r="C617" t="s">
        <v>670</v>
      </c>
      <c r="D617" t="s">
        <v>688</v>
      </c>
      <c r="E617" t="s">
        <v>10</v>
      </c>
    </row>
    <row r="618" spans="1:5" hidden="1" outlineLevel="2">
      <c r="A618" s="3" t="e">
        <f>(HYPERLINK("http://www.autodoc.ru/Web/price/art/2445LGSS4RD?analog=on","2445LGSS4RD"))*1</f>
        <v>#VALUE!</v>
      </c>
      <c r="B618" s="1">
        <v>6991759</v>
      </c>
      <c r="C618" t="s">
        <v>670</v>
      </c>
      <c r="D618" t="s">
        <v>689</v>
      </c>
      <c r="E618" t="s">
        <v>10</v>
      </c>
    </row>
    <row r="619" spans="1:5" hidden="1" outlineLevel="2">
      <c r="A619" s="3" t="e">
        <f>(HYPERLINK("http://www.autodoc.ru/Web/price/art/2445LGSS4RV?analog=on","2445LGSS4RV"))*1</f>
        <v>#VALUE!</v>
      </c>
      <c r="B619" s="1">
        <v>6991788</v>
      </c>
      <c r="C619" t="s">
        <v>670</v>
      </c>
      <c r="D619" t="s">
        <v>690</v>
      </c>
      <c r="E619" t="s">
        <v>10</v>
      </c>
    </row>
    <row r="620" spans="1:5" hidden="1" outlineLevel="2">
      <c r="A620" s="3" t="e">
        <f>(HYPERLINK("http://www.autodoc.ru/Web/price/art/2445LGSS4RVK?analog=on","2445LGSS4RVK"))*1</f>
        <v>#VALUE!</v>
      </c>
      <c r="B620" s="1">
        <v>6960586</v>
      </c>
      <c r="C620" t="s">
        <v>670</v>
      </c>
      <c r="D620" t="s">
        <v>691</v>
      </c>
      <c r="E620" t="s">
        <v>10</v>
      </c>
    </row>
    <row r="621" spans="1:5" hidden="1" outlineLevel="2">
      <c r="A621" s="3" t="e">
        <f>(HYPERLINK("http://www.autodoc.ru/Web/price/art/2445LYPS4RD?analog=on","2445LYPS4RD"))*1</f>
        <v>#VALUE!</v>
      </c>
      <c r="B621" s="1">
        <v>6991884</v>
      </c>
      <c r="C621" t="s">
        <v>670</v>
      </c>
      <c r="D621" t="s">
        <v>692</v>
      </c>
      <c r="E621" t="s">
        <v>10</v>
      </c>
    </row>
    <row r="622" spans="1:5" hidden="1" outlineLevel="2">
      <c r="A622" s="3" t="e">
        <f>(HYPERLINK("http://www.autodoc.ru/Web/price/art/2445LYPS4RV?analog=on","2445LYPS4RV"))*1</f>
        <v>#VALUE!</v>
      </c>
      <c r="B622" s="1">
        <v>6992092</v>
      </c>
      <c r="C622" t="s">
        <v>670</v>
      </c>
      <c r="D622" t="s">
        <v>693</v>
      </c>
      <c r="E622" t="s">
        <v>10</v>
      </c>
    </row>
    <row r="623" spans="1:5" hidden="1" outlineLevel="2">
      <c r="A623" s="3" t="e">
        <f>(HYPERLINK("http://www.autodoc.ru/Web/price/art/2445RCCE5RDKW?analog=on","2445RCCE5RDKW"))*1</f>
        <v>#VALUE!</v>
      </c>
      <c r="B623" s="1">
        <v>6960598</v>
      </c>
      <c r="C623" t="s">
        <v>670</v>
      </c>
      <c r="D623" t="s">
        <v>694</v>
      </c>
      <c r="E623" t="s">
        <v>10</v>
      </c>
    </row>
    <row r="624" spans="1:5" hidden="1" outlineLevel="2">
      <c r="A624" s="3" t="e">
        <f>(HYPERLINK("http://www.autodoc.ru/Web/price/art/2445RCCE5RVK?analog=on","2445RCCE5RVK"))*1</f>
        <v>#VALUE!</v>
      </c>
      <c r="B624" s="1">
        <v>6960626</v>
      </c>
      <c r="C624" t="s">
        <v>670</v>
      </c>
      <c r="D624" t="s">
        <v>695</v>
      </c>
      <c r="E624" t="s">
        <v>10</v>
      </c>
    </row>
    <row r="625" spans="1:5" hidden="1" outlineLevel="2">
      <c r="A625" s="3" t="e">
        <f>(HYPERLINK("http://www.autodoc.ru/Web/price/art/2445RCCS4FDKW?analog=on","2445RCCS4FDKW"))*1</f>
        <v>#VALUE!</v>
      </c>
      <c r="B625" s="1">
        <v>6960476</v>
      </c>
      <c r="C625" t="s">
        <v>670</v>
      </c>
      <c r="D625" t="s">
        <v>696</v>
      </c>
      <c r="E625" t="s">
        <v>10</v>
      </c>
    </row>
    <row r="626" spans="1:5" hidden="1" outlineLevel="2">
      <c r="A626" s="3" t="e">
        <f>(HYPERLINK("http://www.autodoc.ru/Web/price/art/2445RCCS4RDKW?analog=on","2445RCCS4RDKW"))*1</f>
        <v>#VALUE!</v>
      </c>
      <c r="B626" s="1">
        <v>6960478</v>
      </c>
      <c r="C626" t="s">
        <v>670</v>
      </c>
      <c r="D626" t="s">
        <v>694</v>
      </c>
      <c r="E626" t="s">
        <v>10</v>
      </c>
    </row>
    <row r="627" spans="1:5" hidden="1" outlineLevel="2">
      <c r="A627" s="3" t="e">
        <f>(HYPERLINK("http://www.autodoc.ru/Web/price/art/2445RGSE5RD?analog=on","2445RGSE5RD"))*1</f>
        <v>#VALUE!</v>
      </c>
      <c r="B627" s="1">
        <v>6992140</v>
      </c>
      <c r="C627" t="s">
        <v>670</v>
      </c>
      <c r="D627" t="s">
        <v>697</v>
      </c>
      <c r="E627" t="s">
        <v>10</v>
      </c>
    </row>
    <row r="628" spans="1:5" hidden="1" outlineLevel="2">
      <c r="A628" s="3" t="e">
        <f>(HYPERLINK("http://www.autodoc.ru/Web/price/art/2445RGSE5RV?analog=on","2445RGSE5RV"))*1</f>
        <v>#VALUE!</v>
      </c>
      <c r="B628" s="1">
        <v>6992071</v>
      </c>
      <c r="C628" t="s">
        <v>670</v>
      </c>
      <c r="D628" t="s">
        <v>698</v>
      </c>
      <c r="E628" t="s">
        <v>10</v>
      </c>
    </row>
    <row r="629" spans="1:5" hidden="1" outlineLevel="2">
      <c r="A629" s="3" t="e">
        <f>(HYPERLINK("http://www.autodoc.ru/Web/price/art/2445RGSS4FD?analog=on","2445RGSS4FD"))*1</f>
        <v>#VALUE!</v>
      </c>
      <c r="B629" s="1">
        <v>6991758</v>
      </c>
      <c r="C629" t="s">
        <v>670</v>
      </c>
      <c r="D629" t="s">
        <v>699</v>
      </c>
      <c r="E629" t="s">
        <v>10</v>
      </c>
    </row>
    <row r="630" spans="1:5" hidden="1" outlineLevel="2">
      <c r="A630" s="3" t="e">
        <f>(HYPERLINK("http://www.autodoc.ru/Web/price/art/2445RGSS4RD?analog=on","2445RGSS4RD"))*1</f>
        <v>#VALUE!</v>
      </c>
      <c r="B630" s="1">
        <v>6991760</v>
      </c>
      <c r="C630" t="s">
        <v>670</v>
      </c>
      <c r="D630" t="s">
        <v>700</v>
      </c>
      <c r="E630" t="s">
        <v>10</v>
      </c>
    </row>
    <row r="631" spans="1:5" hidden="1" outlineLevel="2">
      <c r="A631" s="3" t="e">
        <f>(HYPERLINK("http://www.autodoc.ru/Web/price/art/2445RGSS4RV?analog=on","2445RGSS4RV"))*1</f>
        <v>#VALUE!</v>
      </c>
      <c r="B631" s="1">
        <v>6991789</v>
      </c>
      <c r="C631" t="s">
        <v>670</v>
      </c>
      <c r="D631" t="s">
        <v>701</v>
      </c>
      <c r="E631" t="s">
        <v>10</v>
      </c>
    </row>
    <row r="632" spans="1:5" hidden="1" outlineLevel="2">
      <c r="A632" s="3" t="e">
        <f>(HYPERLINK("http://www.autodoc.ru/Web/price/art/2445RGSS4RVK?analog=on","2445RGSS4RVK"))*1</f>
        <v>#VALUE!</v>
      </c>
      <c r="B632" s="1">
        <v>6960587</v>
      </c>
      <c r="C632" t="s">
        <v>670</v>
      </c>
      <c r="D632" t="s">
        <v>702</v>
      </c>
      <c r="E632" t="s">
        <v>10</v>
      </c>
    </row>
    <row r="633" spans="1:5" hidden="1" outlineLevel="2">
      <c r="A633" s="3" t="e">
        <f>(HYPERLINK("http://www.autodoc.ru/Web/price/art/2445RYPS4RD?analog=on","2445RYPS4RD"))*1</f>
        <v>#VALUE!</v>
      </c>
      <c r="B633" s="1">
        <v>6991885</v>
      </c>
      <c r="C633" t="s">
        <v>670</v>
      </c>
      <c r="D633" t="s">
        <v>703</v>
      </c>
      <c r="E633" t="s">
        <v>10</v>
      </c>
    </row>
    <row r="634" spans="1:5" hidden="1" outlineLevel="2">
      <c r="A634" s="3" t="e">
        <f>(HYPERLINK("http://www.autodoc.ru/Web/price/art/2445RYPS4RV?analog=on","2445RYPS4RV"))*1</f>
        <v>#VALUE!</v>
      </c>
      <c r="B634" s="1">
        <v>6992094</v>
      </c>
      <c r="C634" t="s">
        <v>670</v>
      </c>
      <c r="D634" t="s">
        <v>704</v>
      </c>
      <c r="E634" t="s">
        <v>10</v>
      </c>
    </row>
    <row r="635" spans="1:5" hidden="1" outlineLevel="1">
      <c r="A635" s="2">
        <v>0</v>
      </c>
      <c r="B635" s="26" t="s">
        <v>705</v>
      </c>
      <c r="C635" s="27">
        <v>0</v>
      </c>
      <c r="D635" s="27">
        <v>0</v>
      </c>
      <c r="E635" s="27">
        <v>0</v>
      </c>
    </row>
    <row r="636" spans="1:5" hidden="1" outlineLevel="2">
      <c r="A636" s="3" t="e">
        <f>(HYPERLINK("http://www.autodoc.ru/Web/price/art/2461AGNMV?analog=on","2461AGNMV"))*1</f>
        <v>#VALUE!</v>
      </c>
      <c r="B636" s="1">
        <v>6964976</v>
      </c>
      <c r="C636" t="s">
        <v>211</v>
      </c>
      <c r="D636" t="s">
        <v>706</v>
      </c>
      <c r="E636" t="s">
        <v>8</v>
      </c>
    </row>
    <row r="637" spans="1:5" hidden="1" outlineLevel="1">
      <c r="A637" s="2">
        <v>0</v>
      </c>
      <c r="B637" s="26" t="s">
        <v>707</v>
      </c>
      <c r="C637" s="27">
        <v>0</v>
      </c>
      <c r="D637" s="27">
        <v>0</v>
      </c>
      <c r="E637" s="27">
        <v>0</v>
      </c>
    </row>
    <row r="638" spans="1:5" hidden="1" outlineLevel="2">
      <c r="A638" s="3" t="e">
        <f>(HYPERLINK("http://www.autodoc.ru/Web/price/art/2459AGSGYCMV1B?analog=on","2459AGSGYCMV1B"))*1</f>
        <v>#VALUE!</v>
      </c>
      <c r="B638" s="1">
        <v>6965119</v>
      </c>
      <c r="C638" t="s">
        <v>708</v>
      </c>
      <c r="D638" t="s">
        <v>709</v>
      </c>
      <c r="E638" t="s">
        <v>8</v>
      </c>
    </row>
    <row r="639" spans="1:5" hidden="1" outlineLevel="2">
      <c r="A639" s="3" t="e">
        <f>(HYPERLINK("http://www.autodoc.ru/Web/price/art/2459ACCGYMV?analog=on","2459ACCGYMV"))*1</f>
        <v>#VALUE!</v>
      </c>
      <c r="B639" s="1">
        <v>6965111</v>
      </c>
      <c r="C639" t="s">
        <v>708</v>
      </c>
      <c r="D639" t="s">
        <v>710</v>
      </c>
      <c r="E639" t="s">
        <v>8</v>
      </c>
    </row>
    <row r="640" spans="1:5" hidden="1" outlineLevel="2">
      <c r="A640" s="3" t="e">
        <f>(HYPERLINK("http://www.autodoc.ru/Web/price/art/2459AGSGYMV?analog=on","2459AGSGYMV"))*1</f>
        <v>#VALUE!</v>
      </c>
      <c r="B640" s="1">
        <v>6965113</v>
      </c>
      <c r="C640" t="s">
        <v>708</v>
      </c>
      <c r="D640" t="s">
        <v>710</v>
      </c>
      <c r="E640" t="s">
        <v>8</v>
      </c>
    </row>
    <row r="641" spans="1:5" hidden="1" outlineLevel="2">
      <c r="A641" s="3" t="e">
        <f>(HYPERLINK("http://www.autodoc.ru/Web/price/art/2459AGSMV?analog=on","2459AGSMV"))*1</f>
        <v>#VALUE!</v>
      </c>
      <c r="B641" s="1">
        <v>6965115</v>
      </c>
      <c r="C641" t="s">
        <v>708</v>
      </c>
      <c r="D641" t="s">
        <v>711</v>
      </c>
      <c r="E641" t="s">
        <v>8</v>
      </c>
    </row>
    <row r="642" spans="1:5" hidden="1" outlineLevel="1">
      <c r="A642" s="2">
        <v>0</v>
      </c>
      <c r="B642" s="26" t="s">
        <v>712</v>
      </c>
      <c r="C642" s="27">
        <v>0</v>
      </c>
      <c r="D642" s="27">
        <v>0</v>
      </c>
      <c r="E642" s="27">
        <v>0</v>
      </c>
    </row>
    <row r="643" spans="1:5" hidden="1" outlineLevel="2">
      <c r="A643" s="3" t="e">
        <f>(HYPERLINK("http://www.autodoc.ru/Web/price/art/2446ACCGNMOV1B?analog=on","2446ACCGNMOV1B"))*1</f>
        <v>#VALUE!</v>
      </c>
      <c r="B643" s="1">
        <v>6960458</v>
      </c>
      <c r="C643" t="s">
        <v>425</v>
      </c>
      <c r="D643" t="s">
        <v>713</v>
      </c>
      <c r="E643" t="s">
        <v>8</v>
      </c>
    </row>
    <row r="644" spans="1:5" hidden="1" outlineLevel="2">
      <c r="A644" s="3" t="e">
        <f>(HYPERLINK("http://www.autodoc.ru/Web/price/art/2446ACCMOUV1B?analog=on","2446ACCMOUV1B"))*1</f>
        <v>#VALUE!</v>
      </c>
      <c r="B644" s="1">
        <v>6960550</v>
      </c>
      <c r="C644" t="s">
        <v>425</v>
      </c>
      <c r="D644" t="s">
        <v>714</v>
      </c>
      <c r="E644" t="s">
        <v>8</v>
      </c>
    </row>
    <row r="645" spans="1:5" hidden="1" outlineLevel="2">
      <c r="A645" s="3" t="e">
        <f>(HYPERLINK("http://www.autodoc.ru/Web/price/art/2446AGSGNMOV1B?analog=on","2446AGSGNMOV1B"))*1</f>
        <v>#VALUE!</v>
      </c>
      <c r="B645" s="1">
        <v>6960579</v>
      </c>
      <c r="C645" t="s">
        <v>425</v>
      </c>
      <c r="D645" t="s">
        <v>715</v>
      </c>
      <c r="E645" t="s">
        <v>8</v>
      </c>
    </row>
    <row r="646" spans="1:5" hidden="1" outlineLevel="2">
      <c r="A646" s="3" t="e">
        <f>(HYPERLINK("http://www.autodoc.ru/Web/price/art/2446AGSMOUV1B?analog=on","2446AGSMOUV1B"))*1</f>
        <v>#VALUE!</v>
      </c>
      <c r="B646" s="1">
        <v>6960947</v>
      </c>
      <c r="C646" t="s">
        <v>425</v>
      </c>
      <c r="D646" t="s">
        <v>716</v>
      </c>
      <c r="E646" t="s">
        <v>8</v>
      </c>
    </row>
    <row r="647" spans="1:5" hidden="1" outlineLevel="2">
      <c r="A647" s="3" t="e">
        <f>(HYPERLINK("http://www.autodoc.ru/Web/price/art/2446AGSMOV1B?analog=on","2446AGSMOV1B"))*1</f>
        <v>#VALUE!</v>
      </c>
      <c r="B647" s="1">
        <v>6967027</v>
      </c>
      <c r="C647" t="s">
        <v>425</v>
      </c>
      <c r="D647" t="s">
        <v>717</v>
      </c>
      <c r="E647" t="s">
        <v>8</v>
      </c>
    </row>
    <row r="648" spans="1:5" hidden="1" outlineLevel="2">
      <c r="A648" s="3" t="e">
        <f>(HYPERLINK("http://www.autodoc.ru/Web/price/art/2446BGSCABZ?analog=on","2446BGSCABZ"))*1</f>
        <v>#VALUE!</v>
      </c>
      <c r="B648" s="1">
        <v>6900364</v>
      </c>
      <c r="C648" t="s">
        <v>425</v>
      </c>
      <c r="D648" t="s">
        <v>718</v>
      </c>
      <c r="E648" t="s">
        <v>23</v>
      </c>
    </row>
    <row r="649" spans="1:5" hidden="1" outlineLevel="2">
      <c r="A649" s="3" t="e">
        <f>(HYPERLINK("http://www.autodoc.ru/Web/price/art/2446LGSC2FDW?analog=on","2446LGSC2FDW"))*1</f>
        <v>#VALUE!</v>
      </c>
      <c r="B649" s="1">
        <v>6999926</v>
      </c>
      <c r="C649" t="s">
        <v>425</v>
      </c>
      <c r="D649" t="s">
        <v>719</v>
      </c>
      <c r="E649" t="s">
        <v>10</v>
      </c>
    </row>
    <row r="650" spans="1:5" hidden="1" outlineLevel="2">
      <c r="A650" s="3" t="e">
        <f>(HYPERLINK("http://www.autodoc.ru/Web/price/art/2446RGSC2FDW?analog=on","2446RGSC2FDW"))*1</f>
        <v>#VALUE!</v>
      </c>
      <c r="B650" s="1">
        <v>6900018</v>
      </c>
      <c r="C650" t="s">
        <v>425</v>
      </c>
      <c r="D650" t="s">
        <v>720</v>
      </c>
      <c r="E650" t="s">
        <v>10</v>
      </c>
    </row>
    <row r="651" spans="1:5" hidden="1" outlineLevel="1">
      <c r="A651" s="2">
        <v>0</v>
      </c>
      <c r="B651" s="26" t="s">
        <v>721</v>
      </c>
      <c r="C651" s="27">
        <v>0</v>
      </c>
      <c r="D651" s="27">
        <v>0</v>
      </c>
      <c r="E651" s="27">
        <v>0</v>
      </c>
    </row>
    <row r="652" spans="1:5" hidden="1" outlineLevel="2">
      <c r="A652" s="3" t="e">
        <f>(HYPERLINK("http://www.autodoc.ru/Web/price/art/2463AGNMV?analog=on","2463AGNMV"))*1</f>
        <v>#VALUE!</v>
      </c>
      <c r="B652" s="1">
        <v>6965238</v>
      </c>
      <c r="C652" t="s">
        <v>341</v>
      </c>
      <c r="D652" t="s">
        <v>722</v>
      </c>
      <c r="E652" t="s">
        <v>8</v>
      </c>
    </row>
    <row r="653" spans="1:5" hidden="1" outlineLevel="1">
      <c r="A653" s="2">
        <v>0</v>
      </c>
      <c r="B653" s="26" t="s">
        <v>723</v>
      </c>
      <c r="C653" s="27">
        <v>0</v>
      </c>
      <c r="D653" s="27">
        <v>0</v>
      </c>
      <c r="E653" s="27">
        <v>0</v>
      </c>
    </row>
    <row r="654" spans="1:5" hidden="1" outlineLevel="2">
      <c r="A654" s="3" t="e">
        <f>(HYPERLINK("http://www.autodoc.ru/Web/price/art/2427AGNBLH?analog=on","2427AGNBLH"))*1</f>
        <v>#VALUE!</v>
      </c>
      <c r="B654" s="1">
        <v>6963289</v>
      </c>
      <c r="C654" t="s">
        <v>724</v>
      </c>
      <c r="D654" t="s">
        <v>725</v>
      </c>
      <c r="E654" t="s">
        <v>8</v>
      </c>
    </row>
    <row r="655" spans="1:5" hidden="1" outlineLevel="2">
      <c r="A655" s="3" t="e">
        <f>(HYPERLINK("http://www.autodoc.ru/Web/price/art/2427AGNGN?analog=on","2427AGNGN"))*1</f>
        <v>#VALUE!</v>
      </c>
      <c r="B655" s="1">
        <v>6962935</v>
      </c>
      <c r="C655" t="s">
        <v>724</v>
      </c>
      <c r="D655" t="s">
        <v>726</v>
      </c>
      <c r="E655" t="s">
        <v>8</v>
      </c>
    </row>
    <row r="656" spans="1:5" hidden="1" outlineLevel="2">
      <c r="A656" s="3" t="e">
        <f>(HYPERLINK("http://www.autodoc.ru/Web/price/art/2427AGNGNH?analog=on","2427AGNGNH"))*1</f>
        <v>#VALUE!</v>
      </c>
      <c r="B656" s="1">
        <v>6963690</v>
      </c>
      <c r="C656" t="s">
        <v>724</v>
      </c>
      <c r="D656" t="s">
        <v>727</v>
      </c>
      <c r="E656" t="s">
        <v>8</v>
      </c>
    </row>
    <row r="657" spans="1:5" hidden="1" outlineLevel="2">
      <c r="A657" s="3" t="e">
        <f>(HYPERLINK("http://www.autodoc.ru/Web/price/art/2427AGNH?analog=on","2427AGNH"))*1</f>
        <v>#VALUE!</v>
      </c>
      <c r="B657" s="1">
        <v>6963691</v>
      </c>
      <c r="C657" t="s">
        <v>724</v>
      </c>
      <c r="D657" t="s">
        <v>728</v>
      </c>
      <c r="E657" t="s">
        <v>8</v>
      </c>
    </row>
    <row r="658" spans="1:5" hidden="1" outlineLevel="2">
      <c r="A658" s="3" t="e">
        <f>(HYPERLINK("http://www.autodoc.ru/Web/price/art/2427AKCS?analog=on","2427AKCS"))*1</f>
        <v>#VALUE!</v>
      </c>
      <c r="B658" s="1">
        <v>6102328</v>
      </c>
      <c r="C658" t="s">
        <v>19</v>
      </c>
      <c r="D658" t="s">
        <v>729</v>
      </c>
      <c r="E658" t="s">
        <v>21</v>
      </c>
    </row>
    <row r="659" spans="1:5" hidden="1" outlineLevel="2">
      <c r="A659" s="3" t="e">
        <f>(HYPERLINK("http://www.autodoc.ru/Web/price/art/2427ASMS?analog=on","2427ASMS"))*1</f>
        <v>#VALUE!</v>
      </c>
      <c r="B659" s="1">
        <v>6101155</v>
      </c>
      <c r="C659" t="s">
        <v>19</v>
      </c>
      <c r="D659" t="s">
        <v>730</v>
      </c>
      <c r="E659" t="s">
        <v>21</v>
      </c>
    </row>
    <row r="660" spans="1:5" hidden="1" outlineLevel="2">
      <c r="A660" s="3" t="e">
        <f>(HYPERLINK("http://www.autodoc.ru/Web/price/art/2427BGNSA?analog=on","2427BGNSA"))*1</f>
        <v>#VALUE!</v>
      </c>
      <c r="B660" s="1">
        <v>6998935</v>
      </c>
      <c r="C660" t="s">
        <v>724</v>
      </c>
      <c r="D660" t="s">
        <v>731</v>
      </c>
      <c r="E660" t="s">
        <v>23</v>
      </c>
    </row>
    <row r="661" spans="1:5" hidden="1" outlineLevel="2">
      <c r="A661" s="3" t="e">
        <f>(HYPERLINK("http://www.autodoc.ru/Web/price/art/2427LGNS4FD?analog=on","2427LGNS4FD"))*1</f>
        <v>#VALUE!</v>
      </c>
      <c r="B661" s="1">
        <v>6996646</v>
      </c>
      <c r="C661" t="s">
        <v>724</v>
      </c>
      <c r="D661" t="s">
        <v>732</v>
      </c>
      <c r="E661" t="s">
        <v>10</v>
      </c>
    </row>
    <row r="662" spans="1:5" hidden="1" outlineLevel="2">
      <c r="A662" s="3" t="e">
        <f>(HYPERLINK("http://www.autodoc.ru/Web/price/art/2427LGNS4RD?analog=on","2427LGNS4RD"))*1</f>
        <v>#VALUE!</v>
      </c>
      <c r="B662" s="1">
        <v>6996647</v>
      </c>
      <c r="C662" t="s">
        <v>724</v>
      </c>
      <c r="D662" t="s">
        <v>733</v>
      </c>
      <c r="E662" t="s">
        <v>10</v>
      </c>
    </row>
    <row r="663" spans="1:5" hidden="1" outlineLevel="2">
      <c r="A663" s="3" t="e">
        <f>(HYPERLINK("http://www.autodoc.ru/Web/price/art/2427RGNS4FD?analog=on","2427RGNS4FD"))*1</f>
        <v>#VALUE!</v>
      </c>
      <c r="B663" s="1">
        <v>6996648</v>
      </c>
      <c r="C663" t="s">
        <v>724</v>
      </c>
      <c r="D663" t="s">
        <v>734</v>
      </c>
      <c r="E663" t="s">
        <v>10</v>
      </c>
    </row>
    <row r="664" spans="1:5" hidden="1" outlineLevel="2">
      <c r="A664" s="3" t="e">
        <f>(HYPERLINK("http://www.autodoc.ru/Web/price/art/2427RGNS4RD?analog=on","2427RGNS4RD"))*1</f>
        <v>#VALUE!</v>
      </c>
      <c r="B664" s="1">
        <v>6996649</v>
      </c>
      <c r="C664" t="s">
        <v>724</v>
      </c>
      <c r="D664" t="s">
        <v>735</v>
      </c>
      <c r="E664" t="s">
        <v>10</v>
      </c>
    </row>
    <row r="665" spans="1:5" hidden="1" outlineLevel="1">
      <c r="A665" s="2">
        <v>0</v>
      </c>
      <c r="B665" s="26" t="s">
        <v>736</v>
      </c>
      <c r="C665" s="27">
        <v>0</v>
      </c>
      <c r="D665" s="27">
        <v>0</v>
      </c>
      <c r="E665" s="27">
        <v>0</v>
      </c>
    </row>
    <row r="666" spans="1:5" hidden="1" outlineLevel="2">
      <c r="A666" s="3" t="e">
        <f>(HYPERLINK("http://www.autodoc.ru/Web/price/art/2433AGNGNHMV?analog=on","2433AGNGNHMV"))*1</f>
        <v>#VALUE!</v>
      </c>
      <c r="B666" s="1">
        <v>6961935</v>
      </c>
      <c r="C666" t="s">
        <v>33</v>
      </c>
      <c r="D666" t="s">
        <v>737</v>
      </c>
      <c r="E666" t="s">
        <v>8</v>
      </c>
    </row>
    <row r="667" spans="1:5" hidden="1" outlineLevel="2">
      <c r="A667" s="3" t="e">
        <f>(HYPERLINK("http://www.autodoc.ru/Web/price/art/2433AGNGNHMV1T?analog=on","2433AGNGNHMV1T"))*1</f>
        <v>#VALUE!</v>
      </c>
      <c r="B667" s="1">
        <v>6961936</v>
      </c>
      <c r="C667" t="s">
        <v>33</v>
      </c>
      <c r="D667" t="s">
        <v>738</v>
      </c>
      <c r="E667" t="s">
        <v>8</v>
      </c>
    </row>
    <row r="668" spans="1:5" hidden="1" outlineLevel="2">
      <c r="A668" s="3" t="e">
        <f>(HYPERLINK("http://www.autodoc.ru/Web/price/art/2433AGNGNHPV?analog=on","2433AGNGNHPV"))*1</f>
        <v>#VALUE!</v>
      </c>
      <c r="B668" s="1">
        <v>6962936</v>
      </c>
      <c r="C668" t="s">
        <v>33</v>
      </c>
      <c r="D668" t="s">
        <v>739</v>
      </c>
      <c r="E668" t="s">
        <v>8</v>
      </c>
    </row>
    <row r="669" spans="1:5" hidden="1" outlineLevel="2">
      <c r="A669" s="3" t="e">
        <f>(HYPERLINK("http://www.autodoc.ru/Web/price/art/2433AGNGNHPV1T?analog=on","2433AGNGNHPV1T"))*1</f>
        <v>#VALUE!</v>
      </c>
      <c r="B669" s="1">
        <v>6950029</v>
      </c>
      <c r="C669" t="s">
        <v>33</v>
      </c>
      <c r="D669" t="s">
        <v>740</v>
      </c>
      <c r="E669" t="s">
        <v>8</v>
      </c>
    </row>
    <row r="670" spans="1:5" hidden="1" outlineLevel="2">
      <c r="A670" s="3" t="e">
        <f>(HYPERLINK("http://www.autodoc.ru/Web/price/art/2433AGNGNHV?analog=on","2433AGNGNHV"))*1</f>
        <v>#VALUE!</v>
      </c>
      <c r="B670" s="1">
        <v>6963291</v>
      </c>
      <c r="C670" t="s">
        <v>33</v>
      </c>
      <c r="D670" t="s">
        <v>741</v>
      </c>
      <c r="E670" t="s">
        <v>8</v>
      </c>
    </row>
    <row r="671" spans="1:5" hidden="1" outlineLevel="2">
      <c r="A671" s="3" t="e">
        <f>(HYPERLINK("http://www.autodoc.ru/Web/price/art/2433AGNHMV1T?analog=on","2433AGNHMV1T"))*1</f>
        <v>#VALUE!</v>
      </c>
      <c r="B671" s="1">
        <v>6961937</v>
      </c>
      <c r="C671" t="s">
        <v>33</v>
      </c>
      <c r="D671" t="s">
        <v>742</v>
      </c>
      <c r="E671" t="s">
        <v>8</v>
      </c>
    </row>
    <row r="672" spans="1:5" hidden="1" outlineLevel="2">
      <c r="A672" s="3" t="e">
        <f>(HYPERLINK("http://www.autodoc.ru/Web/price/art/2433AGNHV?analog=on","2433AGNHV"))*1</f>
        <v>#VALUE!</v>
      </c>
      <c r="B672" s="1">
        <v>6963293</v>
      </c>
      <c r="C672" t="s">
        <v>33</v>
      </c>
      <c r="D672" t="s">
        <v>743</v>
      </c>
      <c r="E672" t="s">
        <v>8</v>
      </c>
    </row>
    <row r="673" spans="1:5" hidden="1" outlineLevel="2">
      <c r="A673" s="3" t="e">
        <f>(HYPERLINK("http://www.autodoc.ru/Web/price/art/2433AKSS?analog=on","2433AKSS"))*1</f>
        <v>#VALUE!</v>
      </c>
      <c r="B673" s="1">
        <v>6101089</v>
      </c>
      <c r="C673" t="s">
        <v>19</v>
      </c>
      <c r="D673" t="s">
        <v>744</v>
      </c>
      <c r="E673" t="s">
        <v>21</v>
      </c>
    </row>
    <row r="674" spans="1:5" hidden="1" outlineLevel="2">
      <c r="A674" s="3" t="e">
        <f>(HYPERLINK("http://www.autodoc.ru/Web/price/art/2433ASMST?analog=on","2433ASMST"))*1</f>
        <v>#VALUE!</v>
      </c>
      <c r="B674" s="1">
        <v>6101203</v>
      </c>
      <c r="C674" t="s">
        <v>19</v>
      </c>
      <c r="D674" t="s">
        <v>745</v>
      </c>
      <c r="E674" t="s">
        <v>21</v>
      </c>
    </row>
    <row r="675" spans="1:5" hidden="1" outlineLevel="2">
      <c r="A675" s="3" t="e">
        <f>(HYPERLINK("http://www.autodoc.ru/Web/price/art/2433BGNSAB?analog=on","2433BGNSAB"))*1</f>
        <v>#VALUE!</v>
      </c>
      <c r="B675" s="1">
        <v>6998698</v>
      </c>
      <c r="C675" t="s">
        <v>33</v>
      </c>
      <c r="D675" t="s">
        <v>746</v>
      </c>
      <c r="E675" t="s">
        <v>23</v>
      </c>
    </row>
    <row r="676" spans="1:5" hidden="1" outlineLevel="2">
      <c r="A676" s="3" t="e">
        <f>(HYPERLINK("http://www.autodoc.ru/Web/price/art/2433LGNS4FD?analog=on","2433LGNS4FD"))*1</f>
        <v>#VALUE!</v>
      </c>
      <c r="B676" s="1">
        <v>6995517</v>
      </c>
      <c r="C676" t="s">
        <v>33</v>
      </c>
      <c r="D676" t="s">
        <v>747</v>
      </c>
      <c r="E676" t="s">
        <v>10</v>
      </c>
    </row>
    <row r="677" spans="1:5" hidden="1" outlineLevel="2">
      <c r="A677" s="3" t="e">
        <f>(HYPERLINK("http://www.autodoc.ru/Web/price/art/2433LGNS4RD?analog=on","2433LGNS4RD"))*1</f>
        <v>#VALUE!</v>
      </c>
      <c r="B677" s="1">
        <v>6994319</v>
      </c>
      <c r="C677" t="s">
        <v>33</v>
      </c>
      <c r="D677" t="s">
        <v>748</v>
      </c>
      <c r="E677" t="s">
        <v>10</v>
      </c>
    </row>
    <row r="678" spans="1:5" hidden="1" outlineLevel="2">
      <c r="A678" s="3" t="e">
        <f>(HYPERLINK("http://www.autodoc.ru/Web/price/art/2433RGNS4FD?analog=on","2433RGNS4FD"))*1</f>
        <v>#VALUE!</v>
      </c>
      <c r="B678" s="1">
        <v>6995518</v>
      </c>
      <c r="C678" t="s">
        <v>33</v>
      </c>
      <c r="D678" t="s">
        <v>749</v>
      </c>
      <c r="E678" t="s">
        <v>10</v>
      </c>
    </row>
    <row r="679" spans="1:5" hidden="1" outlineLevel="2">
      <c r="A679" s="3" t="e">
        <f>(HYPERLINK("http://www.autodoc.ru/Web/price/art/2433RGNS4RD?analog=on","2433RGNS4RD"))*1</f>
        <v>#VALUE!</v>
      </c>
      <c r="B679" s="1">
        <v>6994321</v>
      </c>
      <c r="C679" t="s">
        <v>33</v>
      </c>
      <c r="D679" t="s">
        <v>750</v>
      </c>
      <c r="E679" t="s">
        <v>10</v>
      </c>
    </row>
    <row r="680" spans="1:5" hidden="1" outlineLevel="1">
      <c r="A680" s="2">
        <v>0</v>
      </c>
      <c r="B680" s="26" t="s">
        <v>751</v>
      </c>
      <c r="C680" s="27">
        <v>0</v>
      </c>
      <c r="D680" s="27">
        <v>0</v>
      </c>
      <c r="E680" s="27">
        <v>0</v>
      </c>
    </row>
    <row r="681" spans="1:5" hidden="1" outlineLevel="2">
      <c r="A681" s="3" t="e">
        <f>(HYPERLINK("http://www.autodoc.ru/Web/price/art/2443AGSGNHMV1B?analog=on","2443AGSGNHMV1B"))*1</f>
        <v>#VALUE!</v>
      </c>
      <c r="B681" s="1">
        <v>6950026</v>
      </c>
      <c r="C681" t="s">
        <v>641</v>
      </c>
      <c r="D681" t="s">
        <v>752</v>
      </c>
      <c r="E681" t="s">
        <v>8</v>
      </c>
    </row>
    <row r="682" spans="1:5" hidden="1" outlineLevel="2">
      <c r="A682" s="3" t="e">
        <f>(HYPERLINK("http://www.autodoc.ru/Web/price/art/2443AGSGNHMV2B?analog=on","2443AGSGNHMV2B"))*1</f>
        <v>#VALUE!</v>
      </c>
      <c r="B682" s="1">
        <v>6962799</v>
      </c>
      <c r="C682" t="s">
        <v>753</v>
      </c>
      <c r="D682" t="s">
        <v>754</v>
      </c>
      <c r="E682" t="s">
        <v>8</v>
      </c>
    </row>
    <row r="683" spans="1:5" hidden="1" outlineLevel="2">
      <c r="A683" s="3" t="e">
        <f>(HYPERLINK("http://www.autodoc.ru/Web/price/art/2443AGSGNHMV6T?analog=on","2443AGSGNHMV6T"))*1</f>
        <v>#VALUE!</v>
      </c>
      <c r="B683" s="1">
        <v>6961896</v>
      </c>
      <c r="C683" t="s">
        <v>755</v>
      </c>
      <c r="D683" t="s">
        <v>756</v>
      </c>
      <c r="E683" t="s">
        <v>8</v>
      </c>
    </row>
    <row r="684" spans="1:5" hidden="1" outlineLevel="2">
      <c r="A684" s="3" t="e">
        <f>(HYPERLINK("http://www.autodoc.ru/Web/price/art/2443AGSHMV1B?analog=on","2443AGSHMV1B"))*1</f>
        <v>#VALUE!</v>
      </c>
      <c r="B684" s="1">
        <v>6950027</v>
      </c>
      <c r="C684" t="s">
        <v>753</v>
      </c>
      <c r="D684" t="s">
        <v>757</v>
      </c>
      <c r="E684" t="s">
        <v>8</v>
      </c>
    </row>
    <row r="685" spans="1:5" hidden="1" outlineLevel="2">
      <c r="A685" s="3" t="e">
        <f>(HYPERLINK("http://www.autodoc.ru/Web/price/art/2443ASMST?analog=on","2443ASMST"))*1</f>
        <v>#VALUE!</v>
      </c>
      <c r="B685" s="1">
        <v>6101111</v>
      </c>
      <c r="C685" t="s">
        <v>19</v>
      </c>
      <c r="D685" t="s">
        <v>758</v>
      </c>
      <c r="E685" t="s">
        <v>21</v>
      </c>
    </row>
    <row r="686" spans="1:5" hidden="1" outlineLevel="2">
      <c r="A686" s="3" t="e">
        <f>(HYPERLINK("http://www.autodoc.ru/Web/price/art/2443BGSSAGJP?analog=on","2443BGSSAGJP"))*1</f>
        <v>#VALUE!</v>
      </c>
      <c r="B686" s="1">
        <v>6999490</v>
      </c>
      <c r="C686" t="s">
        <v>753</v>
      </c>
      <c r="D686" t="s">
        <v>759</v>
      </c>
      <c r="E686" t="s">
        <v>23</v>
      </c>
    </row>
    <row r="687" spans="1:5" hidden="1" outlineLevel="2">
      <c r="A687" s="3" t="e">
        <f>(HYPERLINK("http://www.autodoc.ru/Web/price/art/2443LGSS4FD?analog=on","2443LGSS4FD"))*1</f>
        <v>#VALUE!</v>
      </c>
      <c r="B687" s="1">
        <v>6999927</v>
      </c>
      <c r="C687" t="s">
        <v>753</v>
      </c>
      <c r="D687" t="s">
        <v>760</v>
      </c>
      <c r="E687" t="s">
        <v>10</v>
      </c>
    </row>
    <row r="688" spans="1:5" hidden="1" outlineLevel="2">
      <c r="A688" s="3" t="e">
        <f>(HYPERLINK("http://www.autodoc.ru/Web/price/art/2443LGSS4RD?analog=on","2443LGSS4RD"))*1</f>
        <v>#VALUE!</v>
      </c>
      <c r="B688" s="1">
        <v>6900124</v>
      </c>
      <c r="C688" t="s">
        <v>753</v>
      </c>
      <c r="D688" t="s">
        <v>761</v>
      </c>
      <c r="E688" t="s">
        <v>10</v>
      </c>
    </row>
    <row r="689" spans="1:5" hidden="1" outlineLevel="2">
      <c r="A689" s="3" t="e">
        <f>(HYPERLINK("http://www.autodoc.ru/Web/price/art/2443LGSS4RV?analog=on","2443LGSS4RV"))*1</f>
        <v>#VALUE!</v>
      </c>
      <c r="B689" s="1">
        <v>6900290</v>
      </c>
      <c r="C689" t="s">
        <v>753</v>
      </c>
      <c r="D689" t="s">
        <v>762</v>
      </c>
      <c r="E689" t="s">
        <v>10</v>
      </c>
    </row>
    <row r="690" spans="1:5" hidden="1" outlineLevel="2">
      <c r="A690" s="3" t="e">
        <f>(HYPERLINK("http://www.autodoc.ru/Web/price/art/2443RGSS4FD?analog=on","2443RGSS4FD"))*1</f>
        <v>#VALUE!</v>
      </c>
      <c r="B690" s="1">
        <v>6900019</v>
      </c>
      <c r="C690" t="s">
        <v>753</v>
      </c>
      <c r="D690" t="s">
        <v>763</v>
      </c>
      <c r="E690" t="s">
        <v>10</v>
      </c>
    </row>
    <row r="691" spans="1:5" hidden="1" outlineLevel="2">
      <c r="A691" s="3" t="e">
        <f>(HYPERLINK("http://www.autodoc.ru/Web/price/art/2443RGSS4RD?analog=on","2443RGSS4RD"))*1</f>
        <v>#VALUE!</v>
      </c>
      <c r="B691" s="1">
        <v>6900248</v>
      </c>
      <c r="C691" t="s">
        <v>753</v>
      </c>
      <c r="D691" t="s">
        <v>764</v>
      </c>
      <c r="E691" t="s">
        <v>10</v>
      </c>
    </row>
    <row r="692" spans="1:5" hidden="1" outlineLevel="2">
      <c r="A692" s="3" t="e">
        <f>(HYPERLINK("http://www.autodoc.ru/Web/price/art/2443RGSS4RD1J?analog=on","2443RGSS4RD1J"))*1</f>
        <v>#VALUE!</v>
      </c>
      <c r="B692" s="1">
        <v>6900474</v>
      </c>
      <c r="C692" t="s">
        <v>753</v>
      </c>
      <c r="D692" t="s">
        <v>765</v>
      </c>
      <c r="E692" t="s">
        <v>10</v>
      </c>
    </row>
    <row r="693" spans="1:5" hidden="1" outlineLevel="2">
      <c r="A693" s="3" t="e">
        <f>(HYPERLINK("http://www.autodoc.ru/Web/price/art/2443RGSS4RV?analog=on","2443RGSS4RV"))*1</f>
        <v>#VALUE!</v>
      </c>
      <c r="B693" s="1">
        <v>6900306</v>
      </c>
      <c r="C693" t="s">
        <v>753</v>
      </c>
      <c r="D693" t="s">
        <v>766</v>
      </c>
      <c r="E693" t="s">
        <v>10</v>
      </c>
    </row>
    <row r="694" spans="1:5" hidden="1" outlineLevel="1">
      <c r="A694" s="2">
        <v>0</v>
      </c>
      <c r="B694" s="26" t="s">
        <v>767</v>
      </c>
      <c r="C694" s="27">
        <v>0</v>
      </c>
      <c r="D694" s="27">
        <v>0</v>
      </c>
      <c r="E694" s="27">
        <v>0</v>
      </c>
    </row>
    <row r="695" spans="1:5" hidden="1" outlineLevel="2">
      <c r="A695" s="3" t="e">
        <f>(HYPERLINK("http://www.autodoc.ru/Web/price/art/2457AGSGYMV?analog=on","2457AGSGYMV"))*1</f>
        <v>#VALUE!</v>
      </c>
      <c r="B695" s="1">
        <v>6964974</v>
      </c>
      <c r="C695" t="s">
        <v>366</v>
      </c>
      <c r="D695" t="s">
        <v>768</v>
      </c>
      <c r="E695" t="s">
        <v>8</v>
      </c>
    </row>
    <row r="696" spans="1:5" hidden="1" outlineLevel="2">
      <c r="A696" s="3" t="e">
        <f>(HYPERLINK("http://www.autodoc.ru/Web/price/art/2457LGSS4FD?analog=on","2457LGSS4FD"))*1</f>
        <v>#VALUE!</v>
      </c>
      <c r="B696" s="1">
        <v>6901418</v>
      </c>
      <c r="C696" t="s">
        <v>366</v>
      </c>
      <c r="D696" t="s">
        <v>769</v>
      </c>
      <c r="E696" t="s">
        <v>10</v>
      </c>
    </row>
    <row r="697" spans="1:5" hidden="1" outlineLevel="2">
      <c r="A697" s="3" t="e">
        <f>(HYPERLINK("http://www.autodoc.ru/Web/price/art/2457RGSS4FD?analog=on","2457RGSS4FD"))*1</f>
        <v>#VALUE!</v>
      </c>
      <c r="B697" s="1">
        <v>6901417</v>
      </c>
      <c r="C697" t="s">
        <v>366</v>
      </c>
      <c r="D697" t="s">
        <v>770</v>
      </c>
      <c r="E697" t="s">
        <v>10</v>
      </c>
    </row>
    <row r="698" spans="1:5" hidden="1" outlineLevel="1">
      <c r="A698" s="2">
        <v>0</v>
      </c>
      <c r="B698" s="26" t="s">
        <v>771</v>
      </c>
      <c r="C698" s="27">
        <v>0</v>
      </c>
      <c r="D698" s="27">
        <v>0</v>
      </c>
      <c r="E698" s="27">
        <v>0</v>
      </c>
    </row>
    <row r="699" spans="1:5" hidden="1" outlineLevel="2">
      <c r="A699" s="3" t="e">
        <f>(HYPERLINK("http://www.autodoc.ru/Web/price/art/2422AGN?analog=on","2422AGN"))*1</f>
        <v>#VALUE!</v>
      </c>
      <c r="B699" s="1">
        <v>6963608</v>
      </c>
      <c r="C699" t="s">
        <v>772</v>
      </c>
      <c r="D699" t="s">
        <v>773</v>
      </c>
      <c r="E699" t="s">
        <v>8</v>
      </c>
    </row>
    <row r="700" spans="1:5" hidden="1" outlineLevel="2">
      <c r="A700" s="3" t="e">
        <f>(HYPERLINK("http://www.autodoc.ru/Web/price/art/2422AGNGN?analog=on","2422AGNGN"))*1</f>
        <v>#VALUE!</v>
      </c>
      <c r="B700" s="1">
        <v>6963609</v>
      </c>
      <c r="C700" t="s">
        <v>772</v>
      </c>
      <c r="D700" t="s">
        <v>774</v>
      </c>
      <c r="E700" t="s">
        <v>8</v>
      </c>
    </row>
    <row r="701" spans="1:5" hidden="1" outlineLevel="1">
      <c r="A701" s="2">
        <v>0</v>
      </c>
      <c r="B701" s="26" t="s">
        <v>775</v>
      </c>
      <c r="C701" s="27">
        <v>0</v>
      </c>
      <c r="D701" s="27">
        <v>0</v>
      </c>
      <c r="E701" s="27">
        <v>0</v>
      </c>
    </row>
    <row r="702" spans="1:5" hidden="1" outlineLevel="2">
      <c r="A702" s="3" t="e">
        <f>(HYPERLINK("http://www.autodoc.ru/Web/price/art/2430AGNGN?analog=on","2430AGNGN"))*1</f>
        <v>#VALUE!</v>
      </c>
      <c r="B702" s="1">
        <v>6963539</v>
      </c>
      <c r="C702" t="s">
        <v>776</v>
      </c>
      <c r="D702" t="s">
        <v>777</v>
      </c>
      <c r="E702" t="s">
        <v>8</v>
      </c>
    </row>
    <row r="703" spans="1:5" hidden="1" outlineLevel="1">
      <c r="A703" s="2">
        <v>0</v>
      </c>
      <c r="B703" s="26" t="s">
        <v>778</v>
      </c>
      <c r="C703" s="27">
        <v>0</v>
      </c>
      <c r="D703" s="27">
        <v>0</v>
      </c>
      <c r="E703" s="27">
        <v>0</v>
      </c>
    </row>
    <row r="704" spans="1:5" hidden="1" outlineLevel="2">
      <c r="A704" s="3" t="e">
        <f>(HYPERLINK("http://www.autodoc.ru/Web/price/art/2440AGSGNV?analog=on","2440AGSGNV"))*1</f>
        <v>#VALUE!</v>
      </c>
      <c r="B704" s="1">
        <v>6960835</v>
      </c>
      <c r="C704" t="s">
        <v>779</v>
      </c>
      <c r="D704" t="s">
        <v>780</v>
      </c>
      <c r="E704" t="s">
        <v>8</v>
      </c>
    </row>
    <row r="705" spans="1:5" hidden="1" outlineLevel="2">
      <c r="A705" s="3" t="e">
        <f>(HYPERLINK("http://www.autodoc.ru/Web/price/art/2440AGSBLV?analog=on","2440AGSBLV"))*1</f>
        <v>#VALUE!</v>
      </c>
      <c r="B705" s="1">
        <v>6962514</v>
      </c>
      <c r="C705" t="s">
        <v>779</v>
      </c>
      <c r="D705" t="s">
        <v>781</v>
      </c>
      <c r="E705" t="s">
        <v>8</v>
      </c>
    </row>
    <row r="706" spans="1:5" hidden="1" outlineLevel="2">
      <c r="A706" s="3" t="e">
        <f>(HYPERLINK("http://www.autodoc.ru/Web/price/art/2440AGSMV1B?analog=on","2440AGSMV1B"))*1</f>
        <v>#VALUE!</v>
      </c>
      <c r="B706" s="1">
        <v>6961193</v>
      </c>
      <c r="C706" t="s">
        <v>782</v>
      </c>
      <c r="D706" t="s">
        <v>783</v>
      </c>
      <c r="E706" t="s">
        <v>8</v>
      </c>
    </row>
    <row r="707" spans="1:5" hidden="1" outlineLevel="2">
      <c r="A707" s="3" t="e">
        <f>(HYPERLINK("http://www.autodoc.ru/Web/price/art/2440AGSV?analog=on","2440AGSV"))*1</f>
        <v>#VALUE!</v>
      </c>
      <c r="B707" s="1">
        <v>6960741</v>
      </c>
      <c r="C707" t="s">
        <v>779</v>
      </c>
      <c r="D707" t="s">
        <v>784</v>
      </c>
      <c r="E707" t="s">
        <v>8</v>
      </c>
    </row>
    <row r="708" spans="1:5" hidden="1" outlineLevel="2">
      <c r="A708" s="3" t="e">
        <f>(HYPERLINK("http://www.autodoc.ru/Web/price/art/2440AGSV2B?analog=on","2440AGSV2B"))*1</f>
        <v>#VALUE!</v>
      </c>
      <c r="B708" s="1">
        <v>6961239</v>
      </c>
      <c r="C708" t="s">
        <v>782</v>
      </c>
      <c r="D708" t="s">
        <v>785</v>
      </c>
      <c r="E708" t="s">
        <v>8</v>
      </c>
    </row>
    <row r="709" spans="1:5" hidden="1" outlineLevel="2">
      <c r="A709" s="3" t="e">
        <f>(HYPERLINK("http://www.autodoc.ru/Web/price/art/2440ASMHL?analog=on","2440ASMHL"))*1</f>
        <v>#VALUE!</v>
      </c>
      <c r="B709" s="1">
        <v>6102155</v>
      </c>
      <c r="C709" t="s">
        <v>19</v>
      </c>
      <c r="D709" t="s">
        <v>786</v>
      </c>
      <c r="E709" t="s">
        <v>21</v>
      </c>
    </row>
    <row r="710" spans="1:5" hidden="1" outlineLevel="2">
      <c r="A710" s="3" t="e">
        <f>(HYPERLINK("http://www.autodoc.ru/Web/price/art/2440ASMHR?analog=on","2440ASMHR"))*1</f>
        <v>#VALUE!</v>
      </c>
      <c r="B710" s="1">
        <v>6102156</v>
      </c>
      <c r="C710" t="s">
        <v>19</v>
      </c>
      <c r="D710" t="s">
        <v>787</v>
      </c>
      <c r="E710" t="s">
        <v>21</v>
      </c>
    </row>
    <row r="711" spans="1:5" hidden="1" outlineLevel="2">
      <c r="A711" s="3" t="e">
        <f>(HYPERLINK("http://www.autodoc.ru/Web/price/art/2440ASMHT?analog=on","2440ASMHT"))*1</f>
        <v>#VALUE!</v>
      </c>
      <c r="B711" s="1">
        <v>6100603</v>
      </c>
      <c r="C711" t="s">
        <v>19</v>
      </c>
      <c r="D711" t="s">
        <v>788</v>
      </c>
      <c r="E711" t="s">
        <v>21</v>
      </c>
    </row>
    <row r="712" spans="1:5" hidden="1" outlineLevel="2">
      <c r="A712" s="3" t="e">
        <f>(HYPERLINK("http://www.autodoc.ru/Web/price/art/2440BGSH?analog=on","2440BGSH"))*1</f>
        <v>#VALUE!</v>
      </c>
      <c r="B712" s="1">
        <v>6990930</v>
      </c>
      <c r="C712" t="s">
        <v>779</v>
      </c>
      <c r="D712" t="s">
        <v>789</v>
      </c>
      <c r="E712" t="s">
        <v>23</v>
      </c>
    </row>
    <row r="713" spans="1:5" hidden="1" outlineLevel="2">
      <c r="A713" s="3" t="e">
        <f>(HYPERLINK("http://www.autodoc.ru/Web/price/art/2440LGSH3FD?analog=on","2440LGSH3FD"))*1</f>
        <v>#VALUE!</v>
      </c>
      <c r="B713" s="1">
        <v>6990484</v>
      </c>
      <c r="C713" t="s">
        <v>790</v>
      </c>
      <c r="D713" t="s">
        <v>791</v>
      </c>
      <c r="E713" t="s">
        <v>10</v>
      </c>
    </row>
    <row r="714" spans="1:5" hidden="1" outlineLevel="2">
      <c r="A714" s="3" t="e">
        <f>(HYPERLINK("http://www.autodoc.ru/Web/price/art/2440RGSH3FD?analog=on","2440RGSH3FD"))*1</f>
        <v>#VALUE!</v>
      </c>
      <c r="B714" s="1">
        <v>6990483</v>
      </c>
      <c r="C714" t="s">
        <v>790</v>
      </c>
      <c r="D714" t="s">
        <v>792</v>
      </c>
      <c r="E714" t="s">
        <v>10</v>
      </c>
    </row>
    <row r="715" spans="1:5" hidden="1" outlineLevel="1">
      <c r="A715" s="2">
        <v>0</v>
      </c>
      <c r="B715" s="26" t="s">
        <v>793</v>
      </c>
      <c r="C715" s="27">
        <v>0</v>
      </c>
      <c r="D715" s="27">
        <v>0</v>
      </c>
      <c r="E715" s="27">
        <v>0</v>
      </c>
    </row>
    <row r="716" spans="1:5" hidden="1" outlineLevel="2">
      <c r="A716" s="3" t="e">
        <f>(HYPERLINK("http://www.autodoc.ru/Web/price/art/2455AGSMV1B?analog=on","2455AGSMV1B"))*1</f>
        <v>#VALUE!</v>
      </c>
      <c r="B716" s="1">
        <v>6962333</v>
      </c>
      <c r="C716" t="s">
        <v>290</v>
      </c>
      <c r="D716" t="s">
        <v>794</v>
      </c>
      <c r="E716" t="s">
        <v>8</v>
      </c>
    </row>
    <row r="717" spans="1:5" hidden="1" outlineLevel="2">
      <c r="A717" s="3" t="e">
        <f>(HYPERLINK("http://www.autodoc.ru/Web/price/art/2455AGSV?analog=on","2455AGSV"))*1</f>
        <v>#VALUE!</v>
      </c>
      <c r="B717" s="1">
        <v>6962334</v>
      </c>
      <c r="C717" t="s">
        <v>290</v>
      </c>
      <c r="D717" t="s">
        <v>795</v>
      </c>
      <c r="E717" t="s">
        <v>8</v>
      </c>
    </row>
    <row r="718" spans="1:5" hidden="1" outlineLevel="1">
      <c r="A718" s="2">
        <v>0</v>
      </c>
      <c r="B718" s="26" t="s">
        <v>796</v>
      </c>
      <c r="C718" s="27">
        <v>0</v>
      </c>
      <c r="D718" s="27">
        <v>0</v>
      </c>
      <c r="E718" s="27">
        <v>0</v>
      </c>
    </row>
    <row r="719" spans="1:5" hidden="1" outlineLevel="2">
      <c r="A719" s="3" t="e">
        <f>(HYPERLINK("http://www.autodoc.ru/Web/price/art/2460LGNR5FD?analog=on","2460LGNR5FD"))*1</f>
        <v>#VALUE!</v>
      </c>
      <c r="B719" s="1">
        <v>6900379</v>
      </c>
      <c r="C719" t="s">
        <v>341</v>
      </c>
      <c r="D719" t="s">
        <v>797</v>
      </c>
      <c r="E719" t="s">
        <v>10</v>
      </c>
    </row>
    <row r="720" spans="1:5" hidden="1" outlineLevel="2">
      <c r="A720" s="3" t="e">
        <f>(HYPERLINK("http://www.autodoc.ru/Web/price/art/2460LGNR5RD?analog=on","2460LGNR5RD"))*1</f>
        <v>#VALUE!</v>
      </c>
      <c r="B720" s="1">
        <v>6900381</v>
      </c>
      <c r="C720" t="s">
        <v>341</v>
      </c>
      <c r="D720" t="s">
        <v>798</v>
      </c>
      <c r="E720" t="s">
        <v>10</v>
      </c>
    </row>
    <row r="721" spans="1:5" hidden="1" outlineLevel="2">
      <c r="A721" s="3" t="e">
        <f>(HYPERLINK("http://www.autodoc.ru/Web/price/art/2460LGNR5RV?analog=on","2460LGNR5RV"))*1</f>
        <v>#VALUE!</v>
      </c>
      <c r="B721" s="1">
        <v>6900385</v>
      </c>
      <c r="C721" t="s">
        <v>211</v>
      </c>
      <c r="D721" t="s">
        <v>799</v>
      </c>
      <c r="E721" t="s">
        <v>10</v>
      </c>
    </row>
    <row r="722" spans="1:5" hidden="1" outlineLevel="2">
      <c r="A722" s="3" t="e">
        <f>(HYPERLINK("http://www.autodoc.ru/Web/price/art/2460LYPR5RD?analog=on","2460LYPR5RD"))*1</f>
        <v>#VALUE!</v>
      </c>
      <c r="B722" s="1">
        <v>6900383</v>
      </c>
      <c r="C722" t="s">
        <v>341</v>
      </c>
      <c r="D722" t="s">
        <v>800</v>
      </c>
      <c r="E722" t="s">
        <v>10</v>
      </c>
    </row>
    <row r="723" spans="1:5" hidden="1" outlineLevel="2">
      <c r="A723" s="3" t="e">
        <f>(HYPERLINK("http://www.autodoc.ru/Web/price/art/2460LYPR5RV?analog=on","2460LYPR5RV"))*1</f>
        <v>#VALUE!</v>
      </c>
      <c r="B723" s="1">
        <v>6900387</v>
      </c>
      <c r="C723" t="s">
        <v>211</v>
      </c>
      <c r="D723" t="s">
        <v>801</v>
      </c>
      <c r="E723" t="s">
        <v>10</v>
      </c>
    </row>
    <row r="724" spans="1:5" hidden="1" outlineLevel="2">
      <c r="A724" s="3" t="e">
        <f>(HYPERLINK("http://www.autodoc.ru/Web/price/art/2460RGNR5FD?analog=on","2460RGNR5FD"))*1</f>
        <v>#VALUE!</v>
      </c>
      <c r="B724" s="1">
        <v>6900378</v>
      </c>
      <c r="C724" t="s">
        <v>341</v>
      </c>
      <c r="D724" t="s">
        <v>802</v>
      </c>
      <c r="E724" t="s">
        <v>10</v>
      </c>
    </row>
    <row r="725" spans="1:5" hidden="1" outlineLevel="2">
      <c r="A725" s="3" t="e">
        <f>(HYPERLINK("http://www.autodoc.ru/Web/price/art/2460RGNR5RD?analog=on","2460RGNR5RD"))*1</f>
        <v>#VALUE!</v>
      </c>
      <c r="B725" s="1">
        <v>6900380</v>
      </c>
      <c r="C725" t="s">
        <v>341</v>
      </c>
      <c r="D725" t="s">
        <v>803</v>
      </c>
      <c r="E725" t="s">
        <v>10</v>
      </c>
    </row>
    <row r="726" spans="1:5" hidden="1" outlineLevel="2">
      <c r="A726" s="3" t="e">
        <f>(HYPERLINK("http://www.autodoc.ru/Web/price/art/2460RGNR5RV?analog=on","2460RGNR5RV"))*1</f>
        <v>#VALUE!</v>
      </c>
      <c r="B726" s="1">
        <v>6900384</v>
      </c>
      <c r="C726" t="s">
        <v>341</v>
      </c>
      <c r="D726" t="s">
        <v>804</v>
      </c>
      <c r="E726" t="s">
        <v>10</v>
      </c>
    </row>
    <row r="727" spans="1:5" hidden="1" outlineLevel="2">
      <c r="A727" s="3" t="e">
        <f>(HYPERLINK("http://www.autodoc.ru/Web/price/art/2460RYPR5RD?analog=on","2460RYPR5RD"))*1</f>
        <v>#VALUE!</v>
      </c>
      <c r="B727" s="1">
        <v>6900382</v>
      </c>
      <c r="C727" t="s">
        <v>341</v>
      </c>
      <c r="D727" t="s">
        <v>805</v>
      </c>
      <c r="E727" t="s">
        <v>10</v>
      </c>
    </row>
    <row r="728" spans="1:5" hidden="1" outlineLevel="2">
      <c r="A728" s="3" t="e">
        <f>(HYPERLINK("http://www.autodoc.ru/Web/price/art/2460RYPR5RV?analog=on","2460RYPR5RV"))*1</f>
        <v>#VALUE!</v>
      </c>
      <c r="B728" s="1">
        <v>6900386</v>
      </c>
      <c r="C728" t="s">
        <v>211</v>
      </c>
      <c r="D728" t="s">
        <v>806</v>
      </c>
      <c r="E728" t="s">
        <v>10</v>
      </c>
    </row>
    <row r="729" spans="1:5" hidden="1" outlineLevel="1">
      <c r="A729" s="2">
        <v>0</v>
      </c>
      <c r="B729" s="26" t="s">
        <v>807</v>
      </c>
      <c r="C729" s="27">
        <v>0</v>
      </c>
      <c r="D729" s="27">
        <v>0</v>
      </c>
      <c r="E729" s="27">
        <v>0</v>
      </c>
    </row>
    <row r="730" spans="1:5" hidden="1" outlineLevel="2">
      <c r="A730" s="3" t="e">
        <f>(HYPERLINK("http://www.autodoc.ru/Web/price/art/2449AGSGNMVW1B?analog=on","2449AGSGNMVW1B"))*1</f>
        <v>#VALUE!</v>
      </c>
      <c r="B730" s="1">
        <v>6961055</v>
      </c>
      <c r="C730" t="s">
        <v>670</v>
      </c>
      <c r="D730" t="s">
        <v>808</v>
      </c>
      <c r="E730" t="s">
        <v>8</v>
      </c>
    </row>
    <row r="731" spans="1:5" hidden="1" outlineLevel="2">
      <c r="A731" s="3" t="e">
        <f>(HYPERLINK("http://www.autodoc.ru/Web/price/art/2449ACCGNMVW1B?analog=on","2449ACCGNMVW1B"))*1</f>
        <v>#VALUE!</v>
      </c>
      <c r="B731" s="1">
        <v>6961658</v>
      </c>
      <c r="C731" t="s">
        <v>670</v>
      </c>
      <c r="D731" t="s">
        <v>809</v>
      </c>
      <c r="E731" t="s">
        <v>8</v>
      </c>
    </row>
    <row r="732" spans="1:5" hidden="1" outlineLevel="2">
      <c r="A732" s="3" t="e">
        <f>(HYPERLINK("http://www.autodoc.ru/Web/price/art/2449AGSGNVW?analog=on","2449AGSGNVW"))*1</f>
        <v>#VALUE!</v>
      </c>
      <c r="B732" s="1">
        <v>6961056</v>
      </c>
      <c r="C732" t="s">
        <v>670</v>
      </c>
      <c r="D732" t="s">
        <v>810</v>
      </c>
      <c r="E732" t="s">
        <v>8</v>
      </c>
    </row>
    <row r="733" spans="1:5" hidden="1" outlineLevel="2">
      <c r="A733" s="3" t="e">
        <f>(HYPERLINK("http://www.autodoc.ru/Web/price/art/2449AGSMVW1B?analog=on","2449AGSMVW1B"))*1</f>
        <v>#VALUE!</v>
      </c>
      <c r="B733" s="1">
        <v>6961057</v>
      </c>
      <c r="C733" t="s">
        <v>670</v>
      </c>
      <c r="D733" t="s">
        <v>811</v>
      </c>
      <c r="E733" t="s">
        <v>8</v>
      </c>
    </row>
    <row r="734" spans="1:5" hidden="1" outlineLevel="2">
      <c r="A734" s="3" t="e">
        <f>(HYPERLINK("http://www.autodoc.ru/Web/price/art/2449AGSVW?analog=on","2449AGSVW"))*1</f>
        <v>#VALUE!</v>
      </c>
      <c r="B734" s="1">
        <v>6961058</v>
      </c>
      <c r="C734" t="s">
        <v>670</v>
      </c>
      <c r="D734" t="s">
        <v>812</v>
      </c>
      <c r="E734" t="s">
        <v>8</v>
      </c>
    </row>
    <row r="735" spans="1:5" hidden="1" outlineLevel="2">
      <c r="A735" s="3" t="e">
        <f>(HYPERLINK("http://www.autodoc.ru/Web/price/art/2449ASMRT?analog=on","2449ASMRT"))*1</f>
        <v>#VALUE!</v>
      </c>
      <c r="B735" s="1">
        <v>6101618</v>
      </c>
      <c r="C735" t="s">
        <v>19</v>
      </c>
      <c r="D735" t="s">
        <v>813</v>
      </c>
      <c r="E735" t="s">
        <v>21</v>
      </c>
    </row>
    <row r="736" spans="1:5" hidden="1" outlineLevel="2">
      <c r="A736" s="3" t="e">
        <f>(HYPERLINK("http://www.autodoc.ru/Web/price/art/2449BGPRAGW?analog=on","2449BGPRAGW"))*1</f>
        <v>#VALUE!</v>
      </c>
      <c r="B736" s="1">
        <v>6997742</v>
      </c>
      <c r="C736" t="s">
        <v>670</v>
      </c>
      <c r="D736" t="s">
        <v>814</v>
      </c>
      <c r="E736" t="s">
        <v>23</v>
      </c>
    </row>
    <row r="737" spans="1:5" hidden="1" outlineLevel="2">
      <c r="A737" s="3" t="e">
        <f>(HYPERLINK("http://www.autodoc.ru/Web/price/art/2449BGSRAGW?analog=on","2449BGSRAGW"))*1</f>
        <v>#VALUE!</v>
      </c>
      <c r="B737" s="1">
        <v>6996483</v>
      </c>
      <c r="C737" t="s">
        <v>670</v>
      </c>
      <c r="D737" t="s">
        <v>814</v>
      </c>
      <c r="E737" t="s">
        <v>23</v>
      </c>
    </row>
    <row r="738" spans="1:5" hidden="1" outlineLevel="2">
      <c r="A738" s="3" t="e">
        <f>(HYPERLINK("http://www.autodoc.ru/Web/price/art/2449LGPR5RD?analog=on","2449LGPR5RD"))*1</f>
        <v>#VALUE!</v>
      </c>
      <c r="B738" s="1">
        <v>6900673</v>
      </c>
      <c r="C738" t="s">
        <v>670</v>
      </c>
      <c r="D738" t="s">
        <v>815</v>
      </c>
      <c r="E738" t="s">
        <v>10</v>
      </c>
    </row>
    <row r="739" spans="1:5" hidden="1" outlineLevel="2">
      <c r="A739" s="3" t="e">
        <f>(HYPERLINK("http://www.autodoc.ru/Web/price/art/2449LGSR5FD?analog=on","2449LGSR5FD"))*1</f>
        <v>#VALUE!</v>
      </c>
      <c r="B739" s="1">
        <v>6996460</v>
      </c>
      <c r="C739" t="s">
        <v>670</v>
      </c>
      <c r="D739" t="s">
        <v>816</v>
      </c>
      <c r="E739" t="s">
        <v>10</v>
      </c>
    </row>
    <row r="740" spans="1:5" hidden="1" outlineLevel="2">
      <c r="A740" s="3" t="e">
        <f>(HYPERLINK("http://www.autodoc.ru/Web/price/art/2449LGSR5RD?analog=on","2449LGSR5RD"))*1</f>
        <v>#VALUE!</v>
      </c>
      <c r="B740" s="1">
        <v>6996159</v>
      </c>
      <c r="C740" t="s">
        <v>670</v>
      </c>
      <c r="D740" t="s">
        <v>817</v>
      </c>
      <c r="E740" t="s">
        <v>10</v>
      </c>
    </row>
    <row r="741" spans="1:5" hidden="1" outlineLevel="2">
      <c r="A741" s="3" t="e">
        <f>(HYPERLINK("http://www.autodoc.ru/Web/price/art/2449LGSR5RV?analog=on","2449LGSR5RV"))*1</f>
        <v>#VALUE!</v>
      </c>
      <c r="B741" s="1">
        <v>6900477</v>
      </c>
      <c r="C741" t="s">
        <v>670</v>
      </c>
      <c r="D741" t="s">
        <v>818</v>
      </c>
      <c r="E741" t="s">
        <v>10</v>
      </c>
    </row>
    <row r="742" spans="1:5" hidden="1" outlineLevel="2">
      <c r="A742" s="3" t="e">
        <f>(HYPERLINK("http://www.autodoc.ru/Web/price/art/2449RGPR5RD?analog=on","2449RGPR5RD"))*1</f>
        <v>#VALUE!</v>
      </c>
      <c r="B742" s="1">
        <v>6900674</v>
      </c>
      <c r="C742" t="s">
        <v>670</v>
      </c>
      <c r="D742" t="s">
        <v>819</v>
      </c>
      <c r="E742" t="s">
        <v>10</v>
      </c>
    </row>
    <row r="743" spans="1:5" hidden="1" outlineLevel="2">
      <c r="A743" s="3" t="e">
        <f>(HYPERLINK("http://www.autodoc.ru/Web/price/art/2449RGSR5FD?analog=on","2449RGSR5FD"))*1</f>
        <v>#VALUE!</v>
      </c>
      <c r="B743" s="1">
        <v>6993866</v>
      </c>
      <c r="C743" t="s">
        <v>670</v>
      </c>
      <c r="D743" t="s">
        <v>820</v>
      </c>
      <c r="E743" t="s">
        <v>10</v>
      </c>
    </row>
    <row r="744" spans="1:5" hidden="1" outlineLevel="2">
      <c r="A744" s="3" t="e">
        <f>(HYPERLINK("http://www.autodoc.ru/Web/price/art/2449RGSR5RD?analog=on","2449RGSR5RD"))*1</f>
        <v>#VALUE!</v>
      </c>
      <c r="B744" s="1">
        <v>6993867</v>
      </c>
      <c r="C744" t="s">
        <v>670</v>
      </c>
      <c r="D744" t="s">
        <v>821</v>
      </c>
      <c r="E744" t="s">
        <v>10</v>
      </c>
    </row>
    <row r="745" spans="1:5" hidden="1" outlineLevel="2">
      <c r="A745" s="3" t="e">
        <f>(HYPERLINK("http://www.autodoc.ru/Web/price/art/2449RGSR5RV?analog=on","2449RGSR5RV"))*1</f>
        <v>#VALUE!</v>
      </c>
      <c r="B745" s="1">
        <v>6900478</v>
      </c>
      <c r="C745" t="s">
        <v>670</v>
      </c>
      <c r="D745" t="s">
        <v>822</v>
      </c>
      <c r="E745" t="s">
        <v>10</v>
      </c>
    </row>
    <row r="746" spans="1:5" hidden="1" outlineLevel="1">
      <c r="A746" s="2">
        <v>0</v>
      </c>
      <c r="B746" s="26" t="s">
        <v>823</v>
      </c>
      <c r="C746" s="27">
        <v>0</v>
      </c>
      <c r="D746" s="27">
        <v>0</v>
      </c>
      <c r="E746" s="27">
        <v>0</v>
      </c>
    </row>
    <row r="747" spans="1:5" hidden="1" outlineLevel="2">
      <c r="A747" s="3" t="e">
        <f>(HYPERLINK("http://www.autodoc.ru/Web/price/art/2464AGNGYMV1B?analog=on","2464AGNGYMV1B"))*1</f>
        <v>#VALUE!</v>
      </c>
      <c r="B747" s="1">
        <v>6965640</v>
      </c>
      <c r="C747" t="s">
        <v>341</v>
      </c>
      <c r="D747" t="s">
        <v>824</v>
      </c>
      <c r="E747" t="s">
        <v>8</v>
      </c>
    </row>
    <row r="748" spans="1:5" hidden="1" outlineLevel="2">
      <c r="A748" s="3" t="e">
        <f>(HYPERLINK("http://www.autodoc.ru/Web/price/art/2464AGNMV1B?analog=on","2464AGNMV1B"))*1</f>
        <v>#VALUE!</v>
      </c>
      <c r="B748" s="1">
        <v>6965639</v>
      </c>
      <c r="C748" t="s">
        <v>341</v>
      </c>
      <c r="D748" t="s">
        <v>825</v>
      </c>
      <c r="E748" t="s">
        <v>8</v>
      </c>
    </row>
    <row r="749" spans="1:5" hidden="1" outlineLevel="2">
      <c r="A749" s="3" t="e">
        <f>(HYPERLINK("http://www.autodoc.ru/Web/price/art/2464AGNV?analog=on","2464AGNV"))*1</f>
        <v>#VALUE!</v>
      </c>
      <c r="B749" s="1">
        <v>6965638</v>
      </c>
      <c r="C749" t="s">
        <v>341</v>
      </c>
      <c r="D749" t="s">
        <v>826</v>
      </c>
      <c r="E749" t="s">
        <v>8</v>
      </c>
    </row>
    <row r="750" spans="1:5" hidden="1" outlineLevel="2">
      <c r="A750" s="3" t="e">
        <f>(HYPERLINK("http://www.autodoc.ru/Web/price/art/2464BGNRA?analog=on","2464BGNRA"))*1</f>
        <v>#VALUE!</v>
      </c>
      <c r="B750" s="1">
        <v>6902174</v>
      </c>
      <c r="C750" t="s">
        <v>341</v>
      </c>
      <c r="D750" t="s">
        <v>827</v>
      </c>
      <c r="E750" t="s">
        <v>23</v>
      </c>
    </row>
    <row r="751" spans="1:5" hidden="1" outlineLevel="1">
      <c r="A751" s="2">
        <v>0</v>
      </c>
      <c r="B751" s="26" t="s">
        <v>828</v>
      </c>
      <c r="C751" s="27">
        <v>0</v>
      </c>
      <c r="D751" s="27">
        <v>0</v>
      </c>
      <c r="E751" s="27">
        <v>0</v>
      </c>
    </row>
    <row r="752" spans="1:5" hidden="1" outlineLevel="2">
      <c r="A752" s="3" t="e">
        <f>(HYPERLINK("http://www.autodoc.ru/Web/price/art/2439ACCGNV?analog=on","2439ACCGNV"))*1</f>
        <v>#VALUE!</v>
      </c>
      <c r="B752" s="1">
        <v>6961655</v>
      </c>
      <c r="C752" t="s">
        <v>829</v>
      </c>
      <c r="D752" t="s">
        <v>830</v>
      </c>
      <c r="E752" t="s">
        <v>8</v>
      </c>
    </row>
    <row r="753" spans="1:5" hidden="1" outlineLevel="2">
      <c r="A753" s="3" t="e">
        <f>(HYPERLINK("http://www.autodoc.ru/Web/price/art/2439AGSGNMV?analog=on","2439AGSGNMV"))*1</f>
        <v>#VALUE!</v>
      </c>
      <c r="B753" s="1">
        <v>6960803</v>
      </c>
      <c r="C753" t="s">
        <v>831</v>
      </c>
      <c r="D753" t="s">
        <v>832</v>
      </c>
      <c r="E753" t="s">
        <v>8</v>
      </c>
    </row>
    <row r="754" spans="1:5" hidden="1" outlineLevel="2">
      <c r="A754" s="3" t="e">
        <f>(HYPERLINK("http://www.autodoc.ru/Web/price/art/2439AGSGNMV1T?analog=on","2439AGSGNMV1T"))*1</f>
        <v>#VALUE!</v>
      </c>
      <c r="B754" s="1">
        <v>6960805</v>
      </c>
      <c r="C754" t="s">
        <v>829</v>
      </c>
      <c r="D754" t="s">
        <v>833</v>
      </c>
      <c r="E754" t="s">
        <v>8</v>
      </c>
    </row>
    <row r="755" spans="1:5" hidden="1" outlineLevel="2">
      <c r="A755" s="3" t="e">
        <f>(HYPERLINK("http://www.autodoc.ru/Web/price/art/2439AGSGNV?analog=on","2439AGSGNV"))*1</f>
        <v>#VALUE!</v>
      </c>
      <c r="B755" s="1">
        <v>6960801</v>
      </c>
      <c r="C755" t="s">
        <v>831</v>
      </c>
      <c r="D755" t="s">
        <v>834</v>
      </c>
      <c r="E755" t="s">
        <v>8</v>
      </c>
    </row>
    <row r="756" spans="1:5" hidden="1" outlineLevel="2">
      <c r="A756" s="3" t="e">
        <f>(HYPERLINK("http://www.autodoc.ru/Web/price/art/2439AGSMV?analog=on","2439AGSMV"))*1</f>
        <v>#VALUE!</v>
      </c>
      <c r="B756" s="1">
        <v>6960802</v>
      </c>
      <c r="C756" t="s">
        <v>831</v>
      </c>
      <c r="D756" t="s">
        <v>835</v>
      </c>
      <c r="E756" t="s">
        <v>8</v>
      </c>
    </row>
    <row r="757" spans="1:5" hidden="1" outlineLevel="2">
      <c r="A757" s="3" t="e">
        <f>(HYPERLINK("http://www.autodoc.ru/Web/price/art/2439AGSMV1T?analog=on","2439AGSMV1T"))*1</f>
        <v>#VALUE!</v>
      </c>
      <c r="B757" s="1">
        <v>6960804</v>
      </c>
      <c r="C757" t="s">
        <v>540</v>
      </c>
      <c r="D757" t="s">
        <v>836</v>
      </c>
      <c r="E757" t="s">
        <v>8</v>
      </c>
    </row>
    <row r="758" spans="1:5" hidden="1" outlineLevel="2">
      <c r="A758" s="3" t="e">
        <f>(HYPERLINK("http://www.autodoc.ru/Web/price/art/2439AGSV?analog=on","2439AGSV"))*1</f>
        <v>#VALUE!</v>
      </c>
      <c r="B758" s="1">
        <v>6960800</v>
      </c>
      <c r="C758" t="s">
        <v>831</v>
      </c>
      <c r="D758" t="s">
        <v>837</v>
      </c>
      <c r="E758" t="s">
        <v>8</v>
      </c>
    </row>
    <row r="759" spans="1:5" hidden="1" outlineLevel="2">
      <c r="A759" s="3" t="e">
        <f>(HYPERLINK("http://www.autodoc.ru/Web/price/art/2439ASMRT?analog=on","2439ASMRT"))*1</f>
        <v>#VALUE!</v>
      </c>
      <c r="B759" s="1">
        <v>6101161</v>
      </c>
      <c r="C759" t="s">
        <v>19</v>
      </c>
      <c r="D759" t="s">
        <v>838</v>
      </c>
      <c r="E759" t="s">
        <v>21</v>
      </c>
    </row>
    <row r="760" spans="1:5" hidden="1" outlineLevel="2">
      <c r="A760" s="3" t="e">
        <f>(HYPERLINK("http://www.autodoc.ru/Web/price/art/2439BYPRAW?analog=on","2439BYPRAW"))*1</f>
        <v>#VALUE!</v>
      </c>
      <c r="B760" s="1">
        <v>6980798</v>
      </c>
      <c r="C760" t="s">
        <v>831</v>
      </c>
      <c r="D760" t="s">
        <v>839</v>
      </c>
      <c r="E760" t="s">
        <v>23</v>
      </c>
    </row>
    <row r="761" spans="1:5" hidden="1" outlineLevel="2">
      <c r="A761" s="3" t="e">
        <f>(HYPERLINK("http://www.autodoc.ru/Web/price/art/2439BGSRAW?analog=on","2439BGSRAW"))*1</f>
        <v>#VALUE!</v>
      </c>
      <c r="B761" s="1">
        <v>6992752</v>
      </c>
      <c r="C761" t="s">
        <v>831</v>
      </c>
      <c r="D761" t="s">
        <v>840</v>
      </c>
      <c r="E761" t="s">
        <v>23</v>
      </c>
    </row>
    <row r="762" spans="1:5" hidden="1" outlineLevel="2">
      <c r="A762" s="3" t="e">
        <f>(HYPERLINK("http://www.autodoc.ru/Web/price/art/2439LGPR5RD?analog=on","2439LGPR5RD"))*1</f>
        <v>#VALUE!</v>
      </c>
      <c r="B762" s="1">
        <v>6900125</v>
      </c>
      <c r="C762" t="s">
        <v>831</v>
      </c>
      <c r="D762" t="s">
        <v>841</v>
      </c>
      <c r="E762" t="s">
        <v>10</v>
      </c>
    </row>
    <row r="763" spans="1:5" hidden="1" outlineLevel="2">
      <c r="A763" s="3" t="e">
        <f>(HYPERLINK("http://www.autodoc.ru/Web/price/art/2439LGPR5RV?analog=on","2439LGPR5RV"))*1</f>
        <v>#VALUE!</v>
      </c>
      <c r="B763" s="1">
        <v>6900291</v>
      </c>
      <c r="C763" t="s">
        <v>831</v>
      </c>
      <c r="D763" t="s">
        <v>842</v>
      </c>
      <c r="E763" t="s">
        <v>10</v>
      </c>
    </row>
    <row r="764" spans="1:5" hidden="1" outlineLevel="2">
      <c r="A764" s="3" t="e">
        <f>(HYPERLINK("http://www.autodoc.ru/Web/price/art/2439LGSR5FD?analog=on","2439LGSR5FD"))*1</f>
        <v>#VALUE!</v>
      </c>
      <c r="B764" s="1">
        <v>6980062</v>
      </c>
      <c r="C764" t="s">
        <v>831</v>
      </c>
      <c r="D764" t="s">
        <v>843</v>
      </c>
      <c r="E764" t="s">
        <v>10</v>
      </c>
    </row>
    <row r="765" spans="1:5" hidden="1" outlineLevel="2">
      <c r="A765" s="3" t="e">
        <f>(HYPERLINK("http://www.autodoc.ru/Web/price/art/2439LGSR5RD?analog=on","2439LGSR5RD"))*1</f>
        <v>#VALUE!</v>
      </c>
      <c r="B765" s="1">
        <v>6980065</v>
      </c>
      <c r="C765" t="s">
        <v>831</v>
      </c>
      <c r="D765" t="s">
        <v>844</v>
      </c>
      <c r="E765" t="s">
        <v>10</v>
      </c>
    </row>
    <row r="766" spans="1:5" hidden="1" outlineLevel="2">
      <c r="A766" s="3" t="e">
        <f>(HYPERLINK("http://www.autodoc.ru/Web/price/art/2439LGSR5RV?analog=on","2439LGSR5RV"))*1</f>
        <v>#VALUE!</v>
      </c>
      <c r="B766" s="1">
        <v>6980401</v>
      </c>
      <c r="C766" t="s">
        <v>831</v>
      </c>
      <c r="D766" t="s">
        <v>845</v>
      </c>
      <c r="E766" t="s">
        <v>10</v>
      </c>
    </row>
    <row r="767" spans="1:5" hidden="1" outlineLevel="2">
      <c r="A767" s="3" t="e">
        <f>(HYPERLINK("http://www.autodoc.ru/Web/price/art/2439RGPR5RD?analog=on","2439RGPR5RD"))*1</f>
        <v>#VALUE!</v>
      </c>
      <c r="B767" s="1">
        <v>6900356</v>
      </c>
      <c r="C767" t="s">
        <v>831</v>
      </c>
      <c r="D767" t="s">
        <v>846</v>
      </c>
      <c r="E767" t="s">
        <v>10</v>
      </c>
    </row>
    <row r="768" spans="1:5" hidden="1" outlineLevel="2">
      <c r="A768" s="3" t="e">
        <f>(HYPERLINK("http://www.autodoc.ru/Web/price/art/2439RGPR5RV?analog=on","2439RGPR5RV"))*1</f>
        <v>#VALUE!</v>
      </c>
      <c r="B768" s="1">
        <v>6900309</v>
      </c>
      <c r="C768" t="s">
        <v>831</v>
      </c>
      <c r="D768" t="s">
        <v>847</v>
      </c>
      <c r="E768" t="s">
        <v>10</v>
      </c>
    </row>
    <row r="769" spans="1:5" hidden="1" outlineLevel="2">
      <c r="A769" s="3" t="e">
        <f>(HYPERLINK("http://www.autodoc.ru/Web/price/art/2439RGSR5FD?analog=on","2439RGSR5FD"))*1</f>
        <v>#VALUE!</v>
      </c>
      <c r="B769" s="1">
        <v>6980063</v>
      </c>
      <c r="C769" t="s">
        <v>831</v>
      </c>
      <c r="D769" t="s">
        <v>848</v>
      </c>
      <c r="E769" t="s">
        <v>10</v>
      </c>
    </row>
    <row r="770" spans="1:5" hidden="1" outlineLevel="2">
      <c r="A770" s="3" t="e">
        <f>(HYPERLINK("http://www.autodoc.ru/Web/price/art/2439RGSR5RD?analog=on","2439RGSR5RD"))*1</f>
        <v>#VALUE!</v>
      </c>
      <c r="B770" s="1">
        <v>6980066</v>
      </c>
      <c r="C770" t="s">
        <v>831</v>
      </c>
      <c r="D770" t="s">
        <v>849</v>
      </c>
      <c r="E770" t="s">
        <v>10</v>
      </c>
    </row>
    <row r="771" spans="1:5" hidden="1" outlineLevel="2">
      <c r="A771" s="3" t="e">
        <f>(HYPERLINK("http://www.autodoc.ru/Web/price/art/2439RGSR5RV?analog=on","2439RGSR5RV"))*1</f>
        <v>#VALUE!</v>
      </c>
      <c r="B771" s="1">
        <v>6980402</v>
      </c>
      <c r="C771" t="s">
        <v>831</v>
      </c>
      <c r="D771" t="s">
        <v>850</v>
      </c>
      <c r="E771" t="s">
        <v>10</v>
      </c>
    </row>
    <row r="772" spans="1:5" hidden="1" outlineLevel="1">
      <c r="A772" s="2">
        <v>0</v>
      </c>
      <c r="B772" s="26" t="s">
        <v>851</v>
      </c>
      <c r="C772" s="27">
        <v>0</v>
      </c>
      <c r="D772" s="27">
        <v>0</v>
      </c>
      <c r="E772" s="27">
        <v>0</v>
      </c>
    </row>
    <row r="773" spans="1:5" hidden="1" outlineLevel="2">
      <c r="A773" s="3" t="e">
        <f>(HYPERLINK("http://www.autodoc.ru/Web/price/art/2452ACCMUV1B?analog=on","2452ACCMUV1B"))*1</f>
        <v>#VALUE!</v>
      </c>
      <c r="B773" s="1">
        <v>6962737</v>
      </c>
      <c r="C773" t="s">
        <v>389</v>
      </c>
      <c r="D773" t="s">
        <v>852</v>
      </c>
      <c r="E773" t="s">
        <v>8</v>
      </c>
    </row>
    <row r="774" spans="1:5" hidden="1" outlineLevel="2">
      <c r="A774" s="3" t="e">
        <f>(HYPERLINK("http://www.autodoc.ru/Web/price/art/2452AGSGNMV1B?analog=on","2452AGSGNMV1B"))*1</f>
        <v>#VALUE!</v>
      </c>
      <c r="B774" s="1">
        <v>6962230</v>
      </c>
      <c r="C774" t="s">
        <v>389</v>
      </c>
      <c r="D774" t="s">
        <v>853</v>
      </c>
      <c r="E774" t="s">
        <v>8</v>
      </c>
    </row>
    <row r="775" spans="1:5" hidden="1" outlineLevel="2">
      <c r="A775" s="3" t="e">
        <f>(HYPERLINK("http://www.autodoc.ru/Web/price/art/2452AGSGNV?analog=on","2452AGSGNV"))*1</f>
        <v>#VALUE!</v>
      </c>
      <c r="B775" s="1">
        <v>6962231</v>
      </c>
      <c r="C775" t="s">
        <v>389</v>
      </c>
      <c r="D775" t="s">
        <v>854</v>
      </c>
      <c r="E775" t="s">
        <v>8</v>
      </c>
    </row>
    <row r="776" spans="1:5" hidden="1" outlineLevel="2">
      <c r="A776" s="3" t="e">
        <f>(HYPERLINK("http://www.autodoc.ru/Web/price/art/2452AGSGYMV1B?analog=on","2452AGSGYMV1B"))*1</f>
        <v>#VALUE!</v>
      </c>
      <c r="B776" s="1">
        <v>6962507</v>
      </c>
      <c r="C776" t="s">
        <v>389</v>
      </c>
      <c r="D776" t="s">
        <v>855</v>
      </c>
      <c r="E776" t="s">
        <v>8</v>
      </c>
    </row>
    <row r="777" spans="1:5" hidden="1" outlineLevel="2">
      <c r="A777" s="3" t="e">
        <f>(HYPERLINK("http://www.autodoc.ru/Web/price/art/2452AGSGYV?analog=on","2452AGSGYV"))*1</f>
        <v>#VALUE!</v>
      </c>
      <c r="B777" s="1">
        <v>6962508</v>
      </c>
      <c r="C777" t="s">
        <v>389</v>
      </c>
      <c r="D777" t="s">
        <v>856</v>
      </c>
      <c r="E777" t="s">
        <v>8</v>
      </c>
    </row>
    <row r="778" spans="1:5" hidden="1" outlineLevel="2">
      <c r="A778" s="3" t="e">
        <f>(HYPERLINK("http://www.autodoc.ru/Web/price/art/2452AGSMUV1B?analog=on","2452AGSMUV1B"))*1</f>
        <v>#VALUE!</v>
      </c>
      <c r="B778" s="1">
        <v>6962736</v>
      </c>
      <c r="C778" t="s">
        <v>389</v>
      </c>
      <c r="D778" t="s">
        <v>857</v>
      </c>
      <c r="E778" t="s">
        <v>8</v>
      </c>
    </row>
    <row r="779" spans="1:5" hidden="1" outlineLevel="2">
      <c r="A779" s="3" t="e">
        <f>(HYPERLINK("http://www.autodoc.ru/Web/price/art/2452AGSMV1B?analog=on","2452AGSMV1B"))*1</f>
        <v>#VALUE!</v>
      </c>
      <c r="B779" s="1">
        <v>6962232</v>
      </c>
      <c r="C779" t="s">
        <v>389</v>
      </c>
      <c r="D779" t="s">
        <v>858</v>
      </c>
      <c r="E779" t="s">
        <v>8</v>
      </c>
    </row>
    <row r="780" spans="1:5" hidden="1" outlineLevel="2">
      <c r="A780" s="3" t="e">
        <f>(HYPERLINK("http://www.autodoc.ru/Web/price/art/2452AGSV?analog=on","2452AGSV"))*1</f>
        <v>#VALUE!</v>
      </c>
      <c r="B780" s="1">
        <v>6962233</v>
      </c>
      <c r="C780" t="s">
        <v>389</v>
      </c>
      <c r="D780" t="s">
        <v>859</v>
      </c>
      <c r="E780" t="s">
        <v>8</v>
      </c>
    </row>
    <row r="781" spans="1:5" hidden="1" outlineLevel="2">
      <c r="A781" s="3" t="e">
        <f>(HYPERLINK("http://www.autodoc.ru/Web/price/art/2452ACCMUV1T?analog=on","2452ACCMUV1T"))*1</f>
        <v>#VALUE!</v>
      </c>
      <c r="B781" s="1">
        <v>6965387</v>
      </c>
      <c r="C781" t="s">
        <v>389</v>
      </c>
      <c r="D781" t="s">
        <v>860</v>
      </c>
      <c r="E781" t="s">
        <v>8</v>
      </c>
    </row>
    <row r="782" spans="1:5" hidden="1" outlineLevel="2">
      <c r="A782" s="3" t="e">
        <f>(HYPERLINK("http://www.autodoc.ru/Web/price/art/2452LGSR5FD?analog=on","2452LGSR5FD"))*1</f>
        <v>#VALUE!</v>
      </c>
      <c r="B782" s="1">
        <v>6999928</v>
      </c>
      <c r="C782" t="s">
        <v>389</v>
      </c>
      <c r="D782" t="s">
        <v>861</v>
      </c>
      <c r="E782" t="s">
        <v>10</v>
      </c>
    </row>
    <row r="783" spans="1:5" hidden="1" outlineLevel="2">
      <c r="A783" s="3" t="e">
        <f>(HYPERLINK("http://www.autodoc.ru/Web/price/art/2452LGSR5RD?analog=on","2452LGSR5RD"))*1</f>
        <v>#VALUE!</v>
      </c>
      <c r="B783" s="1">
        <v>6900475</v>
      </c>
      <c r="C783" t="s">
        <v>389</v>
      </c>
      <c r="D783" t="s">
        <v>862</v>
      </c>
      <c r="E783" t="s">
        <v>10</v>
      </c>
    </row>
    <row r="784" spans="1:5" hidden="1" outlineLevel="2">
      <c r="A784" s="3" t="e">
        <f>(HYPERLINK("http://www.autodoc.ru/Web/price/art/2452LGSR5RV?analog=on","2452LGSR5RV"))*1</f>
        <v>#VALUE!</v>
      </c>
      <c r="B784" s="1">
        <v>6900288</v>
      </c>
      <c r="C784" t="s">
        <v>389</v>
      </c>
      <c r="D784" t="s">
        <v>863</v>
      </c>
      <c r="E784" t="s">
        <v>10</v>
      </c>
    </row>
    <row r="785" spans="1:5" hidden="1" outlineLevel="2">
      <c r="A785" s="3" t="e">
        <f>(HYPERLINK("http://www.autodoc.ru/Web/price/art/2452RGSR5FD?analog=on","2452RGSR5FD"))*1</f>
        <v>#VALUE!</v>
      </c>
      <c r="B785" s="1">
        <v>6900020</v>
      </c>
      <c r="C785" t="s">
        <v>389</v>
      </c>
      <c r="D785" t="s">
        <v>864</v>
      </c>
      <c r="E785" t="s">
        <v>10</v>
      </c>
    </row>
    <row r="786" spans="1:5" hidden="1" outlineLevel="2">
      <c r="A786" s="3" t="e">
        <f>(HYPERLINK("http://www.autodoc.ru/Web/price/art/2452RGSR5RD?analog=on","2452RGSR5RD"))*1</f>
        <v>#VALUE!</v>
      </c>
      <c r="B786" s="1">
        <v>6900476</v>
      </c>
      <c r="C786" t="s">
        <v>389</v>
      </c>
      <c r="D786" t="s">
        <v>865</v>
      </c>
      <c r="E786" t="s">
        <v>10</v>
      </c>
    </row>
    <row r="787" spans="1:5" hidden="1" outlineLevel="2">
      <c r="A787" s="3" t="e">
        <f>(HYPERLINK("http://www.autodoc.ru/Web/price/art/2452RGSR5RV?analog=on","2452RGSR5RV"))*1</f>
        <v>#VALUE!</v>
      </c>
      <c r="B787" s="1">
        <v>6900307</v>
      </c>
      <c r="C787" t="s">
        <v>389</v>
      </c>
      <c r="D787" t="s">
        <v>866</v>
      </c>
      <c r="E787" t="s">
        <v>10</v>
      </c>
    </row>
    <row r="788" spans="1:5" hidden="1" outlineLevel="1">
      <c r="A788" s="2">
        <v>0</v>
      </c>
      <c r="B788" s="26" t="s">
        <v>867</v>
      </c>
      <c r="C788" s="27">
        <v>0</v>
      </c>
      <c r="D788" s="27">
        <v>0</v>
      </c>
      <c r="E788" s="27">
        <v>0</v>
      </c>
    </row>
    <row r="789" spans="1:5" hidden="1" outlineLevel="2">
      <c r="A789" s="3" t="e">
        <f>(HYPERLINK("http://www.autodoc.ru/Web/price/art/2456AGSGYMV?analog=on","2456AGSGYMV"))*1</f>
        <v>#VALUE!</v>
      </c>
      <c r="B789" s="1">
        <v>6963194</v>
      </c>
      <c r="C789" t="s">
        <v>366</v>
      </c>
      <c r="D789" t="s">
        <v>868</v>
      </c>
      <c r="E789" t="s">
        <v>8</v>
      </c>
    </row>
    <row r="790" spans="1:5" hidden="1" outlineLevel="2">
      <c r="A790" s="3" t="e">
        <f>(HYPERLINK("http://www.autodoc.ru/Web/price/art/2456AGSGYMV1B?analog=on","2456AGSGYMV1B"))*1</f>
        <v>#VALUE!</v>
      </c>
      <c r="B790" s="1">
        <v>6964883</v>
      </c>
      <c r="C790" t="s">
        <v>366</v>
      </c>
      <c r="D790" t="s">
        <v>869</v>
      </c>
      <c r="E790" t="s">
        <v>8</v>
      </c>
    </row>
    <row r="791" spans="1:5" hidden="1" outlineLevel="2">
      <c r="A791" s="3" t="e">
        <f>(HYPERLINK("http://www.autodoc.ru/Web/price/art/2456AGSMUV1T?analog=on","2456AGSMUV1T"))*1</f>
        <v>#VALUE!</v>
      </c>
      <c r="B791" s="1">
        <v>6964944</v>
      </c>
      <c r="C791" t="s">
        <v>366</v>
      </c>
      <c r="D791" t="s">
        <v>870</v>
      </c>
      <c r="E791" t="s">
        <v>8</v>
      </c>
    </row>
    <row r="792" spans="1:5" hidden="1" outlineLevel="1">
      <c r="A792" s="2">
        <v>0</v>
      </c>
      <c r="B792" s="26" t="s">
        <v>871</v>
      </c>
      <c r="C792" s="27">
        <v>0</v>
      </c>
      <c r="D792" s="27">
        <v>0</v>
      </c>
      <c r="E792" s="27">
        <v>0</v>
      </c>
    </row>
    <row r="793" spans="1:5" hidden="1" outlineLevel="2">
      <c r="A793" s="3" t="e">
        <f>(HYPERLINK("http://www.autodoc.ru/Web/price/art/2435AGNGNV?analog=on","2435AGNGNV"))*1</f>
        <v>#VALUE!</v>
      </c>
      <c r="B793" s="1">
        <v>6967399</v>
      </c>
      <c r="C793" t="s">
        <v>240</v>
      </c>
      <c r="D793" t="s">
        <v>872</v>
      </c>
      <c r="E793" t="s">
        <v>8</v>
      </c>
    </row>
    <row r="794" spans="1:5" hidden="1" outlineLevel="2">
      <c r="A794" s="3" t="e">
        <f>(HYPERLINK("http://www.autodoc.ru/Web/price/art/2435AGNV?analog=on","2435AGNV"))*1</f>
        <v>#VALUE!</v>
      </c>
      <c r="B794" s="1">
        <v>6963726</v>
      </c>
      <c r="C794" t="s">
        <v>240</v>
      </c>
      <c r="D794" t="s">
        <v>873</v>
      </c>
      <c r="E794" t="s">
        <v>8</v>
      </c>
    </row>
    <row r="795" spans="1:5" hidden="1" outlineLevel="2">
      <c r="A795" s="3" t="e">
        <f>(HYPERLINK("http://www.autodoc.ru/Web/price/art/2435ASMT?analog=on","2435ASMT"))*1</f>
        <v>#VALUE!</v>
      </c>
      <c r="B795" s="1">
        <v>6100025</v>
      </c>
      <c r="C795" t="s">
        <v>19</v>
      </c>
      <c r="D795" t="s">
        <v>874</v>
      </c>
      <c r="E795" t="s">
        <v>21</v>
      </c>
    </row>
    <row r="796" spans="1:5" hidden="1" outlineLevel="2">
      <c r="A796" s="3" t="e">
        <f>(HYPERLINK("http://www.autodoc.ru/Web/price/art/2435BGNC?analog=on","2435BGNC"))*1</f>
        <v>#VALUE!</v>
      </c>
      <c r="B796" s="1">
        <v>6992751</v>
      </c>
      <c r="C796" t="s">
        <v>240</v>
      </c>
      <c r="D796" t="s">
        <v>875</v>
      </c>
      <c r="E796" t="s">
        <v>23</v>
      </c>
    </row>
    <row r="797" spans="1:5" hidden="1" outlineLevel="2">
      <c r="A797" s="3" t="e">
        <f>(HYPERLINK("http://www.autodoc.ru/Web/price/art/2435LGNC2RQ?analog=on","2435LGNC2RQ"))*1</f>
        <v>#VALUE!</v>
      </c>
      <c r="B797" s="1">
        <v>6994323</v>
      </c>
      <c r="C797" t="s">
        <v>240</v>
      </c>
      <c r="D797" t="s">
        <v>876</v>
      </c>
      <c r="E797" t="s">
        <v>10</v>
      </c>
    </row>
    <row r="798" spans="1:5" hidden="1" outlineLevel="2">
      <c r="A798" s="3" t="e">
        <f>(HYPERLINK("http://www.autodoc.ru/Web/price/art/2435RGNC2RQ?analog=on","2435RGNC2RQ"))*1</f>
        <v>#VALUE!</v>
      </c>
      <c r="B798" s="1">
        <v>6994325</v>
      </c>
      <c r="C798" t="s">
        <v>240</v>
      </c>
      <c r="D798" t="s">
        <v>877</v>
      </c>
      <c r="E798" t="s">
        <v>10</v>
      </c>
    </row>
    <row r="799" spans="1:5" hidden="1" outlineLevel="1">
      <c r="A799" s="2">
        <v>0</v>
      </c>
      <c r="B799" s="26" t="s">
        <v>878</v>
      </c>
      <c r="C799" s="27">
        <v>0</v>
      </c>
      <c r="D799" s="27">
        <v>0</v>
      </c>
      <c r="E799" s="27">
        <v>0</v>
      </c>
    </row>
    <row r="800" spans="1:5" hidden="1" outlineLevel="2">
      <c r="A800" s="3" t="e">
        <f>(HYPERLINK("http://www.autodoc.ru/Web/price/art/2444AGSMV?analog=on","2444AGSMV"))*1</f>
        <v>#VALUE!</v>
      </c>
      <c r="B800" s="1">
        <v>6960788</v>
      </c>
      <c r="C800" t="s">
        <v>879</v>
      </c>
      <c r="D800" t="s">
        <v>880</v>
      </c>
      <c r="E800" t="s">
        <v>8</v>
      </c>
    </row>
    <row r="801" spans="1:5" hidden="1" outlineLevel="2">
      <c r="A801" s="3" t="e">
        <f>(HYPERLINK("http://www.autodoc.ru/Web/price/art/2444ASMT?analog=on","2444ASMT"))*1</f>
        <v>#VALUE!</v>
      </c>
      <c r="B801" s="1">
        <v>6101564</v>
      </c>
      <c r="C801" t="s">
        <v>19</v>
      </c>
      <c r="D801" t="s">
        <v>881</v>
      </c>
      <c r="E801" t="s">
        <v>21</v>
      </c>
    </row>
    <row r="802" spans="1:5" hidden="1" outlineLevel="1">
      <c r="A802" s="2">
        <v>0</v>
      </c>
      <c r="B802" s="26" t="s">
        <v>882</v>
      </c>
      <c r="C802" s="27">
        <v>0</v>
      </c>
      <c r="D802" s="27">
        <v>0</v>
      </c>
      <c r="E802" s="27">
        <v>0</v>
      </c>
    </row>
    <row r="803" spans="1:5" hidden="1" outlineLevel="2">
      <c r="A803" s="3" t="e">
        <f>(HYPERLINK("http://www.autodoc.ru/Web/price/art/2453AGSGNMV1B?analog=on","2453AGSGNMV1B"))*1</f>
        <v>#VALUE!</v>
      </c>
      <c r="B803" s="1">
        <v>6962516</v>
      </c>
      <c r="C803" t="s">
        <v>883</v>
      </c>
      <c r="D803" t="s">
        <v>884</v>
      </c>
      <c r="E803" t="s">
        <v>8</v>
      </c>
    </row>
    <row r="804" spans="1:5" hidden="1" outlineLevel="2">
      <c r="A804" s="3" t="e">
        <f>(HYPERLINK("http://www.autodoc.ru/Web/price/art/2453AGSGNV?analog=on","2453AGSGNV"))*1</f>
        <v>#VALUE!</v>
      </c>
      <c r="B804" s="1">
        <v>6962742</v>
      </c>
      <c r="C804" t="s">
        <v>883</v>
      </c>
      <c r="D804" t="s">
        <v>885</v>
      </c>
      <c r="E804" t="s">
        <v>8</v>
      </c>
    </row>
    <row r="805" spans="1:5" hidden="1" outlineLevel="2">
      <c r="A805" s="3" t="e">
        <f>(HYPERLINK("http://www.autodoc.ru/Web/price/art/2453AGSMV1B?analog=on","2453AGSMV1B"))*1</f>
        <v>#VALUE!</v>
      </c>
      <c r="B805" s="1">
        <v>6962741</v>
      </c>
      <c r="C805" t="s">
        <v>883</v>
      </c>
      <c r="D805" t="s">
        <v>886</v>
      </c>
      <c r="E805" t="s">
        <v>8</v>
      </c>
    </row>
    <row r="806" spans="1:5" hidden="1" outlineLevel="2">
      <c r="A806" s="3" t="e">
        <f>(HYPERLINK("http://www.autodoc.ru/Web/price/art/2453AGSV?analog=on","2453AGSV"))*1</f>
        <v>#VALUE!</v>
      </c>
      <c r="B806" s="1">
        <v>6962740</v>
      </c>
      <c r="C806" t="s">
        <v>883</v>
      </c>
      <c r="D806" t="s">
        <v>887</v>
      </c>
      <c r="E806" t="s">
        <v>8</v>
      </c>
    </row>
    <row r="807" spans="1:5" collapsed="1">
      <c r="A807" s="28" t="s">
        <v>888</v>
      </c>
      <c r="B807" s="28">
        <v>0</v>
      </c>
      <c r="C807" s="28">
        <v>0</v>
      </c>
      <c r="D807" s="28">
        <v>0</v>
      </c>
      <c r="E807" s="28">
        <v>0</v>
      </c>
    </row>
    <row r="808" spans="1:5" hidden="1" outlineLevel="1">
      <c r="A808" s="2">
        <v>0</v>
      </c>
      <c r="B808" s="26" t="s">
        <v>889</v>
      </c>
      <c r="C808" s="27">
        <v>0</v>
      </c>
      <c r="D808" s="27">
        <v>0</v>
      </c>
      <c r="E808" s="27">
        <v>0</v>
      </c>
    </row>
    <row r="809" spans="1:5" hidden="1" outlineLevel="2">
      <c r="A809" s="3" t="e">
        <f>(HYPERLINK("http://www.autodoc.ru/Web/price/art/A129AGSVW?analog=on","A129AGSVW"))*1</f>
        <v>#VALUE!</v>
      </c>
      <c r="B809" s="1">
        <v>6190479</v>
      </c>
      <c r="C809" t="s">
        <v>890</v>
      </c>
      <c r="D809" t="s">
        <v>891</v>
      </c>
      <c r="E809" t="s">
        <v>8</v>
      </c>
    </row>
    <row r="810" spans="1:5" hidden="1" outlineLevel="2">
      <c r="A810" s="3" t="e">
        <f>(HYPERLINK("http://www.autodoc.ru/Web/price/art/A129AGSMVW?analog=on","A129AGSMVW"))*1</f>
        <v>#VALUE!</v>
      </c>
      <c r="B810" s="1">
        <v>6190478</v>
      </c>
      <c r="C810" t="s">
        <v>890</v>
      </c>
      <c r="D810" t="s">
        <v>892</v>
      </c>
      <c r="E810" t="s">
        <v>8</v>
      </c>
    </row>
    <row r="811" spans="1:5" hidden="1" outlineLevel="2">
      <c r="A811" s="3" t="e">
        <f>(HYPERLINK("http://www.autodoc.ru/Web/price/art/A129LGSS4FD?analog=on","A129LGSS4FD"))*1</f>
        <v>#VALUE!</v>
      </c>
      <c r="B811" s="1">
        <v>6190480</v>
      </c>
      <c r="C811" t="s">
        <v>890</v>
      </c>
      <c r="D811" t="s">
        <v>893</v>
      </c>
      <c r="E811" t="s">
        <v>10</v>
      </c>
    </row>
    <row r="812" spans="1:5" hidden="1" outlineLevel="2">
      <c r="A812" s="3" t="e">
        <f>(HYPERLINK("http://www.autodoc.ru/Web/price/art/A129RGSS4FD?analog=on","A129RGSS4FD"))*1</f>
        <v>#VALUE!</v>
      </c>
      <c r="B812" s="1">
        <v>6190481</v>
      </c>
      <c r="C812" t="s">
        <v>890</v>
      </c>
      <c r="D812" t="s">
        <v>894</v>
      </c>
      <c r="E812" t="s">
        <v>10</v>
      </c>
    </row>
    <row r="813" spans="1:5" hidden="1" outlineLevel="1">
      <c r="A813" s="2">
        <v>0</v>
      </c>
      <c r="B813" s="26" t="s">
        <v>895</v>
      </c>
      <c r="C813" s="27">
        <v>0</v>
      </c>
      <c r="D813" s="27">
        <v>0</v>
      </c>
      <c r="E813" s="27">
        <v>0</v>
      </c>
    </row>
    <row r="814" spans="1:5" hidden="1" outlineLevel="2">
      <c r="A814" s="3" t="e">
        <f>(HYPERLINK("http://www.autodoc.ru/Web/price/art/A124AGSBLAVW?analog=on","A124AGSBLAVW"))*1</f>
        <v>#VALUE!</v>
      </c>
      <c r="B814" s="1">
        <v>6962937</v>
      </c>
      <c r="C814" t="s">
        <v>896</v>
      </c>
      <c r="D814" t="s">
        <v>897</v>
      </c>
      <c r="E814" t="s">
        <v>8</v>
      </c>
    </row>
    <row r="815" spans="1:5" hidden="1" outlineLevel="2">
      <c r="A815" s="3" t="e">
        <f>(HYPERLINK("http://www.autodoc.ru/Web/price/art/A124LGSS4FD?analog=on","A124LGSS4FD"))*1</f>
        <v>#VALUE!</v>
      </c>
      <c r="B815" s="1">
        <v>6900566</v>
      </c>
      <c r="C815" t="s">
        <v>896</v>
      </c>
      <c r="D815" t="s">
        <v>898</v>
      </c>
      <c r="E815" t="s">
        <v>10</v>
      </c>
    </row>
    <row r="816" spans="1:5" hidden="1" outlineLevel="2">
      <c r="A816" s="3" t="e">
        <f>(HYPERLINK("http://www.autodoc.ru/Web/price/art/A124RGSS4FD?analog=on","A124RGSS4FD"))*1</f>
        <v>#VALUE!</v>
      </c>
      <c r="B816" s="1">
        <v>6900567</v>
      </c>
      <c r="C816" t="s">
        <v>896</v>
      </c>
      <c r="D816" t="s">
        <v>899</v>
      </c>
      <c r="E816" t="s">
        <v>10</v>
      </c>
    </row>
    <row r="817" spans="1:5" hidden="1" outlineLevel="1">
      <c r="A817" s="2">
        <v>0</v>
      </c>
      <c r="B817" s="26" t="s">
        <v>900</v>
      </c>
      <c r="C817" s="27">
        <v>0</v>
      </c>
      <c r="D817" s="27">
        <v>0</v>
      </c>
      <c r="E817" s="27">
        <v>0</v>
      </c>
    </row>
    <row r="818" spans="1:5" hidden="1" outlineLevel="2">
      <c r="A818" s="3" t="e">
        <f>(HYPERLINK("http://www.autodoc.ru/Web/price/art/A121AGSBLZ?analog=on","A121AGSBLZ"))*1</f>
        <v>#VALUE!</v>
      </c>
      <c r="B818" s="1">
        <v>6963008</v>
      </c>
      <c r="C818" t="s">
        <v>901</v>
      </c>
      <c r="D818" t="s">
        <v>902</v>
      </c>
      <c r="E818" t="s">
        <v>8</v>
      </c>
    </row>
    <row r="819" spans="1:5" hidden="1" outlineLevel="1">
      <c r="A819" s="2">
        <v>0</v>
      </c>
      <c r="B819" s="26" t="s">
        <v>903</v>
      </c>
      <c r="C819" s="27">
        <v>0</v>
      </c>
      <c r="D819" s="27">
        <v>0</v>
      </c>
      <c r="E819" s="27">
        <v>0</v>
      </c>
    </row>
    <row r="820" spans="1:5" hidden="1" outlineLevel="2">
      <c r="A820" s="3" t="e">
        <f>(HYPERLINK("http://www.autodoc.ru/Web/price/art/A128AGSBLAW?analog=on","A128AGSBLAW"))*1</f>
        <v>#VALUE!</v>
      </c>
      <c r="B820" s="1">
        <v>6963040</v>
      </c>
      <c r="C820" t="s">
        <v>904</v>
      </c>
      <c r="D820" t="s">
        <v>905</v>
      </c>
      <c r="E820" t="s">
        <v>8</v>
      </c>
    </row>
    <row r="821" spans="1:5" hidden="1" outlineLevel="2">
      <c r="A821" s="3" t="e">
        <f>(HYPERLINK("http://www.autodoc.ru/Web/price/art/A128LGSR5FD?analog=on","A128LGSR5FD"))*1</f>
        <v>#VALUE!</v>
      </c>
      <c r="B821" s="1">
        <v>6900568</v>
      </c>
      <c r="C821" t="s">
        <v>904</v>
      </c>
      <c r="D821" t="s">
        <v>906</v>
      </c>
      <c r="E821" t="s">
        <v>10</v>
      </c>
    </row>
    <row r="822" spans="1:5" hidden="1" outlineLevel="2">
      <c r="A822" s="3" t="e">
        <f>(HYPERLINK("http://www.autodoc.ru/Web/price/art/A128RGSR5FD?analog=on","A128RGSR5FD"))*1</f>
        <v>#VALUE!</v>
      </c>
      <c r="B822" s="1">
        <v>6900569</v>
      </c>
      <c r="C822" t="s">
        <v>904</v>
      </c>
      <c r="D822" t="s">
        <v>907</v>
      </c>
      <c r="E822" t="s">
        <v>10</v>
      </c>
    </row>
    <row r="823" spans="1:5" hidden="1" outlineLevel="1">
      <c r="A823" s="2">
        <v>0</v>
      </c>
      <c r="B823" s="26" t="s">
        <v>908</v>
      </c>
      <c r="C823" s="27">
        <v>0</v>
      </c>
      <c r="D823" s="27">
        <v>0</v>
      </c>
      <c r="E823" s="27">
        <v>0</v>
      </c>
    </row>
    <row r="824" spans="1:5" hidden="1" outlineLevel="2">
      <c r="A824" s="3" t="e">
        <f>(HYPERLINK("http://www.autodoc.ru/Web/price/art/A127AGAMVZ1B?analog=on","A127AGAMVZ1B"))*1</f>
        <v>#VALUE!</v>
      </c>
      <c r="B824" s="1">
        <v>6963041</v>
      </c>
      <c r="C824" t="s">
        <v>890</v>
      </c>
      <c r="D824" t="s">
        <v>909</v>
      </c>
      <c r="E824" t="s">
        <v>8</v>
      </c>
    </row>
    <row r="825" spans="1:5" collapsed="1">
      <c r="A825" s="28" t="s">
        <v>910</v>
      </c>
      <c r="B825" s="28">
        <v>0</v>
      </c>
      <c r="C825" s="28">
        <v>0</v>
      </c>
      <c r="D825" s="28">
        <v>0</v>
      </c>
      <c r="E825" s="28">
        <v>0</v>
      </c>
    </row>
    <row r="826" spans="1:5" hidden="1" outlineLevel="1">
      <c r="A826" s="2">
        <v>0</v>
      </c>
      <c r="B826" s="26" t="s">
        <v>911</v>
      </c>
      <c r="C826" s="27">
        <v>0</v>
      </c>
      <c r="D826" s="27">
        <v>0</v>
      </c>
      <c r="E826" s="27">
        <v>0</v>
      </c>
    </row>
    <row r="827" spans="1:5" hidden="1" outlineLevel="2">
      <c r="A827" s="3" t="e">
        <f>(HYPERLINK("http://www.autodoc.ru/Web/price/art/9611BCLS?analog=on","9611BCLS"))*1</f>
        <v>#VALUE!</v>
      </c>
      <c r="B827" s="1">
        <v>6900484</v>
      </c>
      <c r="C827" t="s">
        <v>890</v>
      </c>
      <c r="D827" t="s">
        <v>912</v>
      </c>
      <c r="E827" t="s">
        <v>23</v>
      </c>
    </row>
    <row r="828" spans="1:5" hidden="1" outlineLevel="2">
      <c r="A828" s="3" t="e">
        <f>(HYPERLINK("http://www.autodoc.ru/Web/price/art/9611RCLS4RD?analog=on","9611RCLS4RD"))*1</f>
        <v>#VALUE!</v>
      </c>
      <c r="B828" s="1">
        <v>6900488</v>
      </c>
      <c r="C828" t="s">
        <v>890</v>
      </c>
      <c r="D828" t="s">
        <v>913</v>
      </c>
      <c r="E828" t="s">
        <v>10</v>
      </c>
    </row>
    <row r="829" spans="1:5" hidden="1" outlineLevel="1">
      <c r="A829" s="2">
        <v>0</v>
      </c>
      <c r="B829" s="26" t="s">
        <v>914</v>
      </c>
      <c r="C829" s="27">
        <v>0</v>
      </c>
      <c r="D829" s="27">
        <v>0</v>
      </c>
      <c r="E829" s="27">
        <v>0</v>
      </c>
    </row>
    <row r="830" spans="1:5" hidden="1" outlineLevel="2">
      <c r="A830" s="3" t="e">
        <f>(HYPERLINK("http://www.autodoc.ru/Web/price/art/9641AGNBL?analog=on","9641AGNBL"))*1</f>
        <v>#VALUE!</v>
      </c>
      <c r="B830" s="1">
        <v>6965543</v>
      </c>
      <c r="C830" t="s">
        <v>389</v>
      </c>
      <c r="D830" t="s">
        <v>915</v>
      </c>
      <c r="E830" t="s">
        <v>8</v>
      </c>
    </row>
    <row r="831" spans="1:5" hidden="1" outlineLevel="1">
      <c r="A831" s="2">
        <v>0</v>
      </c>
      <c r="B831" s="26" t="s">
        <v>916</v>
      </c>
      <c r="C831" s="27">
        <v>0</v>
      </c>
      <c r="D831" s="27">
        <v>0</v>
      </c>
      <c r="E831" s="27">
        <v>0</v>
      </c>
    </row>
    <row r="832" spans="1:5" hidden="1" outlineLevel="2">
      <c r="A832" s="3" t="e">
        <f>(HYPERLINK("http://www.autodoc.ru/Web/price/art/9595XLGNR5RQ?analog=on","9595XLGNR5RQ"))*1</f>
        <v>#VALUE!</v>
      </c>
      <c r="B832" s="1">
        <v>6900491</v>
      </c>
      <c r="C832" t="s">
        <v>389</v>
      </c>
      <c r="D832" t="s">
        <v>917</v>
      </c>
      <c r="E832" t="s">
        <v>10</v>
      </c>
    </row>
    <row r="833" spans="1:5" hidden="1" outlineLevel="2">
      <c r="A833" s="3" t="e">
        <f>(HYPERLINK("http://www.autodoc.ru/Web/price/art/9595XLGNR5RV?analog=on","9595XLGNR5RV"))*1</f>
        <v>#VALUE!</v>
      </c>
      <c r="B833" s="1">
        <v>6900495</v>
      </c>
      <c r="C833" t="s">
        <v>389</v>
      </c>
      <c r="D833" t="s">
        <v>918</v>
      </c>
      <c r="E833" t="s">
        <v>10</v>
      </c>
    </row>
    <row r="834" spans="1:5" hidden="1" outlineLevel="2">
      <c r="A834" s="3" t="e">
        <f>(HYPERLINK("http://www.autodoc.ru/Web/price/art/9595XRGNR5RD?analog=on","9595XRGNR5RD"))*1</f>
        <v>#VALUE!</v>
      </c>
      <c r="B834" s="1">
        <v>6900494</v>
      </c>
      <c r="C834" t="s">
        <v>389</v>
      </c>
      <c r="D834" t="s">
        <v>919</v>
      </c>
      <c r="E834" t="s">
        <v>10</v>
      </c>
    </row>
    <row r="835" spans="1:5" hidden="1" outlineLevel="2">
      <c r="A835" s="3" t="e">
        <f>(HYPERLINK("http://www.autodoc.ru/Web/price/art/9595XRGNR5RQ?analog=on","9595XRGNR5RQ"))*1</f>
        <v>#VALUE!</v>
      </c>
      <c r="B835" s="1">
        <v>6900492</v>
      </c>
      <c r="C835" t="s">
        <v>389</v>
      </c>
      <c r="D835" t="s">
        <v>920</v>
      </c>
      <c r="E835" t="s">
        <v>10</v>
      </c>
    </row>
    <row r="836" spans="1:5" hidden="1" outlineLevel="2">
      <c r="A836" s="3" t="e">
        <f>(HYPERLINK("http://www.autodoc.ru/Web/price/art/9595XRGNR5RV?analog=on","9595XRGNR5RV"))*1</f>
        <v>#VALUE!</v>
      </c>
      <c r="B836" s="1">
        <v>6900496</v>
      </c>
      <c r="C836" t="s">
        <v>389</v>
      </c>
      <c r="D836" t="s">
        <v>921</v>
      </c>
      <c r="E836" t="s">
        <v>10</v>
      </c>
    </row>
    <row r="837" spans="1:5" collapsed="1">
      <c r="A837" s="28" t="s">
        <v>922</v>
      </c>
      <c r="B837" s="28">
        <v>0</v>
      </c>
      <c r="C837" s="28">
        <v>0</v>
      </c>
      <c r="D837" s="28">
        <v>0</v>
      </c>
      <c r="E837" s="28">
        <v>0</v>
      </c>
    </row>
    <row r="838" spans="1:5" hidden="1" outlineLevel="1">
      <c r="A838" s="2">
        <v>0</v>
      </c>
      <c r="B838" s="26" t="s">
        <v>923</v>
      </c>
      <c r="C838" s="27">
        <v>0</v>
      </c>
      <c r="D838" s="27">
        <v>0</v>
      </c>
      <c r="E838" s="27">
        <v>0</v>
      </c>
    </row>
    <row r="839" spans="1:5" hidden="1" outlineLevel="2">
      <c r="A839" s="3" t="e">
        <f>(HYPERLINK("http://www.autodoc.ru/Web/price/art/3014AGSBL?analog=on","3014AGSBL"))*1</f>
        <v>#VALUE!</v>
      </c>
      <c r="B839" s="1">
        <v>6961026</v>
      </c>
      <c r="C839" t="s">
        <v>829</v>
      </c>
      <c r="D839" t="s">
        <v>924</v>
      </c>
      <c r="E839" t="s">
        <v>8</v>
      </c>
    </row>
    <row r="840" spans="1:5" hidden="1" outlineLevel="2">
      <c r="A840" s="3" t="e">
        <f>(HYPERLINK("http://www.autodoc.ru/Web/price/art/3014ASMH?analog=on","3014ASMH"))*1</f>
        <v>#VALUE!</v>
      </c>
      <c r="B840" s="1">
        <v>6101565</v>
      </c>
      <c r="C840" t="s">
        <v>19</v>
      </c>
      <c r="D840" t="s">
        <v>925</v>
      </c>
      <c r="E840" t="s">
        <v>21</v>
      </c>
    </row>
    <row r="841" spans="1:5" hidden="1" outlineLevel="2">
      <c r="A841" s="3" t="e">
        <f>(HYPERLINK("http://www.autodoc.ru/Web/price/art/3014BGSHW?analog=on","3014BGSHW"))*1</f>
        <v>#VALUE!</v>
      </c>
      <c r="B841" s="1">
        <v>6999497</v>
      </c>
      <c r="C841" t="s">
        <v>829</v>
      </c>
      <c r="D841" t="s">
        <v>926</v>
      </c>
      <c r="E841" t="s">
        <v>23</v>
      </c>
    </row>
    <row r="842" spans="1:5" hidden="1" outlineLevel="2">
      <c r="A842" s="3" t="e">
        <f>(HYPERLINK("http://www.autodoc.ru/Web/price/art/3014BGSSA?analog=on","3014BGSSA"))*1</f>
        <v>#VALUE!</v>
      </c>
      <c r="B842" s="1">
        <v>6999496</v>
      </c>
      <c r="C842" t="s">
        <v>829</v>
      </c>
      <c r="D842" t="s">
        <v>927</v>
      </c>
      <c r="E842" t="s">
        <v>23</v>
      </c>
    </row>
    <row r="843" spans="1:5" hidden="1" outlineLevel="2">
      <c r="A843" s="3" t="e">
        <f>(HYPERLINK("http://www.autodoc.ru/Web/price/art/3014LGSH5FD?analog=on","3014LGSH5FD"))*1</f>
        <v>#VALUE!</v>
      </c>
      <c r="B843" s="1">
        <v>6995194</v>
      </c>
      <c r="C843" t="s">
        <v>829</v>
      </c>
      <c r="D843" t="s">
        <v>928</v>
      </c>
      <c r="E843" t="s">
        <v>10</v>
      </c>
    </row>
    <row r="844" spans="1:5" hidden="1" outlineLevel="2">
      <c r="A844" s="3" t="e">
        <f>(HYPERLINK("http://www.autodoc.ru/Web/price/art/3014LGSH5RD?analog=on","3014LGSH5RD"))*1</f>
        <v>#VALUE!</v>
      </c>
      <c r="B844" s="1">
        <v>6995196</v>
      </c>
      <c r="C844" t="s">
        <v>829</v>
      </c>
      <c r="D844" t="s">
        <v>929</v>
      </c>
      <c r="E844" t="s">
        <v>10</v>
      </c>
    </row>
    <row r="845" spans="1:5" hidden="1" outlineLevel="2">
      <c r="A845" s="3" t="e">
        <f>(HYPERLINK("http://www.autodoc.ru/Web/price/art/3014LGSH5RQW?analog=on","3014LGSH5RQW"))*1</f>
        <v>#VALUE!</v>
      </c>
      <c r="B845" s="1">
        <v>6900328</v>
      </c>
      <c r="C845" t="s">
        <v>829</v>
      </c>
      <c r="D845" t="s">
        <v>930</v>
      </c>
      <c r="E845" t="s">
        <v>10</v>
      </c>
    </row>
    <row r="846" spans="1:5" hidden="1" outlineLevel="2">
      <c r="A846" s="3" t="e">
        <f>(HYPERLINK("http://www.autodoc.ru/Web/price/art/3014LGSS4RD?analog=on","3014LGSS4RD"))*1</f>
        <v>#VALUE!</v>
      </c>
      <c r="B846" s="1">
        <v>6995192</v>
      </c>
      <c r="C846" t="s">
        <v>829</v>
      </c>
      <c r="D846" t="s">
        <v>929</v>
      </c>
      <c r="E846" t="s">
        <v>10</v>
      </c>
    </row>
    <row r="847" spans="1:5" hidden="1" outlineLevel="2">
      <c r="A847" s="3" t="e">
        <f>(HYPERLINK("http://www.autodoc.ru/Web/price/art/3014RGSH5FD?analog=on","3014RGSH5FD"))*1</f>
        <v>#VALUE!</v>
      </c>
      <c r="B847" s="1">
        <v>6995195</v>
      </c>
      <c r="C847" t="s">
        <v>829</v>
      </c>
      <c r="D847" t="s">
        <v>931</v>
      </c>
      <c r="E847" t="s">
        <v>10</v>
      </c>
    </row>
    <row r="848" spans="1:5" hidden="1" outlineLevel="2">
      <c r="A848" s="3" t="e">
        <f>(HYPERLINK("http://www.autodoc.ru/Web/price/art/3014RGSH5RD?analog=on","3014RGSH5RD"))*1</f>
        <v>#VALUE!</v>
      </c>
      <c r="B848" s="1">
        <v>6995197</v>
      </c>
      <c r="C848" t="s">
        <v>829</v>
      </c>
      <c r="D848" t="s">
        <v>932</v>
      </c>
      <c r="E848" t="s">
        <v>10</v>
      </c>
    </row>
    <row r="849" spans="1:5" hidden="1" outlineLevel="2">
      <c r="A849" s="3" t="e">
        <f>(HYPERLINK("http://www.autodoc.ru/Web/price/art/3014RGSH5RQW?analog=on","3014RGSH5RQW"))*1</f>
        <v>#VALUE!</v>
      </c>
      <c r="B849" s="1">
        <v>6900344</v>
      </c>
      <c r="C849" t="s">
        <v>829</v>
      </c>
      <c r="D849" t="s">
        <v>933</v>
      </c>
      <c r="E849" t="s">
        <v>10</v>
      </c>
    </row>
    <row r="850" spans="1:5" hidden="1" outlineLevel="2">
      <c r="A850" s="3" t="e">
        <f>(HYPERLINK("http://www.autodoc.ru/Web/price/art/3014RGSS4RD?analog=on","3014RGSS4RD"))*1</f>
        <v>#VALUE!</v>
      </c>
      <c r="B850" s="1">
        <v>6995193</v>
      </c>
      <c r="C850" t="s">
        <v>829</v>
      </c>
      <c r="D850" t="s">
        <v>932</v>
      </c>
      <c r="E850" t="s">
        <v>10</v>
      </c>
    </row>
    <row r="851" spans="1:5" hidden="1" outlineLevel="1">
      <c r="A851" s="2">
        <v>0</v>
      </c>
      <c r="B851" s="26" t="s">
        <v>934</v>
      </c>
      <c r="C851" s="27">
        <v>0</v>
      </c>
      <c r="D851" s="27">
        <v>0</v>
      </c>
      <c r="E851" s="27">
        <v>0</v>
      </c>
    </row>
    <row r="852" spans="1:5" hidden="1" outlineLevel="2">
      <c r="A852" s="3" t="e">
        <f>(HYPERLINK("http://www.autodoc.ru/Web/price/art/3012AGSBL?analog=on","3012AGSBL"))*1</f>
        <v>#VALUE!</v>
      </c>
      <c r="B852" s="1">
        <v>6950053</v>
      </c>
      <c r="C852" t="s">
        <v>829</v>
      </c>
      <c r="D852" t="s">
        <v>935</v>
      </c>
      <c r="E852" t="s">
        <v>8</v>
      </c>
    </row>
    <row r="853" spans="1:5" hidden="1" outlineLevel="2">
      <c r="A853" s="3" t="e">
        <f>(HYPERLINK("http://www.autodoc.ru/Web/price/art/3012ASMS?analog=on","3012ASMS"))*1</f>
        <v>#VALUE!</v>
      </c>
      <c r="B853" s="1">
        <v>6101628</v>
      </c>
      <c r="C853" t="s">
        <v>19</v>
      </c>
      <c r="D853" t="s">
        <v>936</v>
      </c>
      <c r="E853" t="s">
        <v>21</v>
      </c>
    </row>
    <row r="854" spans="1:5" hidden="1" outlineLevel="2">
      <c r="A854" s="3" t="e">
        <f>(HYPERLINK("http://www.autodoc.ru/Web/price/art/3012BGNSA?analog=on","3012BGNSA"))*1</f>
        <v>#VALUE!</v>
      </c>
      <c r="B854" s="1">
        <v>6999495</v>
      </c>
      <c r="C854" t="s">
        <v>829</v>
      </c>
      <c r="D854" t="s">
        <v>937</v>
      </c>
      <c r="E854" t="s">
        <v>23</v>
      </c>
    </row>
    <row r="855" spans="1:5" hidden="1" outlineLevel="2">
      <c r="A855" s="3" t="e">
        <f>(HYPERLINK("http://www.autodoc.ru/Web/price/art/3012LGNS4FD?analog=on","3012LGNS4FD"))*1</f>
        <v>#VALUE!</v>
      </c>
      <c r="B855" s="1">
        <v>6996163</v>
      </c>
      <c r="C855" t="s">
        <v>829</v>
      </c>
      <c r="D855" t="s">
        <v>938</v>
      </c>
      <c r="E855" t="s">
        <v>10</v>
      </c>
    </row>
    <row r="856" spans="1:5" hidden="1" outlineLevel="2">
      <c r="A856" s="3" t="e">
        <f>(HYPERLINK("http://www.autodoc.ru/Web/price/art/3012LGNS4RD?analog=on","3012LGNS4RD"))*1</f>
        <v>#VALUE!</v>
      </c>
      <c r="B856" s="1">
        <v>6900134</v>
      </c>
      <c r="C856" t="s">
        <v>829</v>
      </c>
      <c r="D856" t="s">
        <v>939</v>
      </c>
      <c r="E856" t="s">
        <v>10</v>
      </c>
    </row>
    <row r="857" spans="1:5" hidden="1" outlineLevel="2">
      <c r="A857" s="3" t="e">
        <f>(HYPERLINK("http://www.autodoc.ru/Web/price/art/3012LGNS4RV?analog=on","3012LGNS4RV"))*1</f>
        <v>#VALUE!</v>
      </c>
      <c r="B857" s="1">
        <v>6900292</v>
      </c>
      <c r="C857" t="s">
        <v>829</v>
      </c>
      <c r="D857" t="s">
        <v>940</v>
      </c>
      <c r="E857" t="s">
        <v>10</v>
      </c>
    </row>
    <row r="858" spans="1:5" hidden="1" outlineLevel="2">
      <c r="A858" s="3" t="e">
        <f>(HYPERLINK("http://www.autodoc.ru/Web/price/art/3012RGNS4FD?analog=on","3012RGNS4FD"))*1</f>
        <v>#VALUE!</v>
      </c>
      <c r="B858" s="1">
        <v>6900030</v>
      </c>
      <c r="C858" t="s">
        <v>829</v>
      </c>
      <c r="D858" t="s">
        <v>941</v>
      </c>
      <c r="E858" t="s">
        <v>10</v>
      </c>
    </row>
    <row r="859" spans="1:5" hidden="1" outlineLevel="2">
      <c r="A859" s="3" t="e">
        <f>(HYPERLINK("http://www.autodoc.ru/Web/price/art/3012RGNS4RD?analog=on","3012RGNS4RD"))*1</f>
        <v>#VALUE!</v>
      </c>
      <c r="B859" s="1">
        <v>6900780</v>
      </c>
      <c r="C859" t="s">
        <v>829</v>
      </c>
      <c r="D859" t="s">
        <v>942</v>
      </c>
      <c r="E859" t="s">
        <v>10</v>
      </c>
    </row>
    <row r="860" spans="1:5" hidden="1" outlineLevel="2">
      <c r="A860" s="3" t="e">
        <f>(HYPERLINK("http://www.autodoc.ru/Web/price/art/3012RGNS4RV?analog=on","3012RGNS4RV"))*1</f>
        <v>#VALUE!</v>
      </c>
      <c r="B860" s="1">
        <v>6900310</v>
      </c>
      <c r="C860" t="s">
        <v>829</v>
      </c>
      <c r="D860" t="s">
        <v>943</v>
      </c>
      <c r="E860" t="s">
        <v>10</v>
      </c>
    </row>
    <row r="861" spans="1:5" hidden="1" outlineLevel="1">
      <c r="A861" s="2">
        <v>0</v>
      </c>
      <c r="B861" s="26" t="s">
        <v>944</v>
      </c>
      <c r="C861" s="27">
        <v>0</v>
      </c>
      <c r="D861" s="27">
        <v>0</v>
      </c>
      <c r="E861" s="27">
        <v>0</v>
      </c>
    </row>
    <row r="862" spans="1:5" hidden="1" outlineLevel="2">
      <c r="A862" s="3" t="e">
        <f>(HYPERLINK("http://www.autodoc.ru/Web/price/art/3011AGNBL?analog=on","3011AGNBL"))*1</f>
        <v>#VALUE!</v>
      </c>
      <c r="B862" s="1">
        <v>6960776</v>
      </c>
      <c r="C862" t="s">
        <v>945</v>
      </c>
      <c r="D862" t="s">
        <v>946</v>
      </c>
      <c r="E862" t="s">
        <v>8</v>
      </c>
    </row>
    <row r="863" spans="1:5" hidden="1" outlineLevel="2">
      <c r="A863" s="3" t="e">
        <f>(HYPERLINK("http://www.autodoc.ru/Web/price/art/3011AGNBLM1B?analog=on","3011AGNBLM1B"))*1</f>
        <v>#VALUE!</v>
      </c>
      <c r="B863" s="1">
        <v>6964632</v>
      </c>
      <c r="C863" t="s">
        <v>584</v>
      </c>
      <c r="D863" t="s">
        <v>947</v>
      </c>
      <c r="E863" t="s">
        <v>8</v>
      </c>
    </row>
    <row r="864" spans="1:5" hidden="1" outlineLevel="2">
      <c r="A864" s="3" t="e">
        <f>(HYPERLINK("http://www.autodoc.ru/Web/price/art/3011ASMV?analog=on","3011ASMV"))*1</f>
        <v>#VALUE!</v>
      </c>
      <c r="B864" s="1">
        <v>6100589</v>
      </c>
      <c r="C864" t="s">
        <v>19</v>
      </c>
      <c r="D864" t="s">
        <v>948</v>
      </c>
      <c r="E864" t="s">
        <v>21</v>
      </c>
    </row>
    <row r="865" spans="1:5" hidden="1" outlineLevel="2">
      <c r="A865" s="3" t="e">
        <f>(HYPERLINK("http://www.autodoc.ru/Web/price/art/3011LGNV5FD?analog=on","3011LGNV5FD"))*1</f>
        <v>#VALUE!</v>
      </c>
      <c r="B865" s="1">
        <v>6995207</v>
      </c>
      <c r="C865" t="s">
        <v>945</v>
      </c>
      <c r="D865" t="s">
        <v>949</v>
      </c>
      <c r="E865" t="s">
        <v>10</v>
      </c>
    </row>
    <row r="866" spans="1:5" hidden="1" outlineLevel="2">
      <c r="A866" s="3" t="e">
        <f>(HYPERLINK("http://www.autodoc.ru/Web/price/art/3011LGNV5RD?analog=on","3011LGNV5RD"))*1</f>
        <v>#VALUE!</v>
      </c>
      <c r="B866" s="1">
        <v>6995209</v>
      </c>
      <c r="C866" t="s">
        <v>945</v>
      </c>
      <c r="D866" t="s">
        <v>950</v>
      </c>
      <c r="E866" t="s">
        <v>10</v>
      </c>
    </row>
    <row r="867" spans="1:5" hidden="1" outlineLevel="2">
      <c r="A867" s="3" t="e">
        <f>(HYPERLINK("http://www.autodoc.ru/Web/price/art/3011RGNV5FD?analog=on","3011RGNV5FD"))*1</f>
        <v>#VALUE!</v>
      </c>
      <c r="B867" s="1">
        <v>6995208</v>
      </c>
      <c r="C867" t="s">
        <v>945</v>
      </c>
      <c r="D867" t="s">
        <v>951</v>
      </c>
      <c r="E867" t="s">
        <v>10</v>
      </c>
    </row>
    <row r="868" spans="1:5" hidden="1" outlineLevel="2">
      <c r="A868" s="3" t="e">
        <f>(HYPERLINK("http://www.autodoc.ru/Web/price/art/3011RGNV5RD?analog=on","3011RGNV5RD"))*1</f>
        <v>#VALUE!</v>
      </c>
      <c r="B868" s="1">
        <v>6995232</v>
      </c>
      <c r="C868" t="s">
        <v>945</v>
      </c>
      <c r="D868" t="s">
        <v>952</v>
      </c>
      <c r="E868" t="s">
        <v>10</v>
      </c>
    </row>
    <row r="869" spans="1:5" hidden="1" outlineLevel="2">
      <c r="A869" s="3" t="e">
        <f>(HYPERLINK("http://www.autodoc.ru/Web/price/art/3011BGNVAB?analog=on","3011BGNVAB"))*1</f>
        <v>#VALUE!</v>
      </c>
      <c r="B869" s="1">
        <v>6900948</v>
      </c>
      <c r="C869" t="s">
        <v>945</v>
      </c>
      <c r="D869" t="s">
        <v>953</v>
      </c>
      <c r="E869" t="s">
        <v>23</v>
      </c>
    </row>
    <row r="870" spans="1:5" collapsed="1">
      <c r="A870" s="28" t="s">
        <v>954</v>
      </c>
      <c r="B870" s="28">
        <v>0</v>
      </c>
      <c r="C870" s="28">
        <v>0</v>
      </c>
      <c r="D870" s="28">
        <v>0</v>
      </c>
      <c r="E870" s="28">
        <v>0</v>
      </c>
    </row>
    <row r="871" spans="1:5" hidden="1" outlineLevel="1">
      <c r="A871" s="2">
        <v>0</v>
      </c>
      <c r="B871" s="26" t="s">
        <v>955</v>
      </c>
      <c r="C871" s="27">
        <v>0</v>
      </c>
      <c r="D871" s="27">
        <v>0</v>
      </c>
      <c r="E871" s="27">
        <v>0</v>
      </c>
    </row>
    <row r="872" spans="1:5" hidden="1" outlineLevel="2">
      <c r="A872" s="3" t="e">
        <f>(HYPERLINK("http://www.autodoc.ru/Web/price/art/3022AGSBL?analog=on","3022AGSBL"))*1</f>
        <v>#VALUE!</v>
      </c>
      <c r="B872" s="1">
        <v>6962326</v>
      </c>
      <c r="C872" t="s">
        <v>956</v>
      </c>
      <c r="D872" t="s">
        <v>957</v>
      </c>
      <c r="E872" t="s">
        <v>8</v>
      </c>
    </row>
    <row r="873" spans="1:5" hidden="1" outlineLevel="2">
      <c r="A873" s="3" t="e">
        <f>(HYPERLINK("http://www.autodoc.ru/Web/price/art/3022ASMS?analog=on","3022ASMS"))*1</f>
        <v>#VALUE!</v>
      </c>
      <c r="B873" s="1">
        <v>6102094</v>
      </c>
      <c r="C873" t="s">
        <v>19</v>
      </c>
      <c r="D873" t="s">
        <v>958</v>
      </c>
      <c r="E873" t="s">
        <v>21</v>
      </c>
    </row>
    <row r="874" spans="1:5" hidden="1" outlineLevel="2">
      <c r="A874" s="3" t="e">
        <f>(HYPERLINK("http://www.autodoc.ru/Web/price/art/3022BGSSA?analog=on","3022BGSSA"))*1</f>
        <v>#VALUE!</v>
      </c>
      <c r="B874" s="1">
        <v>6997645</v>
      </c>
      <c r="C874" t="s">
        <v>956</v>
      </c>
      <c r="D874" t="s">
        <v>959</v>
      </c>
      <c r="E874" t="s">
        <v>23</v>
      </c>
    </row>
    <row r="875" spans="1:5" hidden="1" outlineLevel="2">
      <c r="A875" s="3" t="e">
        <f>(HYPERLINK("http://www.autodoc.ru/Web/price/art/3022LGSS4FD?analog=on","3022LGSS4FD"))*1</f>
        <v>#VALUE!</v>
      </c>
      <c r="B875" s="1">
        <v>6997646</v>
      </c>
      <c r="C875" t="s">
        <v>956</v>
      </c>
      <c r="D875" t="s">
        <v>960</v>
      </c>
      <c r="E875" t="s">
        <v>10</v>
      </c>
    </row>
    <row r="876" spans="1:5" hidden="1" outlineLevel="2">
      <c r="A876" s="3" t="e">
        <f>(HYPERLINK("http://www.autodoc.ru/Web/price/art/3022LGSS4RD?analog=on","3022LGSS4RD"))*1</f>
        <v>#VALUE!</v>
      </c>
      <c r="B876" s="1">
        <v>6997647</v>
      </c>
      <c r="C876" t="s">
        <v>956</v>
      </c>
      <c r="D876" t="s">
        <v>961</v>
      </c>
      <c r="E876" t="s">
        <v>10</v>
      </c>
    </row>
    <row r="877" spans="1:5" hidden="1" outlineLevel="2">
      <c r="A877" s="3" t="e">
        <f>(HYPERLINK("http://www.autodoc.ru/Web/price/art/3022RGSS4FD?analog=on","3022RGSS4FD"))*1</f>
        <v>#VALUE!</v>
      </c>
      <c r="B877" s="1">
        <v>6997648</v>
      </c>
      <c r="C877" t="s">
        <v>956</v>
      </c>
      <c r="D877" t="s">
        <v>962</v>
      </c>
      <c r="E877" t="s">
        <v>10</v>
      </c>
    </row>
    <row r="878" spans="1:5" hidden="1" outlineLevel="2">
      <c r="A878" s="3" t="e">
        <f>(HYPERLINK("http://www.autodoc.ru/Web/price/art/3022RGSS4RD?analog=on","3022RGSS4RD"))*1</f>
        <v>#VALUE!</v>
      </c>
      <c r="B878" s="1">
        <v>6997649</v>
      </c>
      <c r="C878" t="s">
        <v>956</v>
      </c>
      <c r="D878" t="s">
        <v>963</v>
      </c>
      <c r="E878" t="s">
        <v>10</v>
      </c>
    </row>
    <row r="879" spans="1:5" hidden="1" outlineLevel="1">
      <c r="A879" s="2">
        <v>0</v>
      </c>
      <c r="B879" s="26" t="s">
        <v>964</v>
      </c>
      <c r="C879" s="27">
        <v>0</v>
      </c>
      <c r="D879" s="27">
        <v>0</v>
      </c>
      <c r="E879" s="27">
        <v>0</v>
      </c>
    </row>
    <row r="880" spans="1:5" hidden="1" outlineLevel="2">
      <c r="A880" s="3" t="e">
        <f>(HYPERLINK("http://www.autodoc.ru/Web/price/art/3031AGSBLV?analog=on","3031AGSBLV"))*1</f>
        <v>#VALUE!</v>
      </c>
      <c r="B880" s="1">
        <v>6965974</v>
      </c>
      <c r="C880" t="s">
        <v>965</v>
      </c>
      <c r="D880" t="s">
        <v>966</v>
      </c>
      <c r="E880" t="s">
        <v>8</v>
      </c>
    </row>
    <row r="881" spans="1:5" hidden="1" outlineLevel="1">
      <c r="A881" s="2">
        <v>0</v>
      </c>
      <c r="B881" s="26" t="s">
        <v>967</v>
      </c>
      <c r="C881" s="27">
        <v>0</v>
      </c>
      <c r="D881" s="27">
        <v>0</v>
      </c>
      <c r="E881" s="27">
        <v>0</v>
      </c>
    </row>
    <row r="882" spans="1:5" hidden="1" outlineLevel="2">
      <c r="A882" s="3" t="e">
        <f>(HYPERLINK("http://www.autodoc.ru/Web/price/art/AC26AGNBLV1B?analog=on","AC26AGNBLV1B"))*1</f>
        <v>#VALUE!</v>
      </c>
      <c r="B882" s="1">
        <v>6962416</v>
      </c>
      <c r="C882" t="s">
        <v>968</v>
      </c>
      <c r="D882" t="s">
        <v>969</v>
      </c>
      <c r="E882" t="s">
        <v>8</v>
      </c>
    </row>
    <row r="883" spans="1:5" hidden="1" outlineLevel="2">
      <c r="A883" s="3" t="e">
        <f>(HYPERLINK("http://www.autodoc.ru/Web/price/art/AC27AGNBLV?analog=on","AC27AGNBLV"))*1</f>
        <v>#VALUE!</v>
      </c>
      <c r="B883" s="1">
        <v>6963865</v>
      </c>
      <c r="C883" t="s">
        <v>970</v>
      </c>
      <c r="D883" t="s">
        <v>971</v>
      </c>
      <c r="E883" t="s">
        <v>8</v>
      </c>
    </row>
    <row r="884" spans="1:5" hidden="1" outlineLevel="1">
      <c r="A884" s="2">
        <v>0</v>
      </c>
      <c r="B884" s="26" t="s">
        <v>972</v>
      </c>
      <c r="C884" s="27">
        <v>0</v>
      </c>
      <c r="D884" s="27">
        <v>0</v>
      </c>
      <c r="E884" s="27">
        <v>0</v>
      </c>
    </row>
    <row r="885" spans="1:5" hidden="1" outlineLevel="2">
      <c r="A885" s="3" t="e">
        <f>(HYPERLINK("http://www.autodoc.ru/Web/price/art/AC16AGNBL?analog=on","AC16AGNBL"))*1</f>
        <v>#VALUE!</v>
      </c>
      <c r="B885" s="1">
        <v>6962418</v>
      </c>
      <c r="C885" t="s">
        <v>973</v>
      </c>
      <c r="D885" t="s">
        <v>974</v>
      </c>
      <c r="E885" t="s">
        <v>8</v>
      </c>
    </row>
    <row r="886" spans="1:5" hidden="1" outlineLevel="1">
      <c r="A886" s="2">
        <v>0</v>
      </c>
      <c r="B886" s="26" t="s">
        <v>975</v>
      </c>
      <c r="C886" s="27">
        <v>0</v>
      </c>
      <c r="D886" s="27">
        <v>0</v>
      </c>
      <c r="E886" s="27">
        <v>0</v>
      </c>
    </row>
    <row r="887" spans="1:5" hidden="1" outlineLevel="2">
      <c r="A887" s="3" t="e">
        <f>(HYPERLINK("http://www.autodoc.ru/Web/price/art/AC34AGSBLV?analog=on","AC34AGSBLV"))*1</f>
        <v>#VALUE!</v>
      </c>
      <c r="B887" s="1">
        <v>6962419</v>
      </c>
      <c r="C887" t="s">
        <v>976</v>
      </c>
      <c r="D887" t="s">
        <v>977</v>
      </c>
      <c r="E887" t="s">
        <v>8</v>
      </c>
    </row>
    <row r="888" spans="1:5" hidden="1" outlineLevel="1">
      <c r="A888" s="2">
        <v>0</v>
      </c>
      <c r="B888" s="26" t="s">
        <v>978</v>
      </c>
      <c r="C888" s="27">
        <v>0</v>
      </c>
      <c r="D888" s="27">
        <v>0</v>
      </c>
      <c r="E888" s="27">
        <v>0</v>
      </c>
    </row>
    <row r="889" spans="1:5" hidden="1" outlineLevel="2">
      <c r="A889" s="3" t="e">
        <f>(HYPERLINK("http://www.autodoc.ru/Web/price/art/AC33AGSBLV?analog=on","AC33AGSBLV"))*1</f>
        <v>#VALUE!</v>
      </c>
      <c r="B889" s="1">
        <v>6962115</v>
      </c>
      <c r="C889" t="s">
        <v>979</v>
      </c>
      <c r="D889" t="s">
        <v>980</v>
      </c>
      <c r="E889" t="s">
        <v>8</v>
      </c>
    </row>
    <row r="890" spans="1:5" hidden="1" outlineLevel="1">
      <c r="A890" s="2">
        <v>0</v>
      </c>
      <c r="B890" s="26" t="s">
        <v>981</v>
      </c>
      <c r="C890" s="27">
        <v>0</v>
      </c>
      <c r="D890" s="27">
        <v>0</v>
      </c>
      <c r="E890" s="27">
        <v>0</v>
      </c>
    </row>
    <row r="891" spans="1:5" hidden="1" outlineLevel="2">
      <c r="A891" s="3" t="e">
        <f>(HYPERLINK("http://www.autodoc.ru/Web/price/art/3024AGNBLV?analog=on","3024AGNBLV"))*1</f>
        <v>#VALUE!</v>
      </c>
      <c r="B891" s="1">
        <v>6190876</v>
      </c>
      <c r="C891" t="s">
        <v>389</v>
      </c>
      <c r="D891" t="s">
        <v>982</v>
      </c>
      <c r="E891" t="s">
        <v>8</v>
      </c>
    </row>
    <row r="892" spans="1:5" hidden="1" outlineLevel="2">
      <c r="A892" s="3" t="e">
        <f>(HYPERLINK("http://www.autodoc.ru/Web/price/art/3024AGSBLMV1B?analog=on","3024AGSBLMV1B"))*1</f>
        <v>#VALUE!</v>
      </c>
      <c r="B892" s="1">
        <v>6962520</v>
      </c>
      <c r="C892" t="s">
        <v>389</v>
      </c>
      <c r="D892" t="s">
        <v>983</v>
      </c>
      <c r="E892" t="s">
        <v>8</v>
      </c>
    </row>
    <row r="893" spans="1:5" hidden="1" outlineLevel="2">
      <c r="A893" s="3" t="e">
        <f>(HYPERLINK("http://www.autodoc.ru/Web/price/art/3024AGNBLV?analog=on","3024AGNBLV"))*1</f>
        <v>#VALUE!</v>
      </c>
      <c r="B893" s="1">
        <v>6962519</v>
      </c>
      <c r="C893" t="s">
        <v>389</v>
      </c>
      <c r="D893" t="s">
        <v>984</v>
      </c>
      <c r="E893" t="s">
        <v>8</v>
      </c>
    </row>
    <row r="894" spans="1:5" hidden="1" outlineLevel="2">
      <c r="A894" s="3" t="e">
        <f>(HYPERLINK("http://www.autodoc.ru/Web/price/art/3024LGNR5FD?analog=on","3024LGNR5FD"))*1</f>
        <v>#VALUE!</v>
      </c>
      <c r="B894" s="1">
        <v>6900570</v>
      </c>
      <c r="C894" t="s">
        <v>389</v>
      </c>
      <c r="D894" t="s">
        <v>985</v>
      </c>
      <c r="E894" t="s">
        <v>10</v>
      </c>
    </row>
    <row r="895" spans="1:5" hidden="1" outlineLevel="2">
      <c r="A895" s="3" t="e">
        <f>(HYPERLINK("http://www.autodoc.ru/Web/price/art/3024LGNR5RD?analog=on","3024LGNR5RD"))*1</f>
        <v>#VALUE!</v>
      </c>
      <c r="B895" s="1">
        <v>6900578</v>
      </c>
      <c r="C895" t="s">
        <v>389</v>
      </c>
      <c r="D895" t="s">
        <v>986</v>
      </c>
      <c r="E895" t="s">
        <v>10</v>
      </c>
    </row>
    <row r="896" spans="1:5" hidden="1" outlineLevel="2">
      <c r="A896" s="3" t="e">
        <f>(HYPERLINK("http://www.autodoc.ru/Web/price/art/3024RGNR5FD?analog=on","3024RGNR5FD"))*1</f>
        <v>#VALUE!</v>
      </c>
      <c r="B896" s="1">
        <v>6900571</v>
      </c>
      <c r="C896" t="s">
        <v>389</v>
      </c>
      <c r="D896" t="s">
        <v>987</v>
      </c>
      <c r="E896" t="s">
        <v>10</v>
      </c>
    </row>
    <row r="897" spans="1:5" hidden="1" outlineLevel="2">
      <c r="A897" s="3" t="e">
        <f>(HYPERLINK("http://www.autodoc.ru/Web/price/art/3024RGNR5RD?analog=on","3024RGNR5RD"))*1</f>
        <v>#VALUE!</v>
      </c>
      <c r="B897" s="1">
        <v>6900479</v>
      </c>
      <c r="C897" t="s">
        <v>389</v>
      </c>
      <c r="D897" t="s">
        <v>988</v>
      </c>
      <c r="E897" t="s">
        <v>10</v>
      </c>
    </row>
    <row r="898" spans="1:5" hidden="1" outlineLevel="1">
      <c r="A898" s="2">
        <v>0</v>
      </c>
      <c r="B898" s="26" t="s">
        <v>989</v>
      </c>
      <c r="C898" s="27">
        <v>0</v>
      </c>
      <c r="D898" s="27">
        <v>0</v>
      </c>
      <c r="E898" s="27">
        <v>0</v>
      </c>
    </row>
    <row r="899" spans="1:5" hidden="1" outlineLevel="2">
      <c r="A899" s="3" t="e">
        <f>(HYPERLINK("http://www.autodoc.ru/Web/price/art/AC28AGSBLVZ1C?analog=on","AC28AGSBLVZ1C"))*1</f>
        <v>#VALUE!</v>
      </c>
      <c r="B899" s="1">
        <v>6950184</v>
      </c>
      <c r="C899" t="s">
        <v>522</v>
      </c>
      <c r="D899" t="s">
        <v>990</v>
      </c>
      <c r="E899" t="s">
        <v>8</v>
      </c>
    </row>
    <row r="900" spans="1:5" hidden="1" outlineLevel="1">
      <c r="A900" s="2">
        <v>0</v>
      </c>
      <c r="B900" s="26" t="s">
        <v>991</v>
      </c>
      <c r="C900" s="27">
        <v>0</v>
      </c>
      <c r="D900" s="27">
        <v>0</v>
      </c>
      <c r="E900" s="27">
        <v>0</v>
      </c>
    </row>
    <row r="901" spans="1:5" hidden="1" outlineLevel="2">
      <c r="A901" s="3" t="e">
        <f>(HYPERLINK("http://www.autodoc.ru/Web/price/art/AC39AGSBLV?analog=on","AC39AGSBLV"))*1</f>
        <v>#VALUE!</v>
      </c>
      <c r="B901" s="1">
        <v>6962142</v>
      </c>
      <c r="C901" t="s">
        <v>992</v>
      </c>
      <c r="D901" t="s">
        <v>993</v>
      </c>
      <c r="E901" t="s">
        <v>8</v>
      </c>
    </row>
    <row r="902" spans="1:5" hidden="1" outlineLevel="1">
      <c r="A902" s="2">
        <v>0</v>
      </c>
      <c r="B902" s="26" t="s">
        <v>994</v>
      </c>
      <c r="C902" s="27">
        <v>0</v>
      </c>
      <c r="D902" s="27">
        <v>0</v>
      </c>
      <c r="E902" s="27">
        <v>0</v>
      </c>
    </row>
    <row r="903" spans="1:5" hidden="1" outlineLevel="2">
      <c r="A903" s="3" t="e">
        <f>(HYPERLINK("http://www.autodoc.ru/Web/price/art/3026AGSBLVI?analog=on","3026AGSBLVI"))*1</f>
        <v>#VALUE!</v>
      </c>
      <c r="B903" s="1">
        <v>6964984</v>
      </c>
      <c r="C903" t="s">
        <v>211</v>
      </c>
      <c r="D903" t="s">
        <v>995</v>
      </c>
      <c r="E903" t="s">
        <v>8</v>
      </c>
    </row>
    <row r="904" spans="1:5" hidden="1" outlineLevel="1">
      <c r="A904" s="2">
        <v>0</v>
      </c>
      <c r="B904" s="26" t="s">
        <v>996</v>
      </c>
      <c r="C904" s="27">
        <v>0</v>
      </c>
      <c r="D904" s="27">
        <v>0</v>
      </c>
      <c r="E904" s="27">
        <v>0</v>
      </c>
    </row>
    <row r="905" spans="1:5" hidden="1" outlineLevel="2">
      <c r="A905" s="3" t="e">
        <f>(HYPERLINK("http://www.autodoc.ru/Web/price/art/3023AGNBL?analog=on","3023AGNBL"))*1</f>
        <v>#VALUE!</v>
      </c>
      <c r="B905" s="1">
        <v>6962801</v>
      </c>
      <c r="C905" t="s">
        <v>997</v>
      </c>
      <c r="D905" t="s">
        <v>998</v>
      </c>
      <c r="E905" t="s">
        <v>8</v>
      </c>
    </row>
    <row r="906" spans="1:5" hidden="1" outlineLevel="2">
      <c r="A906" s="3" t="e">
        <f>(HYPERLINK("http://www.autodoc.ru/Web/price/art/3023AGNBLH?analog=on","3023AGNBLH"))*1</f>
        <v>#VALUE!</v>
      </c>
      <c r="B906" s="1">
        <v>6962865</v>
      </c>
      <c r="C906" t="s">
        <v>997</v>
      </c>
      <c r="D906" t="s">
        <v>999</v>
      </c>
      <c r="E906" t="s">
        <v>8</v>
      </c>
    </row>
    <row r="907" spans="1:5" hidden="1" outlineLevel="2">
      <c r="A907" s="3" t="e">
        <f>(HYPERLINK("http://www.autodoc.ru/Web/price/art/3023AGNBLHM1B?analog=on","3023AGNBLHM1B"))*1</f>
        <v>#VALUE!</v>
      </c>
      <c r="B907" s="1">
        <v>6962866</v>
      </c>
      <c r="C907" t="s">
        <v>997</v>
      </c>
      <c r="D907" t="s">
        <v>1000</v>
      </c>
      <c r="E907" t="s">
        <v>8</v>
      </c>
    </row>
    <row r="908" spans="1:5" hidden="1" outlineLevel="2">
      <c r="A908" s="3" t="e">
        <f>(HYPERLINK("http://www.autodoc.ru/Web/price/art/3023AGNBLM1B?analog=on","3023AGNBLM1B"))*1</f>
        <v>#VALUE!</v>
      </c>
      <c r="B908" s="1">
        <v>6962867</v>
      </c>
      <c r="C908" t="s">
        <v>997</v>
      </c>
      <c r="D908" t="s">
        <v>1001</v>
      </c>
      <c r="E908" t="s">
        <v>8</v>
      </c>
    </row>
    <row r="909" spans="1:5" hidden="1" outlineLevel="2">
      <c r="A909" s="3" t="e">
        <f>(HYPERLINK("http://www.autodoc.ru/Web/price/art/3023LGNS4FD?analog=on","3023LGNS4FD"))*1</f>
        <v>#VALUE!</v>
      </c>
      <c r="B909" s="1">
        <v>6900572</v>
      </c>
      <c r="C909" t="s">
        <v>997</v>
      </c>
      <c r="D909" t="s">
        <v>1002</v>
      </c>
      <c r="E909" t="s">
        <v>10</v>
      </c>
    </row>
    <row r="910" spans="1:5" hidden="1" outlineLevel="2">
      <c r="A910" s="3" t="e">
        <f>(HYPERLINK("http://www.autodoc.ru/Web/price/art/3023LGSS4RD?analog=on","3023LGSS4RD"))*1</f>
        <v>#VALUE!</v>
      </c>
      <c r="B910" s="1">
        <v>6900802</v>
      </c>
      <c r="C910" t="s">
        <v>997</v>
      </c>
      <c r="D910" t="s">
        <v>1003</v>
      </c>
      <c r="E910" t="s">
        <v>10</v>
      </c>
    </row>
    <row r="911" spans="1:5" hidden="1" outlineLevel="2">
      <c r="A911" s="3" t="e">
        <f>(HYPERLINK("http://www.autodoc.ru/Web/price/art/3023RGNS4FD?analog=on","3023RGNS4FD"))*1</f>
        <v>#VALUE!</v>
      </c>
      <c r="B911" s="1">
        <v>6900573</v>
      </c>
      <c r="C911" t="s">
        <v>997</v>
      </c>
      <c r="D911" t="s">
        <v>1004</v>
      </c>
      <c r="E911" t="s">
        <v>10</v>
      </c>
    </row>
    <row r="912" spans="1:5" hidden="1" outlineLevel="2">
      <c r="A912" s="3" t="e">
        <f>(HYPERLINK("http://www.autodoc.ru/Web/price/art/3023RGSS4RD?analog=on","3023RGSS4RD"))*1</f>
        <v>#VALUE!</v>
      </c>
      <c r="B912" s="1">
        <v>6900801</v>
      </c>
      <c r="C912" t="s">
        <v>997</v>
      </c>
      <c r="D912" t="s">
        <v>1005</v>
      </c>
      <c r="E912" t="s">
        <v>10</v>
      </c>
    </row>
    <row r="913" spans="1:5" hidden="1" outlineLevel="1">
      <c r="A913" s="2">
        <v>0</v>
      </c>
      <c r="B913" s="26" t="s">
        <v>1006</v>
      </c>
      <c r="C913" s="27">
        <v>0</v>
      </c>
      <c r="D913" s="27">
        <v>0</v>
      </c>
      <c r="E913" s="27">
        <v>0</v>
      </c>
    </row>
    <row r="914" spans="1:5" hidden="1" outlineLevel="2">
      <c r="A914" s="3" t="e">
        <f>(HYPERLINK("http://www.autodoc.ru/Web/price/art/AC40AGSBL1C?analog=on","AC40AGSBL1C"))*1</f>
        <v>#VALUE!</v>
      </c>
      <c r="B914" s="1">
        <v>6963833</v>
      </c>
      <c r="C914" t="s">
        <v>1007</v>
      </c>
      <c r="D914" t="s">
        <v>1008</v>
      </c>
      <c r="E914" t="s">
        <v>8</v>
      </c>
    </row>
    <row r="915" spans="1:5" hidden="1" outlineLevel="1">
      <c r="A915" s="2">
        <v>0</v>
      </c>
      <c r="B915" s="26" t="s">
        <v>1009</v>
      </c>
      <c r="C915" s="27">
        <v>0</v>
      </c>
      <c r="D915" s="27">
        <v>0</v>
      </c>
      <c r="E915" s="27">
        <v>0</v>
      </c>
    </row>
    <row r="916" spans="1:5" hidden="1" outlineLevel="2">
      <c r="A916" s="3" t="e">
        <f>(HYPERLINK("http://www.autodoc.ru/Web/price/art/3016AGNBL?analog=on","3016AGNBL"))*1</f>
        <v>#VALUE!</v>
      </c>
      <c r="B916" s="1">
        <v>6961299</v>
      </c>
      <c r="C916" t="s">
        <v>782</v>
      </c>
      <c r="D916" t="s">
        <v>1010</v>
      </c>
      <c r="E916" t="s">
        <v>8</v>
      </c>
    </row>
    <row r="917" spans="1:5" hidden="1" outlineLevel="2">
      <c r="A917" s="3" t="e">
        <f>(HYPERLINK("http://www.autodoc.ru/Web/price/art/3016AGNBLA?analog=on","3016AGNBLA"))*1</f>
        <v>#VALUE!</v>
      </c>
      <c r="B917" s="1">
        <v>6961944</v>
      </c>
      <c r="C917" t="s">
        <v>425</v>
      </c>
      <c r="D917" t="s">
        <v>1011</v>
      </c>
      <c r="E917" t="s">
        <v>8</v>
      </c>
    </row>
    <row r="918" spans="1:5" hidden="1" outlineLevel="2">
      <c r="A918" s="3" t="e">
        <f>(HYPERLINK("http://www.autodoc.ru/Web/price/art/3016AGNBLAM1B?analog=on","3016AGNBLAM1B"))*1</f>
        <v>#VALUE!</v>
      </c>
      <c r="B918" s="1">
        <v>6961943</v>
      </c>
      <c r="C918" t="s">
        <v>425</v>
      </c>
      <c r="D918" t="s">
        <v>1012</v>
      </c>
      <c r="E918" t="s">
        <v>8</v>
      </c>
    </row>
    <row r="919" spans="1:5" hidden="1" outlineLevel="2">
      <c r="A919" s="3" t="e">
        <f>(HYPERLINK("http://www.autodoc.ru/Web/price/art/3016AGNBLM1B?analog=on","3016AGNBLM1B"))*1</f>
        <v>#VALUE!</v>
      </c>
      <c r="B919" s="1">
        <v>6961945</v>
      </c>
      <c r="C919" t="s">
        <v>782</v>
      </c>
      <c r="D919" t="s">
        <v>1013</v>
      </c>
      <c r="E919" t="s">
        <v>8</v>
      </c>
    </row>
    <row r="920" spans="1:5" hidden="1" outlineLevel="2">
      <c r="A920" s="3" t="e">
        <f>(HYPERLINK("http://www.autodoc.ru/Web/price/art/3016ASMS?analog=on","3016ASMS"))*1</f>
        <v>#VALUE!</v>
      </c>
      <c r="B920" s="1">
        <v>6101767</v>
      </c>
      <c r="C920" t="s">
        <v>19</v>
      </c>
      <c r="D920" t="s">
        <v>1014</v>
      </c>
      <c r="E920" t="s">
        <v>21</v>
      </c>
    </row>
    <row r="921" spans="1:5" hidden="1" outlineLevel="2">
      <c r="A921" s="3" t="e">
        <f>(HYPERLINK("http://www.autodoc.ru/Web/price/art/3016ASMH?analog=on","3016ASMH"))*1</f>
        <v>#VALUE!</v>
      </c>
      <c r="B921" s="1">
        <v>6102629</v>
      </c>
      <c r="C921" t="s">
        <v>19</v>
      </c>
      <c r="D921" t="s">
        <v>1015</v>
      </c>
      <c r="E921" t="s">
        <v>21</v>
      </c>
    </row>
    <row r="922" spans="1:5" hidden="1" outlineLevel="2">
      <c r="A922" s="3" t="e">
        <f>(HYPERLINK("http://www.autodoc.ru/Web/price/art/3016BGNEW?analog=on","3016BGNEW"))*1</f>
        <v>#VALUE!</v>
      </c>
      <c r="B922" s="1">
        <v>6999498</v>
      </c>
      <c r="C922" t="s">
        <v>425</v>
      </c>
      <c r="D922" t="s">
        <v>1016</v>
      </c>
      <c r="E922" t="s">
        <v>23</v>
      </c>
    </row>
    <row r="923" spans="1:5" hidden="1" outlineLevel="2">
      <c r="A923" s="3" t="e">
        <f>(HYPERLINK("http://www.autodoc.ru/Web/price/art/3016BGNHW?analog=on","3016BGNHW"))*1</f>
        <v>#VALUE!</v>
      </c>
      <c r="B923" s="1">
        <v>6900991</v>
      </c>
      <c r="C923" t="s">
        <v>425</v>
      </c>
      <c r="D923" t="s">
        <v>1017</v>
      </c>
      <c r="E923" t="s">
        <v>23</v>
      </c>
    </row>
    <row r="924" spans="1:5" hidden="1" outlineLevel="2">
      <c r="A924" s="3" t="e">
        <f>(HYPERLINK("http://www.autodoc.ru/Web/price/art/3016LGNE5RD?analog=on","3016LGNE5RD"))*1</f>
        <v>#VALUE!</v>
      </c>
      <c r="B924" s="1">
        <v>6900136</v>
      </c>
      <c r="C924" t="s">
        <v>425</v>
      </c>
      <c r="D924" t="s">
        <v>1018</v>
      </c>
      <c r="E924" t="s">
        <v>10</v>
      </c>
    </row>
    <row r="925" spans="1:5" hidden="1" outlineLevel="2">
      <c r="A925" s="3" t="e">
        <f>(HYPERLINK("http://www.autodoc.ru/Web/price/art/3016LGNE5RQ?analog=on","3016LGNE5RQ"))*1</f>
        <v>#VALUE!</v>
      </c>
      <c r="B925" s="1">
        <v>6900329</v>
      </c>
      <c r="C925" t="s">
        <v>425</v>
      </c>
      <c r="D925" t="s">
        <v>1019</v>
      </c>
      <c r="E925" t="s">
        <v>10</v>
      </c>
    </row>
    <row r="926" spans="1:5" hidden="1" outlineLevel="2">
      <c r="A926" s="3" t="e">
        <f>(HYPERLINK("http://www.autodoc.ru/Web/price/art/3016LGNH5RD?analog=on","3016LGNH5RD"))*1</f>
        <v>#VALUE!</v>
      </c>
      <c r="B926" s="1">
        <v>6900135</v>
      </c>
      <c r="C926" t="s">
        <v>425</v>
      </c>
      <c r="D926" t="s">
        <v>1020</v>
      </c>
      <c r="E926" t="s">
        <v>10</v>
      </c>
    </row>
    <row r="927" spans="1:5" hidden="1" outlineLevel="2">
      <c r="A927" s="3" t="e">
        <f>(HYPERLINK("http://www.autodoc.ru/Web/price/art/3016LGNS4FD?analog=on","3016LGNS4FD"))*1</f>
        <v>#VALUE!</v>
      </c>
      <c r="B927" s="1">
        <v>6995198</v>
      </c>
      <c r="C927" t="s">
        <v>782</v>
      </c>
      <c r="D927" t="s">
        <v>1021</v>
      </c>
      <c r="E927" t="s">
        <v>10</v>
      </c>
    </row>
    <row r="928" spans="1:5" hidden="1" outlineLevel="2">
      <c r="A928" s="3" t="e">
        <f>(HYPERLINK("http://www.autodoc.ru/Web/price/art/3016LGNS4RD?analog=on","3016LGNS4RD"))*1</f>
        <v>#VALUE!</v>
      </c>
      <c r="B928" s="1">
        <v>6995205</v>
      </c>
      <c r="C928" t="s">
        <v>782</v>
      </c>
      <c r="D928" t="s">
        <v>1022</v>
      </c>
      <c r="E928" t="s">
        <v>10</v>
      </c>
    </row>
    <row r="929" spans="1:5" hidden="1" outlineLevel="2">
      <c r="A929" s="3" t="e">
        <f>(HYPERLINK("http://www.autodoc.ru/Web/price/art/3016RGNE5RD?analog=on","3016RGNE5RD"))*1</f>
        <v>#VALUE!</v>
      </c>
      <c r="B929" s="1">
        <v>6900214</v>
      </c>
      <c r="C929" t="s">
        <v>425</v>
      </c>
      <c r="D929" t="s">
        <v>1023</v>
      </c>
      <c r="E929" t="s">
        <v>10</v>
      </c>
    </row>
    <row r="930" spans="1:5" hidden="1" outlineLevel="2">
      <c r="A930" s="3" t="e">
        <f>(HYPERLINK("http://www.autodoc.ru/Web/price/art/3016RGNE5RQ?analog=on","3016RGNE5RQ"))*1</f>
        <v>#VALUE!</v>
      </c>
      <c r="B930" s="1">
        <v>6900345</v>
      </c>
      <c r="C930" t="s">
        <v>425</v>
      </c>
      <c r="D930" t="s">
        <v>1024</v>
      </c>
      <c r="E930" t="s">
        <v>10</v>
      </c>
    </row>
    <row r="931" spans="1:5" hidden="1" outlineLevel="2">
      <c r="A931" s="3" t="e">
        <f>(HYPERLINK("http://www.autodoc.ru/Web/price/art/3016RGNH5RD?analog=on","3016RGNH5RD"))*1</f>
        <v>#VALUE!</v>
      </c>
      <c r="B931" s="1">
        <v>6900213</v>
      </c>
      <c r="C931" t="s">
        <v>425</v>
      </c>
      <c r="D931" t="s">
        <v>1025</v>
      </c>
      <c r="E931" t="s">
        <v>10</v>
      </c>
    </row>
    <row r="932" spans="1:5" hidden="1" outlineLevel="2">
      <c r="A932" s="3" t="e">
        <f>(HYPERLINK("http://www.autodoc.ru/Web/price/art/3016RGNS4FD?analog=on","3016RGNS4FD"))*1</f>
        <v>#VALUE!</v>
      </c>
      <c r="B932" s="1">
        <v>6995199</v>
      </c>
      <c r="C932" t="s">
        <v>782</v>
      </c>
      <c r="D932" t="s">
        <v>1026</v>
      </c>
      <c r="E932" t="s">
        <v>10</v>
      </c>
    </row>
    <row r="933" spans="1:5" hidden="1" outlineLevel="2">
      <c r="A933" s="3" t="e">
        <f>(HYPERLINK("http://www.autodoc.ru/Web/price/art/3016RGNS4RD?analog=on","3016RGNS4RD"))*1</f>
        <v>#VALUE!</v>
      </c>
      <c r="B933" s="1">
        <v>6995206</v>
      </c>
      <c r="C933" t="s">
        <v>782</v>
      </c>
      <c r="D933" t="s">
        <v>1027</v>
      </c>
      <c r="E933" t="s">
        <v>10</v>
      </c>
    </row>
    <row r="934" spans="1:5" hidden="1" outlineLevel="1">
      <c r="A934" s="2">
        <v>0</v>
      </c>
      <c r="B934" s="26" t="s">
        <v>1028</v>
      </c>
      <c r="C934" s="27">
        <v>0</v>
      </c>
      <c r="D934" s="27">
        <v>0</v>
      </c>
      <c r="E934" s="27">
        <v>0</v>
      </c>
    </row>
    <row r="935" spans="1:5" hidden="1" outlineLevel="2">
      <c r="A935" s="3" t="e">
        <f>(HYPERLINK("http://www.autodoc.ru/Web/price/art/3017ACL?analog=on","3017ACL"))*1</f>
        <v>#VALUE!</v>
      </c>
      <c r="B935" s="1">
        <v>6962984</v>
      </c>
      <c r="C935" t="s">
        <v>890</v>
      </c>
      <c r="D935" t="s">
        <v>1029</v>
      </c>
      <c r="E935" t="s">
        <v>8</v>
      </c>
    </row>
    <row r="936" spans="1:5" hidden="1" outlineLevel="2">
      <c r="A936" s="3" t="e">
        <f>(HYPERLINK("http://www.autodoc.ru/Web/price/art/3017AGNBL?analog=on","3017AGNBL"))*1</f>
        <v>#VALUE!</v>
      </c>
      <c r="B936" s="1">
        <v>6961481</v>
      </c>
      <c r="C936" t="s">
        <v>904</v>
      </c>
      <c r="D936" t="s">
        <v>1030</v>
      </c>
      <c r="E936" t="s">
        <v>8</v>
      </c>
    </row>
    <row r="937" spans="1:5" hidden="1" outlineLevel="2">
      <c r="A937" s="3" t="e">
        <f>(HYPERLINK("http://www.autodoc.ru/Web/price/art/3017ASMH?analog=on","3017ASMH"))*1</f>
        <v>#VALUE!</v>
      </c>
      <c r="B937" s="1">
        <v>6101768</v>
      </c>
      <c r="C937" t="s">
        <v>19</v>
      </c>
      <c r="D937" t="s">
        <v>1031</v>
      </c>
      <c r="E937" t="s">
        <v>21</v>
      </c>
    </row>
    <row r="938" spans="1:5" hidden="1" outlineLevel="2">
      <c r="A938" s="3" t="e">
        <f>(HYPERLINK("http://www.autodoc.ru/Web/price/art/3017BGNHB?analog=on","3017BGNHB"))*1</f>
        <v>#VALUE!</v>
      </c>
      <c r="B938" s="1">
        <v>6993940</v>
      </c>
      <c r="C938" t="s">
        <v>904</v>
      </c>
      <c r="D938" t="s">
        <v>1032</v>
      </c>
      <c r="E938" t="s">
        <v>23</v>
      </c>
    </row>
    <row r="939" spans="1:5" hidden="1" outlineLevel="2">
      <c r="A939" s="3" t="e">
        <f>(HYPERLINK("http://www.autodoc.ru/Web/price/art/3017BGNHB1H?analog=on","3017BGNHB1H"))*1</f>
        <v>#VALUE!</v>
      </c>
      <c r="B939" s="1">
        <v>6993941</v>
      </c>
      <c r="C939" t="s">
        <v>904</v>
      </c>
      <c r="D939" t="s">
        <v>1033</v>
      </c>
      <c r="E939" t="s">
        <v>23</v>
      </c>
    </row>
    <row r="940" spans="1:5" hidden="1" outlineLevel="2">
      <c r="A940" s="3" t="e">
        <f>(HYPERLINK("http://www.autodoc.ru/Web/price/art/3017LCLH5FD?analog=on","3017LCLH5FD"))*1</f>
        <v>#VALUE!</v>
      </c>
      <c r="B940" s="1">
        <v>6999929</v>
      </c>
      <c r="C940" t="s">
        <v>904</v>
      </c>
      <c r="D940" t="s">
        <v>1034</v>
      </c>
      <c r="E940" t="s">
        <v>10</v>
      </c>
    </row>
    <row r="941" spans="1:5" hidden="1" outlineLevel="2">
      <c r="A941" s="3" t="e">
        <f>(HYPERLINK("http://www.autodoc.ru/Web/price/art/3017LCLH5RD?analog=on","3017LCLH5RD"))*1</f>
        <v>#VALUE!</v>
      </c>
      <c r="B941" s="1">
        <v>6900126</v>
      </c>
      <c r="C941" t="s">
        <v>904</v>
      </c>
      <c r="D941" t="s">
        <v>1035</v>
      </c>
      <c r="E941" t="s">
        <v>10</v>
      </c>
    </row>
    <row r="942" spans="1:5" hidden="1" outlineLevel="2">
      <c r="A942" s="3" t="e">
        <f>(HYPERLINK("http://www.autodoc.ru/Web/price/art/3017LGNH5FD?analog=on","3017LGNH5FD"))*1</f>
        <v>#VALUE!</v>
      </c>
      <c r="B942" s="1">
        <v>6996389</v>
      </c>
      <c r="C942" t="s">
        <v>904</v>
      </c>
      <c r="D942" t="s">
        <v>1036</v>
      </c>
      <c r="E942" t="s">
        <v>10</v>
      </c>
    </row>
    <row r="943" spans="1:5" hidden="1" outlineLevel="2">
      <c r="A943" s="3" t="e">
        <f>(HYPERLINK("http://www.autodoc.ru/Web/price/art/3017LGNH5RD?analog=on","3017LGNH5RD"))*1</f>
        <v>#VALUE!</v>
      </c>
      <c r="B943" s="1">
        <v>6996390</v>
      </c>
      <c r="C943" t="s">
        <v>904</v>
      </c>
      <c r="D943" t="s">
        <v>1037</v>
      </c>
      <c r="E943" t="s">
        <v>10</v>
      </c>
    </row>
    <row r="944" spans="1:5" hidden="1" outlineLevel="2">
      <c r="A944" s="3" t="e">
        <f>(HYPERLINK("http://www.autodoc.ru/Web/price/art/3017RCLH5RD?analog=on","3017RCLH5RD"))*1</f>
        <v>#VALUE!</v>
      </c>
      <c r="B944" s="1">
        <v>6900206</v>
      </c>
      <c r="C944" t="s">
        <v>904</v>
      </c>
      <c r="D944" t="s">
        <v>1038</v>
      </c>
      <c r="E944" t="s">
        <v>10</v>
      </c>
    </row>
    <row r="945" spans="1:5" hidden="1" outlineLevel="2">
      <c r="A945" s="3" t="e">
        <f>(HYPERLINK("http://www.autodoc.ru/Web/price/art/3017RGNH5FD?analog=on","3017RGNH5FD"))*1</f>
        <v>#VALUE!</v>
      </c>
      <c r="B945" s="1">
        <v>6993942</v>
      </c>
      <c r="C945" t="s">
        <v>904</v>
      </c>
      <c r="D945" t="s">
        <v>1039</v>
      </c>
      <c r="E945" t="s">
        <v>10</v>
      </c>
    </row>
    <row r="946" spans="1:5" hidden="1" outlineLevel="2">
      <c r="A946" s="3" t="e">
        <f>(HYPERLINK("http://www.autodoc.ru/Web/price/art/3017RGNH5RD?analog=on","3017RGNH5RD"))*1</f>
        <v>#VALUE!</v>
      </c>
      <c r="B946" s="1">
        <v>6993943</v>
      </c>
      <c r="C946" t="s">
        <v>904</v>
      </c>
      <c r="D946" t="s">
        <v>1040</v>
      </c>
      <c r="E946" t="s">
        <v>10</v>
      </c>
    </row>
    <row r="947" spans="1:5" hidden="1" outlineLevel="2">
      <c r="A947" s="3" t="e">
        <f>(HYPERLINK("http://www.autodoc.ru/Web/price/art/3017RCLH5FD?analog=on","3017RCLH5FD"))*1</f>
        <v>#VALUE!</v>
      </c>
      <c r="B947" s="1">
        <v>6900021</v>
      </c>
      <c r="C947" t="s">
        <v>890</v>
      </c>
      <c r="D947" t="s">
        <v>1041</v>
      </c>
      <c r="E947" t="s">
        <v>10</v>
      </c>
    </row>
    <row r="948" spans="1:5" hidden="1" outlineLevel="1">
      <c r="A948" s="2">
        <v>0</v>
      </c>
      <c r="B948" s="26" t="s">
        <v>1042</v>
      </c>
      <c r="C948" s="27">
        <v>0</v>
      </c>
      <c r="D948" s="27">
        <v>0</v>
      </c>
      <c r="E948" s="27">
        <v>0</v>
      </c>
    </row>
    <row r="949" spans="1:5" hidden="1" outlineLevel="2">
      <c r="A949" s="3" t="e">
        <f>(HYPERLINK("http://www.autodoc.ru/Web/price/art/3028AGNBLHV?analog=on","3028AGNBLHV"))*1</f>
        <v>#VALUE!</v>
      </c>
      <c r="B949" s="1">
        <v>6965122</v>
      </c>
      <c r="C949" t="s">
        <v>341</v>
      </c>
      <c r="D949" t="s">
        <v>1043</v>
      </c>
      <c r="E949" t="s">
        <v>8</v>
      </c>
    </row>
    <row r="950" spans="1:5" hidden="1" outlineLevel="2">
      <c r="A950" s="3" t="e">
        <f>(HYPERLINK("http://www.autodoc.ru/Web/price/art/3028AGNV?analog=on","3028AGNV"))*1</f>
        <v>#VALUE!</v>
      </c>
      <c r="B950" s="1">
        <v>6965120</v>
      </c>
      <c r="C950" t="s">
        <v>341</v>
      </c>
      <c r="D950" t="s">
        <v>1044</v>
      </c>
      <c r="E950" t="s">
        <v>8</v>
      </c>
    </row>
    <row r="951" spans="1:5" hidden="1" outlineLevel="1">
      <c r="A951" s="2">
        <v>0</v>
      </c>
      <c r="B951" s="26" t="s">
        <v>1045</v>
      </c>
      <c r="C951" s="27">
        <v>0</v>
      </c>
      <c r="D951" s="27">
        <v>0</v>
      </c>
      <c r="E951" s="27">
        <v>0</v>
      </c>
    </row>
    <row r="952" spans="1:5" hidden="1" outlineLevel="2">
      <c r="A952" s="3" t="e">
        <f>(HYPERLINK("http://www.autodoc.ru/Web/price/art/AC79AGSW?analog=on","AC79AGSW"))*1</f>
        <v>#VALUE!</v>
      </c>
      <c r="B952" s="1">
        <v>6964805</v>
      </c>
      <c r="C952" t="s">
        <v>290</v>
      </c>
      <c r="D952" t="s">
        <v>1046</v>
      </c>
      <c r="E952" t="s">
        <v>8</v>
      </c>
    </row>
    <row r="953" spans="1:5" hidden="1" outlineLevel="1">
      <c r="A953" s="2">
        <v>0</v>
      </c>
      <c r="B953" s="26" t="s">
        <v>1047</v>
      </c>
      <c r="C953" s="27">
        <v>0</v>
      </c>
      <c r="D953" s="27">
        <v>0</v>
      </c>
      <c r="E953" s="27">
        <v>0</v>
      </c>
    </row>
    <row r="954" spans="1:5" hidden="1" outlineLevel="2">
      <c r="A954" s="3" t="e">
        <f>(HYPERLINK("http://www.autodoc.ru/Web/price/art/AC69AGSBL1B?analog=on","AC69AGSBL1B"))*1</f>
        <v>#VALUE!</v>
      </c>
      <c r="B954" s="1">
        <v>6963009</v>
      </c>
      <c r="C954" t="s">
        <v>1048</v>
      </c>
      <c r="D954" t="s">
        <v>1049</v>
      </c>
      <c r="E954" t="s">
        <v>8</v>
      </c>
    </row>
    <row r="955" spans="1:5" hidden="1" outlineLevel="2">
      <c r="A955" s="3" t="e">
        <f>(HYPERLINK("http://www.autodoc.ru/Web/price/art/AC69AGSBLZ?analog=on","AC69AGSBLZ"))*1</f>
        <v>#VALUE!</v>
      </c>
      <c r="B955" s="1">
        <v>6963832</v>
      </c>
      <c r="C955" t="s">
        <v>831</v>
      </c>
      <c r="D955" t="s">
        <v>1050</v>
      </c>
      <c r="E955" t="s">
        <v>8</v>
      </c>
    </row>
    <row r="956" spans="1:5" hidden="1" outlineLevel="2">
      <c r="A956" s="3" t="e">
        <f>(HYPERLINK("http://www.autodoc.ru/Web/price/art/AC69LGSR5FD?analog=on","AC69LGSR5FD"))*1</f>
        <v>#VALUE!</v>
      </c>
      <c r="B956" s="1">
        <v>6900480</v>
      </c>
      <c r="C956" t="s">
        <v>831</v>
      </c>
      <c r="D956" t="s">
        <v>1051</v>
      </c>
      <c r="E956" t="s">
        <v>10</v>
      </c>
    </row>
    <row r="957" spans="1:5" hidden="1" outlineLevel="1">
      <c r="A957" s="2">
        <v>0</v>
      </c>
      <c r="B957" s="26" t="s">
        <v>1052</v>
      </c>
      <c r="C957" s="27">
        <v>0</v>
      </c>
      <c r="D957" s="27">
        <v>0</v>
      </c>
      <c r="E957" s="27">
        <v>0</v>
      </c>
    </row>
    <row r="958" spans="1:5" hidden="1" outlineLevel="2">
      <c r="A958" s="3" t="e">
        <f>(HYPERLINK("http://www.autodoc.ru/Web/price/art/AC77AGSBL?analog=on","AC77AGSBL"))*1</f>
        <v>#VALUE!</v>
      </c>
      <c r="B958" s="1">
        <v>6962426</v>
      </c>
      <c r="C958" t="s">
        <v>1053</v>
      </c>
      <c r="D958" t="s">
        <v>1054</v>
      </c>
      <c r="E958" t="s">
        <v>8</v>
      </c>
    </row>
    <row r="959" spans="1:5" hidden="1" outlineLevel="2">
      <c r="A959" s="3" t="e">
        <f>(HYPERLINK("http://www.autodoc.ru/Web/price/art/AC77AGSBLM?analog=on","AC77AGSBLM"))*1</f>
        <v>#VALUE!</v>
      </c>
      <c r="B959" s="1">
        <v>6950036</v>
      </c>
      <c r="C959" t="s">
        <v>1053</v>
      </c>
      <c r="D959" t="s">
        <v>1055</v>
      </c>
      <c r="E959" t="s">
        <v>8</v>
      </c>
    </row>
    <row r="960" spans="1:5" hidden="1" outlineLevel="2">
      <c r="A960" s="3" t="e">
        <f>(HYPERLINK("http://www.autodoc.ru/Web/price/art/AC77LGSR5FD?analog=on","AC77LGSR5FD"))*1</f>
        <v>#VALUE!</v>
      </c>
      <c r="B960" s="1">
        <v>6999930</v>
      </c>
      <c r="C960" t="s">
        <v>1053</v>
      </c>
      <c r="D960" t="s">
        <v>1056</v>
      </c>
      <c r="E960" t="s">
        <v>10</v>
      </c>
    </row>
    <row r="961" spans="1:5" hidden="1" outlineLevel="2">
      <c r="A961" s="3" t="e">
        <f>(HYPERLINK("http://www.autodoc.ru/Web/price/art/AC77RGSR5FD?analog=on","AC77RGSR5FD"))*1</f>
        <v>#VALUE!</v>
      </c>
      <c r="B961" s="1">
        <v>6900022</v>
      </c>
      <c r="C961" t="s">
        <v>1053</v>
      </c>
      <c r="D961" t="s">
        <v>1057</v>
      </c>
      <c r="E961" t="s">
        <v>10</v>
      </c>
    </row>
    <row r="962" spans="1:5" collapsed="1">
      <c r="A962" s="28" t="s">
        <v>1058</v>
      </c>
      <c r="B962" s="28">
        <v>0</v>
      </c>
      <c r="C962" s="28">
        <v>0</v>
      </c>
      <c r="D962" s="28">
        <v>0</v>
      </c>
      <c r="E962" s="28">
        <v>0</v>
      </c>
    </row>
    <row r="963" spans="1:5" hidden="1" outlineLevel="1">
      <c r="A963" s="2">
        <v>0</v>
      </c>
      <c r="B963" s="26" t="s">
        <v>1059</v>
      </c>
      <c r="C963" s="27">
        <v>0</v>
      </c>
      <c r="D963" s="27">
        <v>0</v>
      </c>
      <c r="E963" s="27">
        <v>0</v>
      </c>
    </row>
    <row r="964" spans="1:5" hidden="1" outlineLevel="2">
      <c r="A964" s="3" t="e">
        <f>(HYPERLINK("http://www.autodoc.ru/Web/price/art/A226AGSBL?analog=on","A226AGSBL"))*1</f>
        <v>#VALUE!</v>
      </c>
      <c r="B964" s="1">
        <v>6950336</v>
      </c>
      <c r="C964" t="s">
        <v>319</v>
      </c>
      <c r="D964" t="s">
        <v>1060</v>
      </c>
      <c r="E964" t="s">
        <v>8</v>
      </c>
    </row>
    <row r="965" spans="1:5" hidden="1" outlineLevel="2">
      <c r="A965" s="3" t="e">
        <f>(HYPERLINK("http://www.autodoc.ru/Web/price/art/A226ASMS?analog=on","A226ASMS"))*1</f>
        <v>#VALUE!</v>
      </c>
      <c r="B965" s="1">
        <v>6101702</v>
      </c>
      <c r="C965" t="s">
        <v>19</v>
      </c>
      <c r="D965" t="s">
        <v>1061</v>
      </c>
      <c r="E965" t="s">
        <v>21</v>
      </c>
    </row>
    <row r="966" spans="1:5" hidden="1" outlineLevel="2">
      <c r="A966" s="3" t="e">
        <f>(HYPERLINK("http://www.autodoc.ru/Web/price/art/A226ASMST?analog=on","A226ASMST"))*1</f>
        <v>#VALUE!</v>
      </c>
      <c r="B966" s="1">
        <v>6102390</v>
      </c>
      <c r="C966" t="s">
        <v>19</v>
      </c>
      <c r="D966" t="s">
        <v>1062</v>
      </c>
      <c r="E966" t="s">
        <v>21</v>
      </c>
    </row>
    <row r="967" spans="1:5" hidden="1" outlineLevel="2">
      <c r="A967" s="3" t="e">
        <f>(HYPERLINK("http://www.autodoc.ru/Web/price/art/A226LGNS4FDW?analog=on","A226LGNS4FDW"))*1</f>
        <v>#VALUE!</v>
      </c>
      <c r="B967" s="1">
        <v>6999931</v>
      </c>
      <c r="C967" t="s">
        <v>319</v>
      </c>
      <c r="D967" t="s">
        <v>1063</v>
      </c>
      <c r="E967" t="s">
        <v>10</v>
      </c>
    </row>
    <row r="968" spans="1:5" hidden="1" outlineLevel="2">
      <c r="A968" s="3" t="e">
        <f>(HYPERLINK("http://www.autodoc.ru/Web/price/art/A226RGNS4FDW?analog=on","A226RGNS4FDW"))*1</f>
        <v>#VALUE!</v>
      </c>
      <c r="B968" s="1">
        <v>6900023</v>
      </c>
      <c r="C968" t="s">
        <v>319</v>
      </c>
      <c r="D968" t="s">
        <v>1064</v>
      </c>
      <c r="E968" t="s">
        <v>10</v>
      </c>
    </row>
    <row r="969" spans="1:5" hidden="1" outlineLevel="1">
      <c r="A969" s="2">
        <v>0</v>
      </c>
      <c r="B969" s="26" t="s">
        <v>1065</v>
      </c>
      <c r="C969" s="27">
        <v>0</v>
      </c>
      <c r="D969" s="27">
        <v>0</v>
      </c>
      <c r="E969" s="27">
        <v>0</v>
      </c>
    </row>
    <row r="970" spans="1:5" hidden="1" outlineLevel="2">
      <c r="A970" s="3" t="e">
        <f>(HYPERLINK("http://www.autodoc.ru/Web/price/art/A234AGSMV?analog=on","A234AGSMV"))*1</f>
        <v>#VALUE!</v>
      </c>
      <c r="B970" s="1">
        <v>6962125</v>
      </c>
      <c r="C970" t="s">
        <v>904</v>
      </c>
      <c r="D970" t="s">
        <v>1066</v>
      </c>
      <c r="E970" t="s">
        <v>8</v>
      </c>
    </row>
    <row r="971" spans="1:5" hidden="1" outlineLevel="2">
      <c r="A971" s="3" t="e">
        <f>(HYPERLINK("http://www.autodoc.ru/Web/price/art/A234AGSV?analog=on","A234AGSV"))*1</f>
        <v>#VALUE!</v>
      </c>
      <c r="B971" s="1">
        <v>6962099</v>
      </c>
      <c r="C971" t="s">
        <v>904</v>
      </c>
      <c r="D971" t="s">
        <v>1067</v>
      </c>
      <c r="E971" t="s">
        <v>8</v>
      </c>
    </row>
    <row r="972" spans="1:5" hidden="1" outlineLevel="2">
      <c r="A972" s="3" t="e">
        <f>(HYPERLINK("http://www.autodoc.ru/Web/price/art/A234ASMS?analog=on","A234ASMS"))*1</f>
        <v>#VALUE!</v>
      </c>
      <c r="B972" s="1">
        <v>6102151</v>
      </c>
      <c r="C972" t="s">
        <v>19</v>
      </c>
      <c r="D972" t="s">
        <v>1068</v>
      </c>
      <c r="E972" t="s">
        <v>21</v>
      </c>
    </row>
    <row r="973" spans="1:5" hidden="1" outlineLevel="2">
      <c r="A973" s="3" t="e">
        <f>(HYPERLINK("http://www.autodoc.ru/Web/price/art/A234LGSS4FD?analog=on","A234LGSS4FD"))*1</f>
        <v>#VALUE!</v>
      </c>
      <c r="B973" s="1">
        <v>6900481</v>
      </c>
      <c r="C973" t="s">
        <v>904</v>
      </c>
      <c r="D973" t="s">
        <v>1069</v>
      </c>
      <c r="E973" t="s">
        <v>10</v>
      </c>
    </row>
    <row r="974" spans="1:5" hidden="1" outlineLevel="2">
      <c r="A974" s="3" t="e">
        <f>(HYPERLINK("http://www.autodoc.ru/Web/price/art/A234RGSS4FD?analog=on","A234RGSS4FD"))*1</f>
        <v>#VALUE!</v>
      </c>
      <c r="B974" s="1">
        <v>6900482</v>
      </c>
      <c r="C974" t="s">
        <v>904</v>
      </c>
      <c r="D974" t="s">
        <v>1070</v>
      </c>
      <c r="E974" t="s">
        <v>10</v>
      </c>
    </row>
    <row r="975" spans="1:5" hidden="1" outlineLevel="1">
      <c r="A975" s="2">
        <v>0</v>
      </c>
      <c r="B975" s="26" t="s">
        <v>1071</v>
      </c>
      <c r="C975" s="27">
        <v>0</v>
      </c>
      <c r="D975" s="27">
        <v>0</v>
      </c>
      <c r="E975" s="27">
        <v>0</v>
      </c>
    </row>
    <row r="976" spans="1:5" hidden="1" outlineLevel="2">
      <c r="A976" s="3" t="e">
        <f>(HYPERLINK("http://www.autodoc.ru/Web/price/art/AJ03AGNBL?analog=on","AJ03AGNBL"))*1</f>
        <v>#VALUE!</v>
      </c>
      <c r="B976" s="1">
        <v>6969921</v>
      </c>
      <c r="C976" t="s">
        <v>1072</v>
      </c>
      <c r="D976" t="s">
        <v>1073</v>
      </c>
      <c r="E976" t="s">
        <v>8</v>
      </c>
    </row>
    <row r="977" spans="1:5" hidden="1" outlineLevel="2">
      <c r="A977" s="3" t="e">
        <f>(HYPERLINK("http://www.autodoc.ru/Web/price/art/AJ03AGNBL1P?analog=on","AJ03AGNBL1P"))*1</f>
        <v>#VALUE!</v>
      </c>
      <c r="B977" s="1">
        <v>6969939</v>
      </c>
      <c r="C977" t="s">
        <v>1074</v>
      </c>
      <c r="D977" t="s">
        <v>1075</v>
      </c>
      <c r="E977" t="s">
        <v>8</v>
      </c>
    </row>
    <row r="978" spans="1:5" hidden="1" outlineLevel="2">
      <c r="A978" s="3" t="e">
        <f>(HYPERLINK("http://www.autodoc.ru/Web/price/art/AJ03ASMR?analog=on","AJ03ASMR"))*1</f>
        <v>#VALUE!</v>
      </c>
      <c r="B978" s="1">
        <v>6101823</v>
      </c>
      <c r="C978" t="s">
        <v>19</v>
      </c>
      <c r="D978" t="s">
        <v>1076</v>
      </c>
      <c r="E978" t="s">
        <v>21</v>
      </c>
    </row>
    <row r="979" spans="1:5" hidden="1" outlineLevel="2">
      <c r="A979" s="3" t="e">
        <f>(HYPERLINK("http://www.autodoc.ru/Web/price/art/AJ03BGNR?analog=on","AJ03BGNR"))*1</f>
        <v>#VALUE!</v>
      </c>
      <c r="B979" s="1">
        <v>6998694</v>
      </c>
      <c r="C979" t="s">
        <v>1072</v>
      </c>
      <c r="D979" t="s">
        <v>1077</v>
      </c>
      <c r="E979" t="s">
        <v>23</v>
      </c>
    </row>
    <row r="980" spans="1:5" hidden="1" outlineLevel="2">
      <c r="A980" s="3" t="e">
        <f>(HYPERLINK("http://www.autodoc.ru/Web/price/art/AJ03LGNR3FD?analog=on","AJ03LGNR3FD"))*1</f>
        <v>#VALUE!</v>
      </c>
      <c r="B980" s="1">
        <v>6994113</v>
      </c>
      <c r="C980" t="s">
        <v>1072</v>
      </c>
      <c r="D980" t="s">
        <v>1078</v>
      </c>
      <c r="E980" t="s">
        <v>10</v>
      </c>
    </row>
    <row r="981" spans="1:5" hidden="1" outlineLevel="2">
      <c r="A981" s="3" t="e">
        <f>(HYPERLINK("http://www.autodoc.ru/Web/price/art/AJ03LGNR5FD?analog=on","AJ03LGNR5FD"))*1</f>
        <v>#VALUE!</v>
      </c>
      <c r="B981" s="1">
        <v>6994301</v>
      </c>
      <c r="C981" t="s">
        <v>1072</v>
      </c>
      <c r="D981" t="s">
        <v>1079</v>
      </c>
      <c r="E981" t="s">
        <v>10</v>
      </c>
    </row>
    <row r="982" spans="1:5" hidden="1" outlineLevel="2">
      <c r="A982" s="3" t="e">
        <f>(HYPERLINK("http://www.autodoc.ru/Web/price/art/AJ03LGNR5FV?analog=on","AJ03LGNR5FV"))*1</f>
        <v>#VALUE!</v>
      </c>
      <c r="B982" s="1">
        <v>6995634</v>
      </c>
      <c r="C982" t="s">
        <v>1072</v>
      </c>
      <c r="D982" t="s">
        <v>1080</v>
      </c>
      <c r="E982" t="s">
        <v>10</v>
      </c>
    </row>
    <row r="983" spans="1:5" hidden="1" outlineLevel="2">
      <c r="A983" s="3" t="e">
        <f>(HYPERLINK("http://www.autodoc.ru/Web/price/art/AJ03LGNR5RV?analog=on","AJ03LGNR5RV"))*1</f>
        <v>#VALUE!</v>
      </c>
      <c r="B983" s="1">
        <v>6994302</v>
      </c>
      <c r="C983" t="s">
        <v>1072</v>
      </c>
      <c r="D983" t="s">
        <v>1081</v>
      </c>
      <c r="E983" t="s">
        <v>10</v>
      </c>
    </row>
    <row r="984" spans="1:5" hidden="1" outlineLevel="2">
      <c r="A984" s="3" t="e">
        <f>(HYPERLINK("http://www.autodoc.ru/Web/price/art/AJ03RGNR3FD?analog=on","AJ03RGNR3FD"))*1</f>
        <v>#VALUE!</v>
      </c>
      <c r="B984" s="1">
        <v>6994114</v>
      </c>
      <c r="C984" t="s">
        <v>1072</v>
      </c>
      <c r="D984" t="s">
        <v>1082</v>
      </c>
      <c r="E984" t="s">
        <v>10</v>
      </c>
    </row>
    <row r="985" spans="1:5" hidden="1" outlineLevel="2">
      <c r="A985" s="3" t="e">
        <f>(HYPERLINK("http://www.autodoc.ru/Web/price/art/AJ03RGNR3FVOW?analog=on","AJ03RGNR3FVOW"))*1</f>
        <v>#VALUE!</v>
      </c>
      <c r="B985" s="1">
        <v>6999596</v>
      </c>
      <c r="C985" t="s">
        <v>33</v>
      </c>
      <c r="D985" t="s">
        <v>1083</v>
      </c>
      <c r="E985" t="s">
        <v>10</v>
      </c>
    </row>
    <row r="986" spans="1:5" hidden="1" outlineLevel="2">
      <c r="A986" s="3" t="e">
        <f>(HYPERLINK("http://www.autodoc.ru/Web/price/art/AJ03RGNR5FD?analog=on","AJ03RGNR5FD"))*1</f>
        <v>#VALUE!</v>
      </c>
      <c r="B986" s="1">
        <v>6994303</v>
      </c>
      <c r="C986" t="s">
        <v>1072</v>
      </c>
      <c r="D986" t="s">
        <v>1084</v>
      </c>
      <c r="E986" t="s">
        <v>10</v>
      </c>
    </row>
    <row r="987" spans="1:5" hidden="1" outlineLevel="2">
      <c r="A987" s="3" t="e">
        <f>(HYPERLINK("http://www.autodoc.ru/Web/price/art/AJ03RGNR5FV?analog=on","AJ03RGNR5FV"))*1</f>
        <v>#VALUE!</v>
      </c>
      <c r="B987" s="1">
        <v>6995635</v>
      </c>
      <c r="C987" t="s">
        <v>1072</v>
      </c>
      <c r="D987" t="s">
        <v>1085</v>
      </c>
      <c r="E987" t="s">
        <v>10</v>
      </c>
    </row>
    <row r="988" spans="1:5" hidden="1" outlineLevel="2">
      <c r="A988" s="3" t="e">
        <f>(HYPERLINK("http://www.autodoc.ru/Web/price/art/AJ03RGNR5RV?analog=on","AJ03RGNR5RV"))*1</f>
        <v>#VALUE!</v>
      </c>
      <c r="B988" s="1">
        <v>6994304</v>
      </c>
      <c r="C988" t="s">
        <v>1072</v>
      </c>
      <c r="D988" t="s">
        <v>1086</v>
      </c>
      <c r="E988" t="s">
        <v>10</v>
      </c>
    </row>
    <row r="989" spans="1:5" hidden="1" outlineLevel="1">
      <c r="A989" s="2">
        <v>0</v>
      </c>
      <c r="B989" s="26" t="s">
        <v>1087</v>
      </c>
      <c r="C989" s="27">
        <v>0</v>
      </c>
      <c r="D989" s="27">
        <v>0</v>
      </c>
      <c r="E989" s="27">
        <v>0</v>
      </c>
    </row>
    <row r="990" spans="1:5" hidden="1" outlineLevel="2">
      <c r="A990" s="3" t="e">
        <f>(HYPERLINK("http://www.autodoc.ru/Web/price/art/A219AGSBL?analog=on","A219AGSBL"))*1</f>
        <v>#VALUE!</v>
      </c>
      <c r="B990" s="1">
        <v>6963206</v>
      </c>
      <c r="C990" t="s">
        <v>36</v>
      </c>
      <c r="D990" t="s">
        <v>1088</v>
      </c>
      <c r="E990" t="s">
        <v>8</v>
      </c>
    </row>
    <row r="991" spans="1:5" hidden="1" outlineLevel="2">
      <c r="A991" s="3" t="e">
        <f>(HYPERLINK("http://www.autodoc.ru/Web/price/art/A219BGNS?analog=on","A219BGNS"))*1</f>
        <v>#VALUE!</v>
      </c>
      <c r="B991" s="1">
        <v>6999492</v>
      </c>
      <c r="C991" t="s">
        <v>36</v>
      </c>
      <c r="D991" t="s">
        <v>1089</v>
      </c>
      <c r="E991" t="s">
        <v>23</v>
      </c>
    </row>
    <row r="992" spans="1:5" hidden="1" outlineLevel="1">
      <c r="A992" s="2">
        <v>0</v>
      </c>
      <c r="B992" s="26" t="s">
        <v>1090</v>
      </c>
      <c r="C992" s="27">
        <v>0</v>
      </c>
      <c r="D992" s="27">
        <v>0</v>
      </c>
      <c r="E992" s="27">
        <v>0</v>
      </c>
    </row>
    <row r="993" spans="1:5" hidden="1" outlineLevel="2">
      <c r="A993" s="3" t="e">
        <f>(HYPERLINK("http://www.autodoc.ru/Web/price/art/AJ11AGSMV?analog=on","AJ11AGSMV"))*1</f>
        <v>#VALUE!</v>
      </c>
      <c r="B993" s="1">
        <v>6961775</v>
      </c>
      <c r="C993" t="s">
        <v>389</v>
      </c>
      <c r="D993" t="s">
        <v>1091</v>
      </c>
      <c r="E993" t="s">
        <v>8</v>
      </c>
    </row>
    <row r="994" spans="1:5" hidden="1" outlineLevel="2">
      <c r="A994" s="3" t="e">
        <f>(HYPERLINK("http://www.autodoc.ru/Web/price/art/AJ11AGSV?analog=on","AJ11AGSV"))*1</f>
        <v>#VALUE!</v>
      </c>
      <c r="B994" s="1">
        <v>6961774</v>
      </c>
      <c r="C994" t="s">
        <v>389</v>
      </c>
      <c r="D994" t="s">
        <v>1092</v>
      </c>
      <c r="E994" t="s">
        <v>8</v>
      </c>
    </row>
    <row r="995" spans="1:5" hidden="1" outlineLevel="2">
      <c r="A995" s="3" t="e">
        <f>(HYPERLINK("http://www.autodoc.ru/Web/price/art/AJ11ASMRT?analog=on","AJ11ASMRT"))*1</f>
        <v>#VALUE!</v>
      </c>
      <c r="B995" s="1">
        <v>6102625</v>
      </c>
      <c r="C995" t="s">
        <v>19</v>
      </c>
      <c r="D995" t="s">
        <v>1093</v>
      </c>
      <c r="E995" t="s">
        <v>21</v>
      </c>
    </row>
    <row r="996" spans="1:5" hidden="1" outlineLevel="1">
      <c r="A996" s="2">
        <v>0</v>
      </c>
      <c r="B996" s="26" t="s">
        <v>1094</v>
      </c>
      <c r="C996" s="27">
        <v>0</v>
      </c>
      <c r="D996" s="27">
        <v>0</v>
      </c>
      <c r="E996" s="27">
        <v>0</v>
      </c>
    </row>
    <row r="997" spans="1:5" hidden="1" outlineLevel="2">
      <c r="A997" s="3" t="e">
        <f>(HYPERLINK("http://www.autodoc.ru/Web/price/art/A218AGSBL?analog=on","A218AGSBL"))*1</f>
        <v>#VALUE!</v>
      </c>
      <c r="B997" s="1">
        <v>6963365</v>
      </c>
      <c r="C997" t="s">
        <v>354</v>
      </c>
      <c r="D997" t="s">
        <v>1095</v>
      </c>
      <c r="E997" t="s">
        <v>8</v>
      </c>
    </row>
    <row r="998" spans="1:5" hidden="1" outlineLevel="2">
      <c r="A998" s="3" t="e">
        <f>(HYPERLINK("http://www.autodoc.ru/Web/price/art/A218ASMS?analog=on","A218ASMS"))*1</f>
        <v>#VALUE!</v>
      </c>
      <c r="B998" s="1">
        <v>6102171</v>
      </c>
      <c r="C998" t="s">
        <v>19</v>
      </c>
      <c r="D998" t="s">
        <v>1096</v>
      </c>
      <c r="E998" t="s">
        <v>21</v>
      </c>
    </row>
    <row r="999" spans="1:5" hidden="1" outlineLevel="1">
      <c r="A999" s="2">
        <v>0</v>
      </c>
      <c r="B999" s="26" t="s">
        <v>1097</v>
      </c>
      <c r="C999" s="27">
        <v>0</v>
      </c>
      <c r="D999" s="27">
        <v>0</v>
      </c>
      <c r="E999" s="27">
        <v>0</v>
      </c>
    </row>
    <row r="1000" spans="1:5" hidden="1" outlineLevel="2">
      <c r="A1000" s="3" t="e">
        <f>(HYPERLINK("http://www.autodoc.ru/Web/price/art/A231AGSV?analog=on","A231AGSV"))*1</f>
        <v>#VALUE!</v>
      </c>
      <c r="B1000" s="1">
        <v>6962138</v>
      </c>
      <c r="C1000" t="s">
        <v>782</v>
      </c>
      <c r="D1000" t="s">
        <v>1098</v>
      </c>
      <c r="E1000" t="s">
        <v>8</v>
      </c>
    </row>
    <row r="1001" spans="1:5" hidden="1" outlineLevel="2">
      <c r="A1001" s="3" t="e">
        <f>(HYPERLINK("http://www.autodoc.ru/Web/price/art/A231LGSC2FD?analog=on","A231LGSC2FD"))*1</f>
        <v>#VALUE!</v>
      </c>
      <c r="B1001" s="1">
        <v>6999933</v>
      </c>
      <c r="C1001" t="s">
        <v>782</v>
      </c>
      <c r="D1001" t="s">
        <v>1099</v>
      </c>
      <c r="E1001" t="s">
        <v>10</v>
      </c>
    </row>
    <row r="1002" spans="1:5" hidden="1" outlineLevel="2">
      <c r="A1002" s="3" t="e">
        <f>(HYPERLINK("http://www.autodoc.ru/Web/price/art/A231RGSC2FD?analog=on","A231RGSC2FD"))*1</f>
        <v>#VALUE!</v>
      </c>
      <c r="B1002" s="1">
        <v>6900024</v>
      </c>
      <c r="C1002" t="s">
        <v>782</v>
      </c>
      <c r="D1002" t="s">
        <v>1100</v>
      </c>
      <c r="E1002" t="s">
        <v>10</v>
      </c>
    </row>
    <row r="1003" spans="1:5" hidden="1" outlineLevel="1">
      <c r="A1003" s="2">
        <v>0</v>
      </c>
      <c r="B1003" s="26" t="s">
        <v>1101</v>
      </c>
      <c r="C1003" s="27">
        <v>0</v>
      </c>
      <c r="D1003" s="27">
        <v>0</v>
      </c>
      <c r="E1003" s="27">
        <v>0</v>
      </c>
    </row>
    <row r="1004" spans="1:5" hidden="1" outlineLevel="2">
      <c r="A1004" s="3" t="e">
        <f>(HYPERLINK("http://www.autodoc.ru/Web/price/art/A230AGSV?analog=on","A230AGSV"))*1</f>
        <v>#VALUE!</v>
      </c>
      <c r="B1004" s="1">
        <v>6963107</v>
      </c>
      <c r="C1004" t="s">
        <v>366</v>
      </c>
      <c r="D1004" t="s">
        <v>1102</v>
      </c>
      <c r="E1004" t="s">
        <v>8</v>
      </c>
    </row>
    <row r="1005" spans="1:5" hidden="1" outlineLevel="2">
      <c r="A1005" s="3" t="e">
        <f>(HYPERLINK("http://www.autodoc.ru/Web/price/art/A230AGSBLV?analog=on","A230AGSBLV"))*1</f>
        <v>#VALUE!</v>
      </c>
      <c r="B1005" s="1">
        <v>6963140</v>
      </c>
      <c r="C1005" t="s">
        <v>366</v>
      </c>
      <c r="D1005" t="s">
        <v>1103</v>
      </c>
      <c r="E1005" t="s">
        <v>8</v>
      </c>
    </row>
    <row r="1006" spans="1:5" hidden="1" outlineLevel="1">
      <c r="A1006" s="2">
        <v>0</v>
      </c>
      <c r="B1006" s="26" t="s">
        <v>1104</v>
      </c>
      <c r="C1006" s="27">
        <v>0</v>
      </c>
      <c r="D1006" s="27">
        <v>0</v>
      </c>
      <c r="E1006" s="27">
        <v>0</v>
      </c>
    </row>
    <row r="1007" spans="1:5" hidden="1" outlineLevel="2">
      <c r="A1007" s="3" t="e">
        <f>(HYPERLINK("http://www.autodoc.ru/Web/price/art/9261LGNV5FD?analog=on","9261LGNV5FD"))*1</f>
        <v>#VALUE!</v>
      </c>
      <c r="B1007" s="1">
        <v>6993207</v>
      </c>
      <c r="C1007" t="s">
        <v>1105</v>
      </c>
      <c r="D1007" t="s">
        <v>1106</v>
      </c>
      <c r="E1007" t="s">
        <v>10</v>
      </c>
    </row>
    <row r="1008" spans="1:5" hidden="1" outlineLevel="2">
      <c r="A1008" s="3" t="e">
        <f>(HYPERLINK("http://www.autodoc.ru/Web/price/art/9261RGNV5FD?analog=on","9261RGNV5FD"))*1</f>
        <v>#VALUE!</v>
      </c>
      <c r="B1008" s="1">
        <v>6993206</v>
      </c>
      <c r="C1008" t="s">
        <v>1105</v>
      </c>
      <c r="D1008" t="s">
        <v>1107</v>
      </c>
      <c r="E1008" t="s">
        <v>10</v>
      </c>
    </row>
    <row r="1009" spans="1:5" hidden="1" outlineLevel="1">
      <c r="A1009" s="2">
        <v>0</v>
      </c>
      <c r="B1009" s="26" t="s">
        <v>1108</v>
      </c>
      <c r="C1009" s="27">
        <v>0</v>
      </c>
      <c r="D1009" s="27">
        <v>0</v>
      </c>
      <c r="E1009" s="27">
        <v>0</v>
      </c>
    </row>
    <row r="1010" spans="1:5" hidden="1" outlineLevel="2">
      <c r="A1010" s="3" t="e">
        <f>(HYPERLINK("http://www.autodoc.ru/Web/price/art/A215AGNBLV1B?analog=on","A215AGNBLV1B"))*1</f>
        <v>#VALUE!</v>
      </c>
      <c r="B1010" s="1">
        <v>6969925</v>
      </c>
      <c r="C1010" t="s">
        <v>1109</v>
      </c>
      <c r="D1010" t="s">
        <v>1110</v>
      </c>
      <c r="E1010" t="s">
        <v>8</v>
      </c>
    </row>
    <row r="1011" spans="1:5" hidden="1" outlineLevel="2">
      <c r="A1011" s="3" t="e">
        <f>(HYPERLINK("http://www.autodoc.ru/Web/price/art/A215AGNBLV1L?analog=on","A215AGNBLV1L"))*1</f>
        <v>#VALUE!</v>
      </c>
      <c r="B1011" s="1">
        <v>6969955</v>
      </c>
      <c r="C1011" t="s">
        <v>1109</v>
      </c>
      <c r="D1011" t="s">
        <v>1110</v>
      </c>
      <c r="E1011" t="s">
        <v>8</v>
      </c>
    </row>
    <row r="1012" spans="1:5" hidden="1" outlineLevel="2">
      <c r="A1012" s="3" t="e">
        <f>(HYPERLINK("http://www.autodoc.ru/Web/price/art/A215ASMV?analog=on","A215ASMV"))*1</f>
        <v>#VALUE!</v>
      </c>
      <c r="B1012" s="1">
        <v>6100251</v>
      </c>
      <c r="C1012" t="s">
        <v>19</v>
      </c>
      <c r="D1012" t="s">
        <v>1111</v>
      </c>
      <c r="E1012" t="s">
        <v>21</v>
      </c>
    </row>
    <row r="1013" spans="1:5" hidden="1" outlineLevel="2">
      <c r="A1013" s="3" t="e">
        <f>(HYPERLINK("http://www.autodoc.ru/Web/price/art/A215BGNVBW1R?analog=on","A215BGNVBW1R"))*1</f>
        <v>#VALUE!</v>
      </c>
      <c r="B1013" s="1">
        <v>6993425</v>
      </c>
      <c r="C1013" t="s">
        <v>1109</v>
      </c>
      <c r="D1013" t="s">
        <v>1112</v>
      </c>
      <c r="E1013" t="s">
        <v>23</v>
      </c>
    </row>
    <row r="1014" spans="1:5" hidden="1" outlineLevel="2">
      <c r="A1014" s="3" t="e">
        <f>(HYPERLINK("http://www.autodoc.ru/Web/price/art/A215LGNV4FD?analog=on","A215LGNV4FD"))*1</f>
        <v>#VALUE!</v>
      </c>
      <c r="B1014" s="1">
        <v>6993401</v>
      </c>
      <c r="C1014" t="s">
        <v>1109</v>
      </c>
      <c r="D1014" t="s">
        <v>1113</v>
      </c>
      <c r="E1014" t="s">
        <v>10</v>
      </c>
    </row>
    <row r="1015" spans="1:5" hidden="1" outlineLevel="2">
      <c r="A1015" s="3" t="e">
        <f>(HYPERLINK("http://www.autodoc.ru/Web/price/art/A215RGNV4FD?analog=on","A215RGNV4FD"))*1</f>
        <v>#VALUE!</v>
      </c>
      <c r="B1015" s="1">
        <v>6993402</v>
      </c>
      <c r="C1015" t="s">
        <v>1109</v>
      </c>
      <c r="D1015" t="s">
        <v>1114</v>
      </c>
      <c r="E1015" t="s">
        <v>10</v>
      </c>
    </row>
    <row r="1016" spans="1:5" hidden="1" outlineLevel="1">
      <c r="A1016" s="2">
        <v>0</v>
      </c>
      <c r="B1016" s="26" t="s">
        <v>1115</v>
      </c>
      <c r="C1016" s="27">
        <v>0</v>
      </c>
      <c r="D1016" s="27">
        <v>0</v>
      </c>
      <c r="E1016" s="27">
        <v>0</v>
      </c>
    </row>
    <row r="1017" spans="1:5" hidden="1" outlineLevel="2">
      <c r="A1017" s="3" t="e">
        <f>(HYPERLINK("http://www.autodoc.ru/Web/price/art/A235AGSMV?analog=on","A235AGSMV"))*1</f>
        <v>#VALUE!</v>
      </c>
      <c r="B1017" s="1">
        <v>6190919</v>
      </c>
      <c r="C1017" t="s">
        <v>389</v>
      </c>
      <c r="D1017" t="s">
        <v>1116</v>
      </c>
      <c r="E1017" t="s">
        <v>8</v>
      </c>
    </row>
    <row r="1018" spans="1:5" hidden="1" outlineLevel="2">
      <c r="A1018" s="3" t="e">
        <f>(HYPERLINK("http://www.autodoc.ru/Web/price/art/A235AGSV?analog=on","A235AGSV"))*1</f>
        <v>#VALUE!</v>
      </c>
      <c r="B1018" s="1">
        <v>6190901</v>
      </c>
      <c r="C1018" t="s">
        <v>389</v>
      </c>
      <c r="D1018" t="s">
        <v>1117</v>
      </c>
      <c r="E1018" t="s">
        <v>8</v>
      </c>
    </row>
    <row r="1019" spans="1:5" hidden="1" outlineLevel="2">
      <c r="A1019" s="3" t="e">
        <f>(HYPERLINK("http://www.autodoc.ru/Web/price/art/A235LGSR5FDKW?analog=on","A235LGSR5FDKW"))*1</f>
        <v>#VALUE!</v>
      </c>
      <c r="B1019" s="1">
        <v>6961356</v>
      </c>
      <c r="C1019" t="s">
        <v>389</v>
      </c>
      <c r="D1019" t="s">
        <v>1118</v>
      </c>
      <c r="E1019" t="s">
        <v>10</v>
      </c>
    </row>
    <row r="1020" spans="1:5" hidden="1" outlineLevel="2">
      <c r="A1020" s="3" t="e">
        <f>(HYPERLINK("http://www.autodoc.ru/Web/price/art/A235LGSR5RD?analog=on","A235LGSR5RD"))*1</f>
        <v>#VALUE!</v>
      </c>
      <c r="B1020" s="1">
        <v>6993736</v>
      </c>
      <c r="C1020" t="s">
        <v>389</v>
      </c>
      <c r="D1020" t="s">
        <v>1119</v>
      </c>
      <c r="E1020" t="s">
        <v>10</v>
      </c>
    </row>
    <row r="1021" spans="1:5" hidden="1" outlineLevel="2">
      <c r="A1021" s="3" t="e">
        <f>(HYPERLINK("http://www.autodoc.ru/Web/price/art/A235LYPR5RD?analog=on","A235LYPR5RD"))*1</f>
        <v>#VALUE!</v>
      </c>
      <c r="B1021" s="1">
        <v>6993738</v>
      </c>
      <c r="C1021" t="s">
        <v>389</v>
      </c>
      <c r="D1021" t="s">
        <v>1120</v>
      </c>
      <c r="E1021" t="s">
        <v>10</v>
      </c>
    </row>
    <row r="1022" spans="1:5" hidden="1" outlineLevel="2">
      <c r="A1022" s="3" t="e">
        <f>(HYPERLINK("http://www.autodoc.ru/Web/price/art/A235RGSR5FDKW?analog=on","A235RGSR5FDKW"))*1</f>
        <v>#VALUE!</v>
      </c>
      <c r="B1022" s="1">
        <v>6961355</v>
      </c>
      <c r="C1022" t="s">
        <v>389</v>
      </c>
      <c r="D1022" t="s">
        <v>1121</v>
      </c>
      <c r="E1022" t="s">
        <v>10</v>
      </c>
    </row>
    <row r="1023" spans="1:5" hidden="1" outlineLevel="2">
      <c r="A1023" s="3" t="e">
        <f>(HYPERLINK("http://www.autodoc.ru/Web/price/art/A235RGSR5RD?analog=on","A235RGSR5RD"))*1</f>
        <v>#VALUE!</v>
      </c>
      <c r="B1023" s="1">
        <v>6993735</v>
      </c>
      <c r="C1023" t="s">
        <v>389</v>
      </c>
      <c r="D1023" t="s">
        <v>1122</v>
      </c>
      <c r="E1023" t="s">
        <v>10</v>
      </c>
    </row>
    <row r="1024" spans="1:5" hidden="1" outlineLevel="2">
      <c r="A1024" s="3" t="e">
        <f>(HYPERLINK("http://www.autodoc.ru/Web/price/art/A235RYPR5RD?analog=on","A235RYPR5RD"))*1</f>
        <v>#VALUE!</v>
      </c>
      <c r="B1024" s="1">
        <v>6993737</v>
      </c>
      <c r="C1024" t="s">
        <v>389</v>
      </c>
      <c r="D1024" t="s">
        <v>1123</v>
      </c>
      <c r="E1024" t="s">
        <v>10</v>
      </c>
    </row>
    <row r="1025" spans="1:5" hidden="1" outlineLevel="1">
      <c r="A1025" s="2">
        <v>0</v>
      </c>
      <c r="B1025" s="26" t="s">
        <v>1124</v>
      </c>
      <c r="C1025" s="27">
        <v>0</v>
      </c>
      <c r="D1025" s="27">
        <v>0</v>
      </c>
      <c r="E1025" s="27">
        <v>0</v>
      </c>
    </row>
    <row r="1026" spans="1:5" hidden="1" outlineLevel="2">
      <c r="A1026" s="3" t="e">
        <f>(HYPERLINK("http://www.autodoc.ru/Web/price/art/AJ05AGNBLV?analog=on","AJ05AGNBLV"))*1</f>
        <v>#VALUE!</v>
      </c>
      <c r="B1026" s="1">
        <v>6969940</v>
      </c>
      <c r="C1026" t="s">
        <v>1125</v>
      </c>
      <c r="D1026" t="s">
        <v>1126</v>
      </c>
      <c r="E1026" t="s">
        <v>8</v>
      </c>
    </row>
    <row r="1027" spans="1:5" hidden="1" outlineLevel="2">
      <c r="A1027" s="3" t="e">
        <f>(HYPERLINK("http://www.autodoc.ru/Web/price/art/AJ05ASMR?analog=on","AJ05ASMR"))*1</f>
        <v>#VALUE!</v>
      </c>
      <c r="B1027" s="1">
        <v>6102516</v>
      </c>
      <c r="C1027" t="s">
        <v>19</v>
      </c>
      <c r="D1027" t="s">
        <v>1127</v>
      </c>
      <c r="E1027" t="s">
        <v>21</v>
      </c>
    </row>
    <row r="1028" spans="1:5" hidden="1" outlineLevel="2">
      <c r="A1028" s="3" t="e">
        <f>(HYPERLINK("http://www.autodoc.ru/Web/price/art/AJ05ASMRT?analog=on","AJ05ASMRT"))*1</f>
        <v>#VALUE!</v>
      </c>
      <c r="B1028" s="1">
        <v>6101095</v>
      </c>
      <c r="C1028" t="s">
        <v>19</v>
      </c>
      <c r="D1028" t="s">
        <v>1128</v>
      </c>
      <c r="E1028" t="s">
        <v>21</v>
      </c>
    </row>
    <row r="1029" spans="1:5" hidden="1" outlineLevel="2">
      <c r="A1029" s="3" t="e">
        <f>(HYPERLINK("http://www.autodoc.ru/Web/price/art/AJ05LGNR5FDW?analog=on","AJ05LGNR5FDW"))*1</f>
        <v>#VALUE!</v>
      </c>
      <c r="B1029" s="1">
        <v>6994305</v>
      </c>
      <c r="C1029" t="s">
        <v>1125</v>
      </c>
      <c r="D1029" t="s">
        <v>1129</v>
      </c>
      <c r="E1029" t="s">
        <v>10</v>
      </c>
    </row>
    <row r="1030" spans="1:5" hidden="1" outlineLevel="2">
      <c r="A1030" s="3" t="e">
        <f>(HYPERLINK("http://www.autodoc.ru/Web/price/art/AJ05LGNR5RDW?analog=on","AJ05LGNR5RDW"))*1</f>
        <v>#VALUE!</v>
      </c>
      <c r="B1030" s="1">
        <v>6996606</v>
      </c>
      <c r="C1030" t="s">
        <v>1125</v>
      </c>
      <c r="D1030" t="s">
        <v>1130</v>
      </c>
      <c r="E1030" t="s">
        <v>10</v>
      </c>
    </row>
    <row r="1031" spans="1:5" hidden="1" outlineLevel="2">
      <c r="A1031" s="3" t="e">
        <f>(HYPERLINK("http://www.autodoc.ru/Web/price/art/AJ05RGNR5FDW?analog=on","AJ05RGNR5FDW"))*1</f>
        <v>#VALUE!</v>
      </c>
      <c r="B1031" s="1">
        <v>6994306</v>
      </c>
      <c r="C1031" t="s">
        <v>1125</v>
      </c>
      <c r="D1031" t="s">
        <v>1131</v>
      </c>
      <c r="E1031" t="s">
        <v>10</v>
      </c>
    </row>
    <row r="1032" spans="1:5" hidden="1" outlineLevel="2">
      <c r="A1032" s="3" t="e">
        <f>(HYPERLINK("http://www.autodoc.ru/Web/price/art/AJ05RGNR5RDW?analog=on","AJ05RGNR5RDW"))*1</f>
        <v>#VALUE!</v>
      </c>
      <c r="B1032" s="1">
        <v>6996607</v>
      </c>
      <c r="C1032" t="s">
        <v>1125</v>
      </c>
      <c r="D1032" t="s">
        <v>1132</v>
      </c>
      <c r="E1032" t="s">
        <v>10</v>
      </c>
    </row>
    <row r="1033" spans="1:5" hidden="1" outlineLevel="1">
      <c r="A1033" s="2">
        <v>0</v>
      </c>
      <c r="B1033" s="26" t="s">
        <v>1133</v>
      </c>
      <c r="C1033" s="27">
        <v>0</v>
      </c>
      <c r="D1033" s="27">
        <v>0</v>
      </c>
      <c r="E1033" s="27">
        <v>0</v>
      </c>
    </row>
    <row r="1034" spans="1:5" hidden="1" outlineLevel="2">
      <c r="A1034" s="3" t="e">
        <f>(HYPERLINK("http://www.autodoc.ru/Web/price/art/AJ07AGNBL?analog=on","AJ07AGNBL"))*1</f>
        <v>#VALUE!</v>
      </c>
      <c r="B1034" s="1">
        <v>6960539</v>
      </c>
      <c r="C1034" t="s">
        <v>1134</v>
      </c>
      <c r="D1034" t="s">
        <v>1135</v>
      </c>
      <c r="E1034" t="s">
        <v>8</v>
      </c>
    </row>
    <row r="1035" spans="1:5" hidden="1" outlineLevel="2">
      <c r="A1035" s="3" t="e">
        <f>(HYPERLINK("http://www.autodoc.ru/Web/price/art/AJ07ASMRT?analog=on","AJ07ASMRT"))*1</f>
        <v>#VALUE!</v>
      </c>
      <c r="B1035" s="1">
        <v>6100627</v>
      </c>
      <c r="C1035" t="s">
        <v>19</v>
      </c>
      <c r="D1035" t="s">
        <v>1136</v>
      </c>
      <c r="E1035" t="s">
        <v>21</v>
      </c>
    </row>
    <row r="1036" spans="1:5" hidden="1" outlineLevel="2">
      <c r="A1036" s="3" t="e">
        <f>(HYPERLINK("http://www.autodoc.ru/Web/price/art/AJ07LGNR5FDW?analog=on","AJ07LGNR5FDW"))*1</f>
        <v>#VALUE!</v>
      </c>
      <c r="B1036" s="1">
        <v>6999932</v>
      </c>
      <c r="C1036" t="s">
        <v>1137</v>
      </c>
      <c r="D1036" t="s">
        <v>1138</v>
      </c>
      <c r="E1036" t="s">
        <v>10</v>
      </c>
    </row>
    <row r="1037" spans="1:5" hidden="1" outlineLevel="2">
      <c r="A1037" s="3" t="e">
        <f>(HYPERLINK("http://www.autodoc.ru/Web/price/art/AJ07RGNR5FDW?analog=on","AJ07RGNR5FDW"))*1</f>
        <v>#VALUE!</v>
      </c>
      <c r="B1037" s="1">
        <v>6900947</v>
      </c>
      <c r="C1037" t="s">
        <v>1137</v>
      </c>
      <c r="D1037" t="s">
        <v>1139</v>
      </c>
      <c r="E1037" t="s">
        <v>10</v>
      </c>
    </row>
    <row r="1038" spans="1:5" hidden="1" outlineLevel="1">
      <c r="A1038" s="2">
        <v>0</v>
      </c>
      <c r="B1038" s="26" t="s">
        <v>1140</v>
      </c>
      <c r="C1038" s="27">
        <v>0</v>
      </c>
      <c r="D1038" s="27">
        <v>0</v>
      </c>
      <c r="E1038" s="27">
        <v>0</v>
      </c>
    </row>
    <row r="1039" spans="1:5" hidden="1" outlineLevel="2">
      <c r="A1039" s="3" t="e">
        <f>(HYPERLINK("http://www.autodoc.ru/Web/price/art/A217AGNBL?analog=on","A217AGNBL"))*1</f>
        <v>#VALUE!</v>
      </c>
      <c r="B1039" s="1">
        <v>6960845</v>
      </c>
      <c r="C1039" t="s">
        <v>1141</v>
      </c>
      <c r="D1039" t="s">
        <v>1142</v>
      </c>
      <c r="E1039" t="s">
        <v>8</v>
      </c>
    </row>
    <row r="1040" spans="1:5" hidden="1" outlineLevel="1">
      <c r="A1040" s="2">
        <v>0</v>
      </c>
      <c r="B1040" s="26" t="s">
        <v>1143</v>
      </c>
      <c r="C1040" s="27">
        <v>0</v>
      </c>
      <c r="D1040" s="27">
        <v>0</v>
      </c>
      <c r="E1040" s="27">
        <v>0</v>
      </c>
    </row>
    <row r="1041" spans="1:5" hidden="1" outlineLevel="2">
      <c r="A1041" s="3" t="e">
        <f>(HYPERLINK("http://www.autodoc.ru/Web/price/art/A225AGNBL?analog=on","A225AGNBL"))*1</f>
        <v>#VALUE!</v>
      </c>
      <c r="B1041" s="1">
        <v>6950038</v>
      </c>
      <c r="C1041" t="s">
        <v>779</v>
      </c>
      <c r="D1041" t="s">
        <v>1144</v>
      </c>
      <c r="E1041" t="s">
        <v>8</v>
      </c>
    </row>
    <row r="1042" spans="1:5" hidden="1" outlineLevel="2">
      <c r="A1042" s="3" t="e">
        <f>(HYPERLINK("http://www.autodoc.ru/Web/price/art/A225ASMST?analog=on","A225ASMST"))*1</f>
        <v>#VALUE!</v>
      </c>
      <c r="B1042" s="1">
        <v>6102393</v>
      </c>
      <c r="C1042" t="s">
        <v>19</v>
      </c>
      <c r="D1042" t="s">
        <v>1145</v>
      </c>
      <c r="E1042" t="s">
        <v>21</v>
      </c>
    </row>
    <row r="1043" spans="1:5" hidden="1" outlineLevel="2">
      <c r="A1043" s="3" t="e">
        <f>(HYPERLINK("http://www.autodoc.ru/Web/price/art/A225LGNS4FD?analog=on","A225LGNS4FD"))*1</f>
        <v>#VALUE!</v>
      </c>
      <c r="B1043" s="1">
        <v>6999934</v>
      </c>
      <c r="C1043" t="s">
        <v>779</v>
      </c>
      <c r="D1043" t="s">
        <v>1146</v>
      </c>
      <c r="E1043" t="s">
        <v>10</v>
      </c>
    </row>
    <row r="1044" spans="1:5" hidden="1" outlineLevel="2">
      <c r="A1044" s="3" t="e">
        <f>(HYPERLINK("http://www.autodoc.ru/Web/price/art/A225RGNS4FD?analog=on","A225RGNS4FD"))*1</f>
        <v>#VALUE!</v>
      </c>
      <c r="B1044" s="1">
        <v>6900025</v>
      </c>
      <c r="C1044" t="s">
        <v>779</v>
      </c>
      <c r="D1044" t="s">
        <v>1147</v>
      </c>
      <c r="E1044" t="s">
        <v>10</v>
      </c>
    </row>
    <row r="1045" spans="1:5" hidden="1" outlineLevel="1">
      <c r="A1045" s="2">
        <v>0</v>
      </c>
      <c r="B1045" s="26" t="s">
        <v>1148</v>
      </c>
      <c r="C1045" s="27">
        <v>0</v>
      </c>
      <c r="D1045" s="27">
        <v>0</v>
      </c>
      <c r="E1045" s="27">
        <v>0</v>
      </c>
    </row>
    <row r="1046" spans="1:5" hidden="1" outlineLevel="2">
      <c r="A1046" s="3" t="e">
        <f>(HYPERLINK("http://www.autodoc.ru/Web/price/art/A220AGNBL?analog=on","A220AGNBL"))*1</f>
        <v>#VALUE!</v>
      </c>
      <c r="B1046" s="1">
        <v>6963288</v>
      </c>
      <c r="C1046" t="s">
        <v>499</v>
      </c>
      <c r="D1046" t="s">
        <v>1149</v>
      </c>
      <c r="E1046" t="s">
        <v>8</v>
      </c>
    </row>
    <row r="1047" spans="1:5" hidden="1" outlineLevel="2">
      <c r="A1047" s="3" t="e">
        <f>(HYPERLINK("http://www.autodoc.ru/Web/price/art/A220ASMS?analog=on","A220ASMS"))*1</f>
        <v>#VALUE!</v>
      </c>
      <c r="B1047" s="1">
        <v>6101701</v>
      </c>
      <c r="C1047" t="s">
        <v>19</v>
      </c>
      <c r="D1047" t="s">
        <v>1150</v>
      </c>
      <c r="E1047" t="s">
        <v>21</v>
      </c>
    </row>
    <row r="1048" spans="1:5" hidden="1" outlineLevel="2">
      <c r="A1048" s="3" t="e">
        <f>(HYPERLINK("http://www.autodoc.ru/Web/price/art/A220RGNS4FD?analog=on","A220RGNS4FD"))*1</f>
        <v>#VALUE!</v>
      </c>
      <c r="B1048" s="1">
        <v>6900026</v>
      </c>
      <c r="C1048" t="s">
        <v>522</v>
      </c>
      <c r="D1048" t="s">
        <v>1151</v>
      </c>
      <c r="E1048" t="s">
        <v>10</v>
      </c>
    </row>
    <row r="1049" spans="1:5" hidden="1" outlineLevel="1">
      <c r="A1049" s="2">
        <v>0</v>
      </c>
      <c r="B1049" s="26" t="s">
        <v>1152</v>
      </c>
      <c r="C1049" s="27">
        <v>0</v>
      </c>
      <c r="D1049" s="27">
        <v>0</v>
      </c>
      <c r="E1049" s="27">
        <v>0</v>
      </c>
    </row>
    <row r="1050" spans="1:5" hidden="1" outlineLevel="2">
      <c r="A1050" s="3" t="e">
        <f>(HYPERLINK("http://www.autodoc.ru/Web/price/art/A224AGSBLZ?analog=on","A224AGSBLZ"))*1</f>
        <v>#VALUE!</v>
      </c>
      <c r="B1050" s="1">
        <v>6960980</v>
      </c>
      <c r="C1050" t="s">
        <v>1153</v>
      </c>
      <c r="D1050" t="s">
        <v>1154</v>
      </c>
      <c r="E1050" t="s">
        <v>8</v>
      </c>
    </row>
    <row r="1051" spans="1:5" hidden="1" outlineLevel="2">
      <c r="A1051" s="3" t="e">
        <f>(HYPERLINK("http://www.autodoc.ru/Web/price/art/A224AGSZ?analog=on","A224AGSZ"))*1</f>
        <v>#VALUE!</v>
      </c>
      <c r="B1051" s="1">
        <v>6950082</v>
      </c>
      <c r="C1051" t="s">
        <v>1153</v>
      </c>
      <c r="D1051" t="s">
        <v>1155</v>
      </c>
      <c r="E1051" t="s">
        <v>8</v>
      </c>
    </row>
    <row r="1052" spans="1:5" hidden="1" outlineLevel="2">
      <c r="A1052" s="3" t="e">
        <f>(HYPERLINK("http://www.autodoc.ru/Web/price/art/A224BGSVBW?analog=on","A224BGSVBW"))*1</f>
        <v>#VALUE!</v>
      </c>
      <c r="B1052" s="1">
        <v>6999491</v>
      </c>
      <c r="C1052" t="s">
        <v>1153</v>
      </c>
      <c r="D1052" t="s">
        <v>1156</v>
      </c>
      <c r="E1052" t="s">
        <v>23</v>
      </c>
    </row>
    <row r="1053" spans="1:5" hidden="1" outlineLevel="2">
      <c r="A1053" s="3" t="e">
        <f>(HYPERLINK("http://www.autodoc.ru/Web/price/art/A224LGPV5RD?analog=on","A224LGPV5RD"))*1</f>
        <v>#VALUE!</v>
      </c>
      <c r="B1053" s="1">
        <v>6900127</v>
      </c>
      <c r="C1053" t="s">
        <v>1153</v>
      </c>
      <c r="D1053" t="s">
        <v>1157</v>
      </c>
      <c r="E1053" t="s">
        <v>10</v>
      </c>
    </row>
    <row r="1054" spans="1:5" hidden="1" outlineLevel="2">
      <c r="A1054" s="3" t="e">
        <f>(HYPERLINK("http://www.autodoc.ru/Web/price/art/A224LGSV5FD?analog=on","A224LGSV5FD"))*1</f>
        <v>#VALUE!</v>
      </c>
      <c r="B1054" s="1">
        <v>6980067</v>
      </c>
      <c r="C1054" t="s">
        <v>1153</v>
      </c>
      <c r="D1054" t="s">
        <v>1158</v>
      </c>
      <c r="E1054" t="s">
        <v>10</v>
      </c>
    </row>
    <row r="1055" spans="1:5" hidden="1" outlineLevel="2">
      <c r="A1055" s="3" t="e">
        <f>(HYPERLINK("http://www.autodoc.ru/Web/price/art/A224LGSV5RD?analog=on","A224LGSV5RD"))*1</f>
        <v>#VALUE!</v>
      </c>
      <c r="B1055" s="1">
        <v>6900128</v>
      </c>
      <c r="C1055" t="s">
        <v>1153</v>
      </c>
      <c r="D1055" t="s">
        <v>1159</v>
      </c>
      <c r="E1055" t="s">
        <v>10</v>
      </c>
    </row>
    <row r="1056" spans="1:5" hidden="1" outlineLevel="2">
      <c r="A1056" s="3" t="e">
        <f>(HYPERLINK("http://www.autodoc.ru/Web/price/art/A224RGPV5RD?analog=on","A224RGPV5RD"))*1</f>
        <v>#VALUE!</v>
      </c>
      <c r="B1056" s="1">
        <v>6900365</v>
      </c>
      <c r="C1056" t="s">
        <v>1153</v>
      </c>
      <c r="D1056" t="s">
        <v>1160</v>
      </c>
      <c r="E1056" t="s">
        <v>10</v>
      </c>
    </row>
    <row r="1057" spans="1:5" hidden="1" outlineLevel="2">
      <c r="A1057" s="3" t="e">
        <f>(HYPERLINK("http://www.autodoc.ru/Web/price/art/A224RGSV5FD?analog=on","A224RGSV5FD"))*1</f>
        <v>#VALUE!</v>
      </c>
      <c r="B1057" s="1">
        <v>6980068</v>
      </c>
      <c r="C1057" t="s">
        <v>1153</v>
      </c>
      <c r="D1057" t="s">
        <v>1161</v>
      </c>
      <c r="E1057" t="s">
        <v>10</v>
      </c>
    </row>
    <row r="1058" spans="1:5" hidden="1" outlineLevel="2">
      <c r="A1058" s="3" t="e">
        <f>(HYPERLINK("http://www.autodoc.ru/Web/price/art/A224RGSV5RD?analog=on","A224RGSV5RD"))*1</f>
        <v>#VALUE!</v>
      </c>
      <c r="B1058" s="1">
        <v>6900366</v>
      </c>
      <c r="C1058" t="s">
        <v>1153</v>
      </c>
      <c r="D1058" t="s">
        <v>1162</v>
      </c>
      <c r="E1058" t="s">
        <v>10</v>
      </c>
    </row>
    <row r="1059" spans="1:5" hidden="1" outlineLevel="1">
      <c r="A1059" s="2">
        <v>0</v>
      </c>
      <c r="B1059" s="26" t="s">
        <v>1163</v>
      </c>
      <c r="C1059" s="27">
        <v>0</v>
      </c>
      <c r="D1059" s="27">
        <v>0</v>
      </c>
      <c r="E1059" s="27">
        <v>0</v>
      </c>
    </row>
    <row r="1060" spans="1:5" hidden="1" outlineLevel="2">
      <c r="A1060" s="3" t="e">
        <f>(HYPERLINK("http://www.autodoc.ru/Web/price/art/A228AGSBL?analog=on","A228AGSBL"))*1</f>
        <v>#VALUE!</v>
      </c>
      <c r="B1060" s="1">
        <v>6962443</v>
      </c>
      <c r="C1060" t="s">
        <v>790</v>
      </c>
      <c r="D1060" t="s">
        <v>1164</v>
      </c>
      <c r="E1060" t="s">
        <v>8</v>
      </c>
    </row>
    <row r="1061" spans="1:5" hidden="1" outlineLevel="2">
      <c r="A1061" s="3" t="e">
        <f>(HYPERLINK("http://www.autodoc.ru/Web/price/art/A228LGNS4FDW?analog=on","A228LGNS4FDW"))*1</f>
        <v>#VALUE!</v>
      </c>
      <c r="B1061" s="1">
        <v>6999935</v>
      </c>
      <c r="C1061" t="s">
        <v>790</v>
      </c>
      <c r="D1061" t="s">
        <v>1165</v>
      </c>
      <c r="E1061" t="s">
        <v>10</v>
      </c>
    </row>
    <row r="1062" spans="1:5" hidden="1" outlineLevel="2">
      <c r="A1062" s="3" t="e">
        <f>(HYPERLINK("http://www.autodoc.ru/Web/price/art/A228RGNS4FDW?analog=on","A228RGNS4FDW"))*1</f>
        <v>#VALUE!</v>
      </c>
      <c r="B1062" s="1">
        <v>6900483</v>
      </c>
      <c r="C1062" t="s">
        <v>790</v>
      </c>
      <c r="D1062" t="s">
        <v>1166</v>
      </c>
      <c r="E1062" t="s">
        <v>10</v>
      </c>
    </row>
    <row r="1063" spans="1:5" hidden="1" outlineLevel="1">
      <c r="A1063" s="2">
        <v>0</v>
      </c>
      <c r="B1063" s="26" t="s">
        <v>1167</v>
      </c>
      <c r="C1063" s="27">
        <v>0</v>
      </c>
      <c r="D1063" s="27">
        <v>0</v>
      </c>
      <c r="E1063" s="27">
        <v>0</v>
      </c>
    </row>
    <row r="1064" spans="1:5" hidden="1" outlineLevel="2">
      <c r="A1064" s="3" t="e">
        <f>(HYPERLINK("http://www.autodoc.ru/Web/price/art/A223AGNBLH1E?analog=on","A223AGNBLH1E"))*1</f>
        <v>#VALUE!</v>
      </c>
      <c r="B1064" s="1">
        <v>6969948</v>
      </c>
      <c r="C1064" t="s">
        <v>654</v>
      </c>
      <c r="D1064" t="s">
        <v>1168</v>
      </c>
      <c r="E1064" t="s">
        <v>8</v>
      </c>
    </row>
    <row r="1065" spans="1:5" hidden="1" outlineLevel="2">
      <c r="A1065" s="3" t="e">
        <f>(HYPERLINK("http://www.autodoc.ru/Web/price/art/A223AGNBLH2E?analog=on","A223AGNBLH2E"))*1</f>
        <v>#VALUE!</v>
      </c>
      <c r="B1065" s="1">
        <v>6960533</v>
      </c>
      <c r="C1065" t="s">
        <v>753</v>
      </c>
      <c r="D1065" t="s">
        <v>1169</v>
      </c>
      <c r="E1065" t="s">
        <v>8</v>
      </c>
    </row>
    <row r="1066" spans="1:5" hidden="1" outlineLevel="2">
      <c r="A1066" s="3" t="e">
        <f>(HYPERLINK("http://www.autodoc.ru/Web/price/art/A223AGS?analog=on","A223AGS"))*1</f>
        <v>#VALUE!</v>
      </c>
      <c r="B1066" s="1">
        <v>6961182</v>
      </c>
      <c r="C1066" t="s">
        <v>755</v>
      </c>
      <c r="D1066" t="s">
        <v>1170</v>
      </c>
      <c r="E1066" t="s">
        <v>8</v>
      </c>
    </row>
    <row r="1067" spans="1:5" hidden="1" outlineLevel="2">
      <c r="A1067" s="3" t="e">
        <f>(HYPERLINK("http://www.autodoc.ru/Web/price/art/A223AGSBL?analog=on","A223AGSBL"))*1</f>
        <v>#VALUE!</v>
      </c>
      <c r="B1067" s="1">
        <v>6950337</v>
      </c>
      <c r="C1067" t="s">
        <v>755</v>
      </c>
      <c r="D1067" t="s">
        <v>1171</v>
      </c>
      <c r="E1067" t="s">
        <v>8</v>
      </c>
    </row>
    <row r="1068" spans="1:5" hidden="1" outlineLevel="2">
      <c r="A1068" s="3" t="e">
        <f>(HYPERLINK("http://www.autodoc.ru/Web/price/art/A223ASMV?analog=on","A223ASMV"))*1</f>
        <v>#VALUE!</v>
      </c>
      <c r="B1068" s="1">
        <v>6100253</v>
      </c>
      <c r="C1068" t="s">
        <v>19</v>
      </c>
      <c r="D1068" t="s">
        <v>1172</v>
      </c>
      <c r="E1068" t="s">
        <v>21</v>
      </c>
    </row>
    <row r="1069" spans="1:5" hidden="1" outlineLevel="2">
      <c r="A1069" s="3" t="e">
        <f>(HYPERLINK("http://www.autodoc.ru/Web/price/art/A223BGNVB?analog=on","A223BGNVB"))*1</f>
        <v>#VALUE!</v>
      </c>
      <c r="B1069" s="1">
        <v>6998847</v>
      </c>
      <c r="C1069" t="s">
        <v>1173</v>
      </c>
      <c r="D1069" t="s">
        <v>1174</v>
      </c>
      <c r="E1069" t="s">
        <v>23</v>
      </c>
    </row>
    <row r="1070" spans="1:5" hidden="1" outlineLevel="2">
      <c r="A1070" s="3" t="e">
        <f>(HYPERLINK("http://www.autodoc.ru/Web/price/art/A223BGNVB1H?analog=on","A223BGNVB1H"))*1</f>
        <v>#VALUE!</v>
      </c>
      <c r="B1070" s="1">
        <v>6980037</v>
      </c>
      <c r="C1070" t="s">
        <v>1173</v>
      </c>
      <c r="D1070" t="s">
        <v>1175</v>
      </c>
      <c r="E1070" t="s">
        <v>23</v>
      </c>
    </row>
    <row r="1071" spans="1:5" hidden="1" outlineLevel="2">
      <c r="A1071" s="3" t="e">
        <f>(HYPERLINK("http://www.autodoc.ru/Web/price/art/A223LGNV4FDW?analog=on","A223LGNV4FDW"))*1</f>
        <v>#VALUE!</v>
      </c>
      <c r="B1071" s="1">
        <v>6999936</v>
      </c>
      <c r="C1071" t="s">
        <v>1173</v>
      </c>
      <c r="D1071" t="s">
        <v>1176</v>
      </c>
      <c r="E1071" t="s">
        <v>10</v>
      </c>
    </row>
    <row r="1072" spans="1:5" hidden="1" outlineLevel="2">
      <c r="A1072" s="3" t="e">
        <f>(HYPERLINK("http://www.autodoc.ru/Web/price/art/A223LGPV5RDW1J?analog=on","A223LGPV5RDW1J"))*1</f>
        <v>#VALUE!</v>
      </c>
      <c r="B1072" s="1">
        <v>6900129</v>
      </c>
      <c r="C1072" t="s">
        <v>1173</v>
      </c>
      <c r="D1072" t="s">
        <v>1177</v>
      </c>
      <c r="E1072" t="s">
        <v>10</v>
      </c>
    </row>
    <row r="1073" spans="1:5" collapsed="1">
      <c r="A1073" s="28" t="s">
        <v>1178</v>
      </c>
      <c r="B1073" s="28">
        <v>0</v>
      </c>
      <c r="C1073" s="28">
        <v>0</v>
      </c>
      <c r="D1073" s="28">
        <v>0</v>
      </c>
      <c r="E1073" s="28">
        <v>0</v>
      </c>
    </row>
    <row r="1074" spans="1:5" hidden="1" outlineLevel="1">
      <c r="A1074" s="2">
        <v>0</v>
      </c>
      <c r="B1074" s="26" t="s">
        <v>1179</v>
      </c>
      <c r="C1074" s="27">
        <v>0</v>
      </c>
      <c r="D1074" s="27">
        <v>0</v>
      </c>
      <c r="E1074" s="27">
        <v>0</v>
      </c>
    </row>
    <row r="1075" spans="1:5" hidden="1" outlineLevel="2">
      <c r="A1075" s="3" t="e">
        <f>(HYPERLINK("http://www.autodoc.ru/Web/price/art/AJ13AGS?analog=on","AJ13AGS"))*1</f>
        <v>#VALUE!</v>
      </c>
      <c r="B1075" s="1">
        <v>6962788</v>
      </c>
      <c r="C1075" t="s">
        <v>672</v>
      </c>
      <c r="D1075" t="s">
        <v>1180</v>
      </c>
      <c r="E1075" t="s">
        <v>8</v>
      </c>
    </row>
    <row r="1076" spans="1:5" hidden="1" outlineLevel="1">
      <c r="A1076" s="2">
        <v>0</v>
      </c>
      <c r="B1076" s="26" t="s">
        <v>1181</v>
      </c>
      <c r="C1076" s="27">
        <v>0</v>
      </c>
      <c r="D1076" s="27">
        <v>0</v>
      </c>
      <c r="E1076" s="27">
        <v>0</v>
      </c>
    </row>
    <row r="1077" spans="1:5" hidden="1" outlineLevel="2">
      <c r="A1077" s="3" t="e">
        <f>(HYPERLINK("http://www.autodoc.ru/Web/price/art/AJ15LGSR5FD?analog=on","AJ15LGSR5FD"))*1</f>
        <v>#VALUE!</v>
      </c>
      <c r="B1077" s="1">
        <v>6999959</v>
      </c>
      <c r="C1077" t="s">
        <v>389</v>
      </c>
      <c r="D1077" t="s">
        <v>1182</v>
      </c>
      <c r="E1077" t="s">
        <v>10</v>
      </c>
    </row>
    <row r="1078" spans="1:5" hidden="1" outlineLevel="2">
      <c r="A1078" s="3" t="e">
        <f>(HYPERLINK("http://www.autodoc.ru/Web/price/art/AJ15LGSR5RD?analog=on","AJ15LGSR5RD"))*1</f>
        <v>#VALUE!</v>
      </c>
      <c r="B1078" s="1">
        <v>6900157</v>
      </c>
      <c r="C1078" t="s">
        <v>389</v>
      </c>
      <c r="D1078" t="s">
        <v>1183</v>
      </c>
      <c r="E1078" t="s">
        <v>10</v>
      </c>
    </row>
    <row r="1079" spans="1:5" hidden="1" outlineLevel="2">
      <c r="A1079" s="3" t="e">
        <f>(HYPERLINK("http://www.autodoc.ru/Web/price/art/AJ15LYPR5RD?analog=on","AJ15LYPR5RD"))*1</f>
        <v>#VALUE!</v>
      </c>
      <c r="B1079" s="1">
        <v>6900158</v>
      </c>
      <c r="C1079" t="s">
        <v>389</v>
      </c>
      <c r="D1079" t="s">
        <v>1184</v>
      </c>
      <c r="E1079" t="s">
        <v>10</v>
      </c>
    </row>
    <row r="1080" spans="1:5" hidden="1" outlineLevel="2">
      <c r="A1080" s="3" t="e">
        <f>(HYPERLINK("http://www.autodoc.ru/Web/price/art/AJ15RGSR5FD?analog=on","AJ15RGSR5FD"))*1</f>
        <v>#VALUE!</v>
      </c>
      <c r="B1080" s="1">
        <v>6900049</v>
      </c>
      <c r="C1080" t="s">
        <v>389</v>
      </c>
      <c r="D1080" t="s">
        <v>1185</v>
      </c>
      <c r="E1080" t="s">
        <v>10</v>
      </c>
    </row>
    <row r="1081" spans="1:5" hidden="1" outlineLevel="2">
      <c r="A1081" s="3" t="e">
        <f>(HYPERLINK("http://www.autodoc.ru/Web/price/art/AJ15RGSR5RD?analog=on","AJ15RGSR5RD"))*1</f>
        <v>#VALUE!</v>
      </c>
      <c r="B1081" s="1">
        <v>6900233</v>
      </c>
      <c r="C1081" t="s">
        <v>389</v>
      </c>
      <c r="D1081" t="s">
        <v>1186</v>
      </c>
      <c r="E1081" t="s">
        <v>10</v>
      </c>
    </row>
    <row r="1082" spans="1:5" hidden="1" outlineLevel="2">
      <c r="A1082" s="3" t="e">
        <f>(HYPERLINK("http://www.autodoc.ru/Web/price/art/AJ15RYPR5RD?analog=on","AJ15RYPR5RD"))*1</f>
        <v>#VALUE!</v>
      </c>
      <c r="B1082" s="1">
        <v>6900234</v>
      </c>
      <c r="C1082" t="s">
        <v>389</v>
      </c>
      <c r="D1082" t="s">
        <v>1187</v>
      </c>
      <c r="E1082" t="s">
        <v>10</v>
      </c>
    </row>
    <row r="1083" spans="1:5" hidden="1" outlineLevel="1">
      <c r="A1083" s="2">
        <v>0</v>
      </c>
      <c r="B1083" s="26" t="s">
        <v>1188</v>
      </c>
      <c r="C1083" s="27">
        <v>0</v>
      </c>
      <c r="D1083" s="27">
        <v>0</v>
      </c>
      <c r="E1083" s="27">
        <v>0</v>
      </c>
    </row>
    <row r="1084" spans="1:5" hidden="1" outlineLevel="2">
      <c r="A1084" s="3" t="e">
        <f>(HYPERLINK("http://www.autodoc.ru/Web/price/art/AJ04AGN1B?analog=on","AJ04AGN1B"))*1</f>
        <v>#VALUE!</v>
      </c>
      <c r="B1084" s="1">
        <v>6969942</v>
      </c>
      <c r="C1084" t="s">
        <v>1189</v>
      </c>
      <c r="D1084" t="s">
        <v>1190</v>
      </c>
      <c r="E1084" t="s">
        <v>8</v>
      </c>
    </row>
    <row r="1085" spans="1:5" hidden="1" outlineLevel="2">
      <c r="A1085" s="3" t="e">
        <f>(HYPERLINK("http://www.autodoc.ru/Web/price/art/AJ04AGNBL1B?analog=on","AJ04AGNBL1B"))*1</f>
        <v>#VALUE!</v>
      </c>
      <c r="B1085" s="1">
        <v>6963229</v>
      </c>
      <c r="C1085" t="s">
        <v>1189</v>
      </c>
      <c r="D1085" t="s">
        <v>1191</v>
      </c>
      <c r="E1085" t="s">
        <v>8</v>
      </c>
    </row>
    <row r="1086" spans="1:5" hidden="1" outlineLevel="2">
      <c r="A1086" s="3" t="e">
        <f>(HYPERLINK("http://www.autodoc.ru/Web/price/art/AJ04ASMR?analog=on","AJ04ASMR"))*1</f>
        <v>#VALUE!</v>
      </c>
      <c r="B1086" s="1">
        <v>6102392</v>
      </c>
      <c r="C1086" t="s">
        <v>19</v>
      </c>
      <c r="D1086" t="s">
        <v>1192</v>
      </c>
      <c r="E1086" t="s">
        <v>21</v>
      </c>
    </row>
    <row r="1087" spans="1:5" hidden="1" outlineLevel="1">
      <c r="A1087" s="2">
        <v>0</v>
      </c>
      <c r="B1087" s="26" t="s">
        <v>1193</v>
      </c>
      <c r="C1087" s="27">
        <v>0</v>
      </c>
      <c r="D1087" s="27">
        <v>0</v>
      </c>
      <c r="E1087" s="27">
        <v>0</v>
      </c>
    </row>
    <row r="1088" spans="1:5" hidden="1" outlineLevel="2">
      <c r="A1088" s="3" t="e">
        <f>(HYPERLINK("http://www.autodoc.ru/Web/price/art/AJ14AGS?analog=on","AJ14AGS"))*1</f>
        <v>#VALUE!</v>
      </c>
      <c r="B1088" s="1">
        <v>6962808</v>
      </c>
      <c r="C1088" t="s">
        <v>290</v>
      </c>
      <c r="D1088" t="s">
        <v>1194</v>
      </c>
      <c r="E1088" t="s">
        <v>8</v>
      </c>
    </row>
    <row r="1089" spans="1:5" collapsed="1">
      <c r="A1089" s="28" t="s">
        <v>1195</v>
      </c>
      <c r="B1089" s="28">
        <v>0</v>
      </c>
      <c r="C1089" s="28">
        <v>0</v>
      </c>
      <c r="D1089" s="28">
        <v>0</v>
      </c>
      <c r="E1089" s="28">
        <v>0</v>
      </c>
    </row>
    <row r="1090" spans="1:5" hidden="1" outlineLevel="1">
      <c r="A1090" s="2">
        <v>0</v>
      </c>
      <c r="B1090" s="26" t="s">
        <v>1196</v>
      </c>
      <c r="C1090" s="27">
        <v>0</v>
      </c>
      <c r="D1090" s="27">
        <v>0</v>
      </c>
      <c r="E1090" s="27">
        <v>0</v>
      </c>
    </row>
    <row r="1091" spans="1:5" hidden="1" outlineLevel="2">
      <c r="A1091" s="3" t="e">
        <f>(HYPERLINK("http://www.autodoc.ru/Web/price/art/2705ACL?analog=on","2705ACL"))*1</f>
        <v>#VALUE!</v>
      </c>
      <c r="B1091" s="1">
        <v>6963540</v>
      </c>
      <c r="C1091" t="s">
        <v>1197</v>
      </c>
      <c r="D1091" t="s">
        <v>1198</v>
      </c>
      <c r="E1091" t="s">
        <v>8</v>
      </c>
    </row>
    <row r="1092" spans="1:5" hidden="1" outlineLevel="1">
      <c r="A1092" s="2">
        <v>0</v>
      </c>
      <c r="B1092" s="26" t="s">
        <v>1199</v>
      </c>
      <c r="C1092" s="27">
        <v>0</v>
      </c>
      <c r="D1092" s="27">
        <v>0</v>
      </c>
      <c r="E1092" s="27">
        <v>0</v>
      </c>
    </row>
    <row r="1093" spans="1:5" hidden="1" outlineLevel="2">
      <c r="A1093" s="3" t="e">
        <f>(HYPERLINK("http://www.autodoc.ru/Web/price/art/2717ABZ1C?analog=on","2717ABZ1C"))*1</f>
        <v>#VALUE!</v>
      </c>
      <c r="B1093" s="1">
        <v>6965413</v>
      </c>
      <c r="C1093" t="s">
        <v>1200</v>
      </c>
      <c r="D1093" t="s">
        <v>1201</v>
      </c>
      <c r="E1093" t="s">
        <v>8</v>
      </c>
    </row>
    <row r="1094" spans="1:5" hidden="1" outlineLevel="2">
      <c r="A1094" s="3" t="e">
        <f>(HYPERLINK("http://www.autodoc.ru/Web/price/art/2717ACL1C?analog=on","2717ACL1C"))*1</f>
        <v>#VALUE!</v>
      </c>
      <c r="B1094" s="1">
        <v>6965410</v>
      </c>
      <c r="C1094" t="s">
        <v>1200</v>
      </c>
      <c r="D1094" t="s">
        <v>1202</v>
      </c>
      <c r="E1094" t="s">
        <v>8</v>
      </c>
    </row>
    <row r="1095" spans="1:5" hidden="1" outlineLevel="2">
      <c r="A1095" s="3" t="e">
        <f>(HYPERLINK("http://www.autodoc.ru/Web/price/art/2717AGN1C?analog=on","2717AGN1C"))*1</f>
        <v>#VALUE!</v>
      </c>
      <c r="B1095" s="1">
        <v>6965415</v>
      </c>
      <c r="C1095" t="s">
        <v>1200</v>
      </c>
      <c r="D1095" t="s">
        <v>1203</v>
      </c>
      <c r="E1095" t="s">
        <v>8</v>
      </c>
    </row>
    <row r="1096" spans="1:5" hidden="1" outlineLevel="2">
      <c r="A1096" s="3" t="e">
        <f>(HYPERLINK("http://www.autodoc.ru/Web/price/art/2717AGNBL1C?analog=on","2717AGNBL1C"))*1</f>
        <v>#VALUE!</v>
      </c>
      <c r="B1096" s="1">
        <v>6963435</v>
      </c>
      <c r="C1096" t="s">
        <v>1200</v>
      </c>
      <c r="D1096" t="s">
        <v>1204</v>
      </c>
      <c r="E1096" t="s">
        <v>8</v>
      </c>
    </row>
    <row r="1097" spans="1:5" hidden="1" outlineLevel="2">
      <c r="A1097" s="3" t="e">
        <f>(HYPERLINK("http://www.autodoc.ru/Web/price/art/2717BCLH1J?analog=on","2717BCLH1J"))*1</f>
        <v>#VALUE!</v>
      </c>
      <c r="B1097" s="1">
        <v>6997167</v>
      </c>
      <c r="C1097" t="s">
        <v>504</v>
      </c>
      <c r="D1097" t="s">
        <v>1205</v>
      </c>
      <c r="E1097" t="s">
        <v>23</v>
      </c>
    </row>
    <row r="1098" spans="1:5" hidden="1" outlineLevel="2">
      <c r="A1098" s="3" t="e">
        <f>(HYPERLINK("http://www.autodoc.ru/Web/price/art/2717BGNH1J?analog=on","2717BGNH1J"))*1</f>
        <v>#VALUE!</v>
      </c>
      <c r="B1098" s="1">
        <v>6997168</v>
      </c>
      <c r="C1098" t="s">
        <v>504</v>
      </c>
      <c r="D1098" t="s">
        <v>1206</v>
      </c>
      <c r="E1098" t="s">
        <v>23</v>
      </c>
    </row>
    <row r="1099" spans="1:5" hidden="1" outlineLevel="2">
      <c r="A1099" s="3" t="e">
        <f>(HYPERLINK("http://www.autodoc.ru/Web/price/art/2717LBZH3FD?analog=on","2717LBZH3FD"))*1</f>
        <v>#VALUE!</v>
      </c>
      <c r="B1099" s="1">
        <v>6997057</v>
      </c>
      <c r="C1099" t="s">
        <v>1200</v>
      </c>
      <c r="D1099" t="s">
        <v>1207</v>
      </c>
      <c r="E1099" t="s">
        <v>10</v>
      </c>
    </row>
    <row r="1100" spans="1:5" hidden="1" outlineLevel="2">
      <c r="A1100" s="3" t="e">
        <f>(HYPERLINK("http://www.autodoc.ru/Web/price/art/2717LCLH3FD?analog=on","2717LCLH3FD"))*1</f>
        <v>#VALUE!</v>
      </c>
      <c r="B1100" s="1">
        <v>6997055</v>
      </c>
      <c r="C1100" t="s">
        <v>1200</v>
      </c>
      <c r="D1100" t="s">
        <v>1208</v>
      </c>
      <c r="E1100" t="s">
        <v>10</v>
      </c>
    </row>
    <row r="1101" spans="1:5" hidden="1" outlineLevel="2">
      <c r="A1101" s="3" t="e">
        <f>(HYPERLINK("http://www.autodoc.ru/Web/price/art/2717LCLH3FV?analog=on","2717LCLH3FV"))*1</f>
        <v>#VALUE!</v>
      </c>
      <c r="B1101" s="1">
        <v>6997421</v>
      </c>
      <c r="C1101" t="s">
        <v>1200</v>
      </c>
      <c r="D1101" t="s">
        <v>1209</v>
      </c>
      <c r="E1101" t="s">
        <v>10</v>
      </c>
    </row>
    <row r="1102" spans="1:5" hidden="1" outlineLevel="2">
      <c r="A1102" s="3" t="e">
        <f>(HYPERLINK("http://www.autodoc.ru/Web/price/art/2717LCLH3RQO1H?analog=on","2717LCLH3RQO1H"))*1</f>
        <v>#VALUE!</v>
      </c>
      <c r="B1102" s="1">
        <v>6997337</v>
      </c>
      <c r="C1102" t="s">
        <v>1200</v>
      </c>
      <c r="D1102" t="s">
        <v>1210</v>
      </c>
      <c r="E1102" t="s">
        <v>10</v>
      </c>
    </row>
    <row r="1103" spans="1:5" hidden="1" outlineLevel="2">
      <c r="A1103" s="3" t="e">
        <f>(HYPERLINK("http://www.autodoc.ru/Web/price/art/2717LCLH5FD?analog=on","2717LCLH5FD"))*1</f>
        <v>#VALUE!</v>
      </c>
      <c r="B1103" s="1">
        <v>6997061</v>
      </c>
      <c r="C1103" t="s">
        <v>1200</v>
      </c>
      <c r="D1103" t="s">
        <v>1211</v>
      </c>
      <c r="E1103" t="s">
        <v>10</v>
      </c>
    </row>
    <row r="1104" spans="1:5" hidden="1" outlineLevel="2">
      <c r="A1104" s="3" t="e">
        <f>(HYPERLINK("http://www.autodoc.ru/Web/price/art/2717LCLH5RD?analog=on","2717LCLH5RD"))*1</f>
        <v>#VALUE!</v>
      </c>
      <c r="B1104" s="1">
        <v>6997065</v>
      </c>
      <c r="C1104" t="s">
        <v>1200</v>
      </c>
      <c r="D1104" t="s">
        <v>1212</v>
      </c>
      <c r="E1104" t="s">
        <v>10</v>
      </c>
    </row>
    <row r="1105" spans="1:5" hidden="1" outlineLevel="2">
      <c r="A1105" s="3" t="e">
        <f>(HYPERLINK("http://www.autodoc.ru/Web/price/art/2717LGNH3FD?analog=on","2717LGNH3FD"))*1</f>
        <v>#VALUE!</v>
      </c>
      <c r="B1105" s="1">
        <v>6997333</v>
      </c>
      <c r="C1105" t="s">
        <v>1200</v>
      </c>
      <c r="D1105" t="s">
        <v>1213</v>
      </c>
      <c r="E1105" t="s">
        <v>10</v>
      </c>
    </row>
    <row r="1106" spans="1:5" hidden="1" outlineLevel="2">
      <c r="A1106" s="3" t="e">
        <f>(HYPERLINK("http://www.autodoc.ru/Web/price/art/2717LGNH3FV?analog=on","2717LGNH3FV"))*1</f>
        <v>#VALUE!</v>
      </c>
      <c r="B1106" s="1">
        <v>6997423</v>
      </c>
      <c r="C1106" t="s">
        <v>1200</v>
      </c>
      <c r="D1106" t="s">
        <v>1214</v>
      </c>
      <c r="E1106" t="s">
        <v>10</v>
      </c>
    </row>
    <row r="1107" spans="1:5" hidden="1" outlineLevel="2">
      <c r="A1107" s="3" t="e">
        <f>(HYPERLINK("http://www.autodoc.ru/Web/price/art/2717LGNH3RQO1H?analog=on","2717LGNH3RQO1H"))*1</f>
        <v>#VALUE!</v>
      </c>
      <c r="B1107" s="1">
        <v>6997335</v>
      </c>
      <c r="C1107" t="s">
        <v>1215</v>
      </c>
      <c r="D1107" t="s">
        <v>1216</v>
      </c>
      <c r="E1107" t="s">
        <v>10</v>
      </c>
    </row>
    <row r="1108" spans="1:5" hidden="1" outlineLevel="2">
      <c r="A1108" s="3" t="e">
        <f>(HYPERLINK("http://www.autodoc.ru/Web/price/art/2717LGNH5FD?analog=on","2717LGNH5FD"))*1</f>
        <v>#VALUE!</v>
      </c>
      <c r="B1108" s="1">
        <v>6997162</v>
      </c>
      <c r="C1108" t="s">
        <v>1200</v>
      </c>
      <c r="D1108" t="s">
        <v>1217</v>
      </c>
      <c r="E1108" t="s">
        <v>10</v>
      </c>
    </row>
    <row r="1109" spans="1:5" hidden="1" outlineLevel="2">
      <c r="A1109" s="3" t="e">
        <f>(HYPERLINK("http://www.autodoc.ru/Web/price/art/2717LGNH5RD?analog=on","2717LGNH5RD"))*1</f>
        <v>#VALUE!</v>
      </c>
      <c r="B1109" s="1">
        <v>6997164</v>
      </c>
      <c r="C1109" t="s">
        <v>1200</v>
      </c>
      <c r="D1109" t="s">
        <v>1218</v>
      </c>
      <c r="E1109" t="s">
        <v>10</v>
      </c>
    </row>
    <row r="1110" spans="1:5" hidden="1" outlineLevel="2">
      <c r="A1110" s="3" t="e">
        <f>(HYPERLINK("http://www.autodoc.ru/Web/price/art/2717RCLH3FD?analog=on","2717RCLH3FD"))*1</f>
        <v>#VALUE!</v>
      </c>
      <c r="B1110" s="1">
        <v>6997054</v>
      </c>
      <c r="C1110" t="s">
        <v>1200</v>
      </c>
      <c r="D1110" t="s">
        <v>1219</v>
      </c>
      <c r="E1110" t="s">
        <v>10</v>
      </c>
    </row>
    <row r="1111" spans="1:5" hidden="1" outlineLevel="2">
      <c r="A1111" s="3" t="e">
        <f>(HYPERLINK("http://www.autodoc.ru/Web/price/art/2717RCLH3FV?analog=on","2717RCLH3FV"))*1</f>
        <v>#VALUE!</v>
      </c>
      <c r="B1111" s="1">
        <v>6997422</v>
      </c>
      <c r="C1111" t="s">
        <v>1200</v>
      </c>
      <c r="D1111" t="s">
        <v>1220</v>
      </c>
      <c r="E1111" t="s">
        <v>10</v>
      </c>
    </row>
    <row r="1112" spans="1:5" hidden="1" outlineLevel="2">
      <c r="A1112" s="3" t="e">
        <f>(HYPERLINK("http://www.autodoc.ru/Web/price/art/2717RCLH5FD?analog=on","2717RCLH5FD"))*1</f>
        <v>#VALUE!</v>
      </c>
      <c r="B1112" s="1">
        <v>6997060</v>
      </c>
      <c r="C1112" t="s">
        <v>1200</v>
      </c>
      <c r="D1112" t="s">
        <v>1221</v>
      </c>
      <c r="E1112" t="s">
        <v>10</v>
      </c>
    </row>
    <row r="1113" spans="1:5" hidden="1" outlineLevel="2">
      <c r="A1113" s="3" t="e">
        <f>(HYPERLINK("http://www.autodoc.ru/Web/price/art/2717RCLH5RD?analog=on","2717RCLH5RD"))*1</f>
        <v>#VALUE!</v>
      </c>
      <c r="B1113" s="1">
        <v>6997064</v>
      </c>
      <c r="C1113" t="s">
        <v>1200</v>
      </c>
      <c r="D1113" t="s">
        <v>1222</v>
      </c>
      <c r="E1113" t="s">
        <v>10</v>
      </c>
    </row>
    <row r="1114" spans="1:5" hidden="1" outlineLevel="2">
      <c r="A1114" s="3" t="e">
        <f>(HYPERLINK("http://www.autodoc.ru/Web/price/art/2717RGNH3FD?analog=on","2717RGNH3FD"))*1</f>
        <v>#VALUE!</v>
      </c>
      <c r="B1114" s="1">
        <v>6997334</v>
      </c>
      <c r="C1114" t="s">
        <v>1200</v>
      </c>
      <c r="D1114" t="s">
        <v>1223</v>
      </c>
      <c r="E1114" t="s">
        <v>10</v>
      </c>
    </row>
    <row r="1115" spans="1:5" hidden="1" outlineLevel="2">
      <c r="A1115" s="3" t="e">
        <f>(HYPERLINK("http://www.autodoc.ru/Web/price/art/2717RGNH3FV?analog=on","2717RGNH3FV"))*1</f>
        <v>#VALUE!</v>
      </c>
      <c r="B1115" s="1">
        <v>6997424</v>
      </c>
      <c r="C1115" t="s">
        <v>1200</v>
      </c>
      <c r="D1115" t="s">
        <v>1224</v>
      </c>
      <c r="E1115" t="s">
        <v>10</v>
      </c>
    </row>
    <row r="1116" spans="1:5" hidden="1" outlineLevel="2">
      <c r="A1116" s="3" t="e">
        <f>(HYPERLINK("http://www.autodoc.ru/Web/price/art/2717RGNH3RQ?analog=on","2717RGNH3RQ"))*1</f>
        <v>#VALUE!</v>
      </c>
      <c r="B1116" s="1">
        <v>6997382</v>
      </c>
      <c r="C1116" t="s">
        <v>1200</v>
      </c>
      <c r="D1116" t="s">
        <v>1225</v>
      </c>
      <c r="E1116" t="s">
        <v>10</v>
      </c>
    </row>
    <row r="1117" spans="1:5" hidden="1" outlineLevel="2">
      <c r="A1117" s="3" t="e">
        <f>(HYPERLINK("http://www.autodoc.ru/Web/price/art/2717RGNH5FD?analog=on","2717RGNH5FD"))*1</f>
        <v>#VALUE!</v>
      </c>
      <c r="B1117" s="1">
        <v>6997161</v>
      </c>
      <c r="C1117" t="s">
        <v>1200</v>
      </c>
      <c r="D1117" t="s">
        <v>1226</v>
      </c>
      <c r="E1117" t="s">
        <v>10</v>
      </c>
    </row>
    <row r="1118" spans="1:5" hidden="1" outlineLevel="2">
      <c r="A1118" s="3" t="e">
        <f>(HYPERLINK("http://www.autodoc.ru/Web/price/art/2717RGNH5RD?analog=on","2717RGNH5RD"))*1</f>
        <v>#VALUE!</v>
      </c>
      <c r="B1118" s="1">
        <v>6997163</v>
      </c>
      <c r="C1118" t="s">
        <v>1200</v>
      </c>
      <c r="D1118" t="s">
        <v>1227</v>
      </c>
      <c r="E1118" t="s">
        <v>10</v>
      </c>
    </row>
    <row r="1119" spans="1:5" hidden="1" outlineLevel="1">
      <c r="A1119" s="2">
        <v>0</v>
      </c>
      <c r="B1119" s="26" t="s">
        <v>1228</v>
      </c>
      <c r="C1119" s="27">
        <v>0</v>
      </c>
      <c r="D1119" s="27">
        <v>0</v>
      </c>
      <c r="E1119" s="27">
        <v>0</v>
      </c>
    </row>
    <row r="1120" spans="1:5" hidden="1" outlineLevel="2">
      <c r="A1120" s="3" t="e">
        <f>(HYPERLINK("http://www.autodoc.ru/Web/price/art/2724ACC1P?analog=on","2724ACC1P"))*1</f>
        <v>#VALUE!</v>
      </c>
      <c r="B1120" s="1">
        <v>6960770</v>
      </c>
      <c r="C1120" t="s">
        <v>753</v>
      </c>
      <c r="D1120" t="s">
        <v>1229</v>
      </c>
      <c r="E1120" t="s">
        <v>8</v>
      </c>
    </row>
    <row r="1121" spans="1:5" hidden="1" outlineLevel="2">
      <c r="A1121" s="3" t="e">
        <f>(HYPERLINK("http://www.autodoc.ru/Web/price/art/2724ACL?analog=on","2724ACL"))*1</f>
        <v>#VALUE!</v>
      </c>
      <c r="B1121" s="1">
        <v>6961485</v>
      </c>
      <c r="C1121" t="s">
        <v>1230</v>
      </c>
      <c r="D1121" t="s">
        <v>1231</v>
      </c>
      <c r="E1121" t="s">
        <v>8</v>
      </c>
    </row>
    <row r="1122" spans="1:5" hidden="1" outlineLevel="2">
      <c r="A1122" s="3" t="e">
        <f>(HYPERLINK("http://www.autodoc.ru/Web/price/art/2724ACL1P?analog=on","2724ACL1P"))*1</f>
        <v>#VALUE!</v>
      </c>
      <c r="B1122" s="1">
        <v>6965505</v>
      </c>
      <c r="C1122" t="s">
        <v>1173</v>
      </c>
      <c r="D1122" t="s">
        <v>1232</v>
      </c>
      <c r="E1122" t="s">
        <v>8</v>
      </c>
    </row>
    <row r="1123" spans="1:5" hidden="1" outlineLevel="2">
      <c r="A1123" s="3" t="e">
        <f>(HYPERLINK("http://www.autodoc.ru/Web/price/art/2724AGN?analog=on","2724AGN"))*1</f>
        <v>#VALUE!</v>
      </c>
      <c r="B1123" s="1">
        <v>6961486</v>
      </c>
      <c r="C1123" t="s">
        <v>1230</v>
      </c>
      <c r="D1123" t="s">
        <v>1233</v>
      </c>
      <c r="E1123" t="s">
        <v>8</v>
      </c>
    </row>
    <row r="1124" spans="1:5" hidden="1" outlineLevel="2">
      <c r="A1124" s="3" t="e">
        <f>(HYPERLINK("http://www.autodoc.ru/Web/price/art/2724AGS1P?analog=on","2724AGS1P"))*1</f>
        <v>#VALUE!</v>
      </c>
      <c r="B1124" s="1">
        <v>6965506</v>
      </c>
      <c r="C1124" t="s">
        <v>1173</v>
      </c>
      <c r="D1124" t="s">
        <v>1234</v>
      </c>
      <c r="E1124" t="s">
        <v>8</v>
      </c>
    </row>
    <row r="1125" spans="1:5" hidden="1" outlineLevel="2">
      <c r="A1125" s="3" t="e">
        <f>(HYPERLINK("http://www.autodoc.ru/Web/price/art/2724AGSBL1P?analog=on","2724AGSBL1P"))*1</f>
        <v>#VALUE!</v>
      </c>
      <c r="B1125" s="1">
        <v>6965508</v>
      </c>
      <c r="C1125" t="s">
        <v>1173</v>
      </c>
      <c r="D1125" t="s">
        <v>1235</v>
      </c>
      <c r="E1125" t="s">
        <v>8</v>
      </c>
    </row>
    <row r="1126" spans="1:5" hidden="1" outlineLevel="2">
      <c r="A1126" s="3" t="e">
        <f>(HYPERLINK("http://www.autodoc.ru/Web/price/art/2724AGSGN1P?analog=on","2724AGSGN1P"))*1</f>
        <v>#VALUE!</v>
      </c>
      <c r="B1126" s="1">
        <v>6965507</v>
      </c>
      <c r="C1126" t="s">
        <v>1173</v>
      </c>
      <c r="D1126" t="s">
        <v>1236</v>
      </c>
      <c r="E1126" t="s">
        <v>8</v>
      </c>
    </row>
    <row r="1127" spans="1:5" hidden="1" outlineLevel="2">
      <c r="A1127" s="3" t="e">
        <f>(HYPERLINK("http://www.autodoc.ru/Web/price/art/2724AGSM2P?analog=on","2724AGSM2P"))*1</f>
        <v>#VALUE!</v>
      </c>
      <c r="B1127" s="1">
        <v>6961867</v>
      </c>
      <c r="C1127" t="s">
        <v>753</v>
      </c>
      <c r="D1127" t="s">
        <v>1237</v>
      </c>
      <c r="E1127" t="s">
        <v>8</v>
      </c>
    </row>
    <row r="1128" spans="1:5" hidden="1" outlineLevel="2">
      <c r="A1128" s="3" t="e">
        <f>(HYPERLINK("http://www.autodoc.ru/Web/price/art/2724ASMV?analog=on","2724ASMV"))*1</f>
        <v>#VALUE!</v>
      </c>
      <c r="B1128" s="1">
        <v>6100453</v>
      </c>
      <c r="C1128" t="s">
        <v>19</v>
      </c>
      <c r="D1128" t="s">
        <v>1238</v>
      </c>
      <c r="E1128" t="s">
        <v>21</v>
      </c>
    </row>
    <row r="1129" spans="1:5" hidden="1" outlineLevel="2">
      <c r="A1129" s="3" t="e">
        <f>(HYPERLINK("http://www.autodoc.ru/Web/price/art/2724BCLV?analog=on","2724BCLV"))*1</f>
        <v>#VALUE!</v>
      </c>
      <c r="B1129" s="1">
        <v>6980272</v>
      </c>
      <c r="C1129" t="s">
        <v>1230</v>
      </c>
      <c r="D1129" t="s">
        <v>1239</v>
      </c>
      <c r="E1129" t="s">
        <v>23</v>
      </c>
    </row>
    <row r="1130" spans="1:5" hidden="1" outlineLevel="2">
      <c r="A1130" s="3" t="e">
        <f>(HYPERLINK("http://www.autodoc.ru/Web/price/art/2724BCLVLU?analog=on","2724BCLVLU"))*1</f>
        <v>#VALUE!</v>
      </c>
      <c r="B1130" s="1">
        <v>6998712</v>
      </c>
      <c r="C1130" t="s">
        <v>1230</v>
      </c>
      <c r="D1130" t="s">
        <v>1240</v>
      </c>
      <c r="E1130" t="s">
        <v>23</v>
      </c>
    </row>
    <row r="1131" spans="1:5" hidden="1" outlineLevel="2">
      <c r="A1131" s="3" t="e">
        <f>(HYPERLINK("http://www.autodoc.ru/Web/price/art/2724BCLVRU?analog=on","2724BCLVRU"))*1</f>
        <v>#VALUE!</v>
      </c>
      <c r="B1131" s="1">
        <v>6998713</v>
      </c>
      <c r="C1131" t="s">
        <v>1230</v>
      </c>
      <c r="D1131" t="s">
        <v>1241</v>
      </c>
      <c r="E1131" t="s">
        <v>23</v>
      </c>
    </row>
    <row r="1132" spans="1:5" hidden="1" outlineLevel="2">
      <c r="A1132" s="3" t="e">
        <f>(HYPERLINK("http://www.autodoc.ru/Web/price/art/2724BGNV?analog=on","2724BGNV"))*1</f>
        <v>#VALUE!</v>
      </c>
      <c r="B1132" s="1">
        <v>6998691</v>
      </c>
      <c r="C1132" t="s">
        <v>1230</v>
      </c>
      <c r="D1132" t="s">
        <v>1242</v>
      </c>
      <c r="E1132" t="s">
        <v>23</v>
      </c>
    </row>
    <row r="1133" spans="1:5" hidden="1" outlineLevel="2">
      <c r="A1133" s="3" t="e">
        <f>(HYPERLINK("http://www.autodoc.ru/Web/price/art/2724BGNVL?analog=on","2724BGNVL"))*1</f>
        <v>#VALUE!</v>
      </c>
      <c r="B1133" s="1">
        <v>6998714</v>
      </c>
      <c r="C1133" t="s">
        <v>1230</v>
      </c>
      <c r="D1133" t="s">
        <v>1243</v>
      </c>
      <c r="E1133" t="s">
        <v>23</v>
      </c>
    </row>
    <row r="1134" spans="1:5" hidden="1" outlineLevel="2">
      <c r="A1134" s="3" t="e">
        <f>(HYPERLINK("http://www.autodoc.ru/Web/price/art/2724BGNVLU?analog=on","2724BGNVLU"))*1</f>
        <v>#VALUE!</v>
      </c>
      <c r="B1134" s="1">
        <v>6998878</v>
      </c>
      <c r="C1134" t="s">
        <v>1230</v>
      </c>
      <c r="D1134" t="s">
        <v>1244</v>
      </c>
      <c r="E1134" t="s">
        <v>23</v>
      </c>
    </row>
    <row r="1135" spans="1:5" hidden="1" outlineLevel="2">
      <c r="A1135" s="3" t="e">
        <f>(HYPERLINK("http://www.autodoc.ru/Web/price/art/2724BGNVR?analog=on","2724BGNVR"))*1</f>
        <v>#VALUE!</v>
      </c>
      <c r="B1135" s="1">
        <v>6998715</v>
      </c>
      <c r="C1135" t="s">
        <v>1230</v>
      </c>
      <c r="D1135" t="s">
        <v>1245</v>
      </c>
      <c r="E1135" t="s">
        <v>23</v>
      </c>
    </row>
    <row r="1136" spans="1:5" hidden="1" outlineLevel="2">
      <c r="A1136" s="3" t="e">
        <f>(HYPERLINK("http://www.autodoc.ru/Web/price/art/2724BGNVRU?analog=on","2724BGNVRU"))*1</f>
        <v>#VALUE!</v>
      </c>
      <c r="B1136" s="1">
        <v>6998879</v>
      </c>
      <c r="C1136" t="s">
        <v>1230</v>
      </c>
      <c r="D1136" t="s">
        <v>1246</v>
      </c>
      <c r="E1136" t="s">
        <v>23</v>
      </c>
    </row>
    <row r="1137" spans="1:5" hidden="1" outlineLevel="2">
      <c r="A1137" s="3" t="e">
        <f>(HYPERLINK("http://www.autodoc.ru/Web/price/art/2724LCLV2FD?analog=on","2724LCLV2FD"))*1</f>
        <v>#VALUE!</v>
      </c>
      <c r="B1137" s="1">
        <v>6994347</v>
      </c>
      <c r="C1137" t="s">
        <v>1230</v>
      </c>
      <c r="D1137" t="s">
        <v>1247</v>
      </c>
      <c r="E1137" t="s">
        <v>10</v>
      </c>
    </row>
    <row r="1138" spans="1:5" hidden="1" outlineLevel="2">
      <c r="A1138" s="3" t="e">
        <f>(HYPERLINK("http://www.autodoc.ru/Web/price/art/2724LCLV2MQ?analog=on","2724LCLV2MQ"))*1</f>
        <v>#VALUE!</v>
      </c>
      <c r="B1138" s="1">
        <v>6900111</v>
      </c>
      <c r="C1138" t="s">
        <v>1230</v>
      </c>
      <c r="D1138" t="s">
        <v>1248</v>
      </c>
      <c r="E1138" t="s">
        <v>10</v>
      </c>
    </row>
    <row r="1139" spans="1:5" hidden="1" outlineLevel="2">
      <c r="A1139" s="3" t="e">
        <f>(HYPERLINK("http://www.autodoc.ru/Web/price/art/2724LCLV2MQO?analog=on","2724LCLV2MQO"))*1</f>
        <v>#VALUE!</v>
      </c>
      <c r="B1139" s="1">
        <v>6900121</v>
      </c>
      <c r="C1139" t="s">
        <v>1230</v>
      </c>
      <c r="D1139" t="s">
        <v>1249</v>
      </c>
      <c r="E1139" t="s">
        <v>10</v>
      </c>
    </row>
    <row r="1140" spans="1:5" hidden="1" outlineLevel="2">
      <c r="A1140" s="3" t="e">
        <f>(HYPERLINK("http://www.autodoc.ru/Web/price/art/2724LCLV2RQO?analog=on","2724LCLV2RQO"))*1</f>
        <v>#VALUE!</v>
      </c>
      <c r="B1140" s="1">
        <v>6900324</v>
      </c>
      <c r="C1140" t="s">
        <v>1230</v>
      </c>
      <c r="D1140" t="s">
        <v>1250</v>
      </c>
      <c r="E1140" t="s">
        <v>10</v>
      </c>
    </row>
    <row r="1141" spans="1:5" hidden="1" outlineLevel="2">
      <c r="A1141" s="3" t="e">
        <f>(HYPERLINK("http://www.autodoc.ru/Web/price/art/2724LGNV2FD?analog=on","2724LGNV2FD"))*1</f>
        <v>#VALUE!</v>
      </c>
      <c r="B1141" s="1">
        <v>6994349</v>
      </c>
      <c r="C1141" t="s">
        <v>1230</v>
      </c>
      <c r="D1141" t="s">
        <v>1251</v>
      </c>
      <c r="E1141" t="s">
        <v>10</v>
      </c>
    </row>
    <row r="1142" spans="1:5" hidden="1" outlineLevel="2">
      <c r="A1142" s="3" t="e">
        <f>(HYPERLINK("http://www.autodoc.ru/Web/price/art/2724LGNV2MQ?analog=on","2724LGNV2MQ"))*1</f>
        <v>#VALUE!</v>
      </c>
      <c r="B1142" s="1">
        <v>6996160</v>
      </c>
      <c r="C1142" t="s">
        <v>1230</v>
      </c>
      <c r="D1142" t="s">
        <v>1252</v>
      </c>
      <c r="E1142" t="s">
        <v>10</v>
      </c>
    </row>
    <row r="1143" spans="1:5" hidden="1" outlineLevel="2">
      <c r="A1143" s="3" t="e">
        <f>(HYPERLINK("http://www.autodoc.ru/Web/price/art/2724LGNV2MQO?analog=on","2724LGNV2MQO"))*1</f>
        <v>#VALUE!</v>
      </c>
      <c r="B1143" s="1">
        <v>6995188</v>
      </c>
      <c r="C1143" t="s">
        <v>1230</v>
      </c>
      <c r="D1143" t="s">
        <v>1253</v>
      </c>
      <c r="E1143" t="s">
        <v>10</v>
      </c>
    </row>
    <row r="1144" spans="1:5" hidden="1" outlineLevel="2">
      <c r="A1144" s="3" t="e">
        <f>(HYPERLINK("http://www.autodoc.ru/Web/price/art/2724LGNV2RQO?analog=on","2724LGNV2RQO"))*1</f>
        <v>#VALUE!</v>
      </c>
      <c r="B1144" s="1">
        <v>6995187</v>
      </c>
      <c r="C1144" t="s">
        <v>1230</v>
      </c>
      <c r="D1144" t="s">
        <v>1254</v>
      </c>
      <c r="E1144" t="s">
        <v>10</v>
      </c>
    </row>
    <row r="1145" spans="1:5" hidden="1" outlineLevel="2">
      <c r="A1145" s="3" t="e">
        <f>(HYPERLINK("http://www.autodoc.ru/Web/price/art/2724RCLV2FD?analog=on","2724RCLV2FD"))*1</f>
        <v>#VALUE!</v>
      </c>
      <c r="B1145" s="1">
        <v>6994348</v>
      </c>
      <c r="C1145" t="s">
        <v>1230</v>
      </c>
      <c r="D1145" t="s">
        <v>1255</v>
      </c>
      <c r="E1145" t="s">
        <v>10</v>
      </c>
    </row>
    <row r="1146" spans="1:5" hidden="1" outlineLevel="2">
      <c r="A1146" s="3" t="e">
        <f>(HYPERLINK("http://www.autodoc.ru/Web/price/art/2724RCLV2MQ?analog=on","2724RCLV2MQ"))*1</f>
        <v>#VALUE!</v>
      </c>
      <c r="B1146" s="1">
        <v>6900113</v>
      </c>
      <c r="C1146" t="s">
        <v>1230</v>
      </c>
      <c r="D1146" t="s">
        <v>1256</v>
      </c>
      <c r="E1146" t="s">
        <v>10</v>
      </c>
    </row>
    <row r="1147" spans="1:5" hidden="1" outlineLevel="2">
      <c r="A1147" s="3" t="e">
        <f>(HYPERLINK("http://www.autodoc.ru/Web/price/art/2724RCLV2MQO?analog=on","2724RCLV2MQO"))*1</f>
        <v>#VALUE!</v>
      </c>
      <c r="B1147" s="1">
        <v>6900123</v>
      </c>
      <c r="C1147" t="s">
        <v>1230</v>
      </c>
      <c r="D1147" t="s">
        <v>1257</v>
      </c>
      <c r="E1147" t="s">
        <v>10</v>
      </c>
    </row>
    <row r="1148" spans="1:5" hidden="1" outlineLevel="2">
      <c r="A1148" s="3" t="e">
        <f>(HYPERLINK("http://www.autodoc.ru/Web/price/art/2724RCLV2RQO?analog=on","2724RCLV2RQO"))*1</f>
        <v>#VALUE!</v>
      </c>
      <c r="B1148" s="1">
        <v>6900341</v>
      </c>
      <c r="C1148" t="s">
        <v>1230</v>
      </c>
      <c r="D1148" t="s">
        <v>1258</v>
      </c>
      <c r="E1148" t="s">
        <v>10</v>
      </c>
    </row>
    <row r="1149" spans="1:5" hidden="1" outlineLevel="2">
      <c r="A1149" s="3" t="e">
        <f>(HYPERLINK("http://www.autodoc.ru/Web/price/art/2724RGNV2FD?analog=on","2724RGNV2FD"))*1</f>
        <v>#VALUE!</v>
      </c>
      <c r="B1149" s="1">
        <v>6994350</v>
      </c>
      <c r="C1149" t="s">
        <v>1230</v>
      </c>
      <c r="D1149" t="s">
        <v>1259</v>
      </c>
      <c r="E1149" t="s">
        <v>10</v>
      </c>
    </row>
    <row r="1150" spans="1:5" hidden="1" outlineLevel="2">
      <c r="A1150" s="3" t="e">
        <f>(HYPERLINK("http://www.autodoc.ru/Web/price/art/2724RGNV2MQ?analog=on","2724RGNV2MQ"))*1</f>
        <v>#VALUE!</v>
      </c>
      <c r="B1150" s="1">
        <v>6996161</v>
      </c>
      <c r="C1150" t="s">
        <v>1230</v>
      </c>
      <c r="D1150" t="s">
        <v>1260</v>
      </c>
      <c r="E1150" t="s">
        <v>10</v>
      </c>
    </row>
    <row r="1151" spans="1:5" hidden="1" outlineLevel="2">
      <c r="A1151" s="3" t="e">
        <f>(HYPERLINK("http://www.autodoc.ru/Web/price/art/2724RGNV2MQO?analog=on","2724RGNV2MQO"))*1</f>
        <v>#VALUE!</v>
      </c>
      <c r="B1151" s="1">
        <v>6995189</v>
      </c>
      <c r="C1151" t="s">
        <v>1230</v>
      </c>
      <c r="D1151" t="s">
        <v>1261</v>
      </c>
      <c r="E1151" t="s">
        <v>10</v>
      </c>
    </row>
    <row r="1152" spans="1:5" hidden="1" outlineLevel="2">
      <c r="A1152" s="3" t="e">
        <f>(HYPERLINK("http://www.autodoc.ru/Web/price/art/2724RGNV2RQO?analog=on","2724RGNV2RQO"))*1</f>
        <v>#VALUE!</v>
      </c>
      <c r="B1152" s="1">
        <v>6995190</v>
      </c>
      <c r="C1152" t="s">
        <v>1230</v>
      </c>
      <c r="D1152" t="s">
        <v>1262</v>
      </c>
      <c r="E1152" t="s">
        <v>10</v>
      </c>
    </row>
    <row r="1153" spans="1:5" hidden="1" outlineLevel="2">
      <c r="A1153" s="3" t="e">
        <f>(HYPERLINK("http://www.autodoc.ru/Web/price/art/2724RGNV3RQO?analog=on","2724RGNV3RQO"))*1</f>
        <v>#VALUE!</v>
      </c>
      <c r="B1153" s="1">
        <v>6900342</v>
      </c>
      <c r="C1153" t="s">
        <v>1230</v>
      </c>
      <c r="D1153" t="s">
        <v>1263</v>
      </c>
      <c r="E1153" t="s">
        <v>10</v>
      </c>
    </row>
    <row r="1154" spans="1:5" hidden="1" outlineLevel="2">
      <c r="A1154" s="3" t="e">
        <f>(HYPERLINK("http://www.autodoc.ru/Web/price/art/2724RGNV4RDW?analog=on","2724RGNV4RDW"))*1</f>
        <v>#VALUE!</v>
      </c>
      <c r="B1154" s="1">
        <v>6900367</v>
      </c>
      <c r="C1154" t="s">
        <v>1264</v>
      </c>
      <c r="D1154" t="s">
        <v>1265</v>
      </c>
      <c r="E1154" t="s">
        <v>10</v>
      </c>
    </row>
    <row r="1155" spans="1:5" hidden="1" outlineLevel="1">
      <c r="A1155" s="2">
        <v>0</v>
      </c>
      <c r="B1155" s="26" t="s">
        <v>1266</v>
      </c>
      <c r="C1155" s="27">
        <v>0</v>
      </c>
      <c r="D1155" s="27">
        <v>0</v>
      </c>
      <c r="E1155" s="27">
        <v>0</v>
      </c>
    </row>
    <row r="1156" spans="1:5" hidden="1" outlineLevel="2">
      <c r="A1156" s="3" t="e">
        <f>(HYPERLINK("http://www.autodoc.ru/Web/price/art/2741AGSVZ1P?analog=on","2741AGSVZ1P"))*1</f>
        <v>#VALUE!</v>
      </c>
      <c r="B1156" s="1">
        <v>6961505</v>
      </c>
      <c r="C1156" t="s">
        <v>366</v>
      </c>
      <c r="D1156" t="s">
        <v>1267</v>
      </c>
      <c r="E1156" t="s">
        <v>8</v>
      </c>
    </row>
    <row r="1157" spans="1:5" hidden="1" outlineLevel="2">
      <c r="A1157" s="3" t="e">
        <f>(HYPERLINK("http://www.autodoc.ru/Web/price/art/2741AGSVZ?analog=on","2741AGSVZ"))*1</f>
        <v>#VALUE!</v>
      </c>
      <c r="B1157" s="1">
        <v>6962407</v>
      </c>
      <c r="C1157" t="s">
        <v>366</v>
      </c>
      <c r="D1157" t="s">
        <v>1268</v>
      </c>
      <c r="E1157" t="s">
        <v>8</v>
      </c>
    </row>
    <row r="1158" spans="1:5" hidden="1" outlineLevel="2">
      <c r="A1158" s="3" t="e">
        <f>(HYPERLINK("http://www.autodoc.ru/Web/price/art/2741AGSMVZ2P?analog=on","2741AGSMVZ2P"))*1</f>
        <v>#VALUE!</v>
      </c>
      <c r="B1158" s="1">
        <v>6961506</v>
      </c>
      <c r="C1158" t="s">
        <v>366</v>
      </c>
      <c r="D1158" t="s">
        <v>1269</v>
      </c>
      <c r="E1158" t="s">
        <v>8</v>
      </c>
    </row>
    <row r="1159" spans="1:5" hidden="1" outlineLevel="2">
      <c r="A1159" s="3" t="e">
        <f>(HYPERLINK("http://www.autodoc.ru/Web/price/art/2741BGSV?analog=on","2741BGSV"))*1</f>
        <v>#VALUE!</v>
      </c>
      <c r="B1159" s="1">
        <v>6901801</v>
      </c>
      <c r="C1159" t="s">
        <v>366</v>
      </c>
      <c r="D1159" t="s">
        <v>1270</v>
      </c>
      <c r="E1159" t="s">
        <v>23</v>
      </c>
    </row>
    <row r="1160" spans="1:5" hidden="1" outlineLevel="2">
      <c r="A1160" s="3" t="e">
        <f>(HYPERLINK("http://www.autodoc.ru/Web/price/art/2741BGSVL?analog=on","2741BGSVL"))*1</f>
        <v>#VALUE!</v>
      </c>
      <c r="B1160" s="1">
        <v>6901802</v>
      </c>
      <c r="C1160" t="s">
        <v>366</v>
      </c>
      <c r="D1160" t="s">
        <v>1271</v>
      </c>
      <c r="E1160" t="s">
        <v>23</v>
      </c>
    </row>
    <row r="1161" spans="1:5" hidden="1" outlineLevel="2">
      <c r="A1161" s="3" t="e">
        <f>(HYPERLINK("http://www.autodoc.ru/Web/price/art/2741BGSVRU?analog=on","2741BGSVRU"))*1</f>
        <v>#VALUE!</v>
      </c>
      <c r="B1161" s="1">
        <v>6901803</v>
      </c>
      <c r="C1161" t="s">
        <v>366</v>
      </c>
      <c r="D1161" t="s">
        <v>1272</v>
      </c>
      <c r="E1161" t="s">
        <v>23</v>
      </c>
    </row>
    <row r="1162" spans="1:5" hidden="1" outlineLevel="2">
      <c r="A1162" s="3" t="e">
        <f>(HYPERLINK("http://www.autodoc.ru/Web/price/art/2741RGSV3FD?analog=on","2741RGSV3FD"))*1</f>
        <v>#VALUE!</v>
      </c>
      <c r="B1162" s="1">
        <v>6901335</v>
      </c>
      <c r="C1162" t="s">
        <v>366</v>
      </c>
      <c r="D1162" t="s">
        <v>1273</v>
      </c>
      <c r="E1162" t="s">
        <v>10</v>
      </c>
    </row>
    <row r="1163" spans="1:5" hidden="1" outlineLevel="2">
      <c r="A1163" s="3" t="e">
        <f>(HYPERLINK("http://www.autodoc.ru/Web/price/art/2741LGSV3FD?analog=on","2741LGSV3FD"))*1</f>
        <v>#VALUE!</v>
      </c>
      <c r="B1163" s="1">
        <v>6901336</v>
      </c>
      <c r="C1163" t="s">
        <v>366</v>
      </c>
      <c r="D1163" t="s">
        <v>1274</v>
      </c>
      <c r="E1163" t="s">
        <v>8</v>
      </c>
    </row>
    <row r="1164" spans="1:5" hidden="1" outlineLevel="1">
      <c r="A1164" s="2">
        <v>0</v>
      </c>
      <c r="B1164" s="26" t="s">
        <v>1275</v>
      </c>
      <c r="C1164" s="27">
        <v>0</v>
      </c>
      <c r="D1164" s="27">
        <v>0</v>
      </c>
      <c r="E1164" s="27">
        <v>0</v>
      </c>
    </row>
    <row r="1165" spans="1:5" hidden="1" outlineLevel="2">
      <c r="A1165" s="3" t="e">
        <f>(HYPERLINK("http://www.autodoc.ru/Web/price/art/2715ABZ1C?analog=on","2715ABZ1C"))*1</f>
        <v>#VALUE!</v>
      </c>
      <c r="B1165" s="1">
        <v>6965409</v>
      </c>
      <c r="C1165" t="s">
        <v>11</v>
      </c>
      <c r="D1165" t="s">
        <v>1276</v>
      </c>
      <c r="E1165" t="s">
        <v>8</v>
      </c>
    </row>
    <row r="1166" spans="1:5" hidden="1" outlineLevel="2">
      <c r="A1166" s="3" t="e">
        <f>(HYPERLINK("http://www.autodoc.ru/Web/price/art/2715ACL1C?analog=on","2715ACL1C"))*1</f>
        <v>#VALUE!</v>
      </c>
      <c r="B1166" s="1">
        <v>6965406</v>
      </c>
      <c r="C1166" t="s">
        <v>11</v>
      </c>
      <c r="D1166" t="s">
        <v>1277</v>
      </c>
      <c r="E1166" t="s">
        <v>8</v>
      </c>
    </row>
    <row r="1167" spans="1:5" hidden="1" outlineLevel="2">
      <c r="A1167" s="3" t="e">
        <f>(HYPERLINK("http://www.autodoc.ru/Web/price/art/2715AGN1C?analog=on","2715AGN1C"))*1</f>
        <v>#VALUE!</v>
      </c>
      <c r="B1167" s="1">
        <v>6965416</v>
      </c>
      <c r="C1167" t="s">
        <v>11</v>
      </c>
      <c r="D1167" t="s">
        <v>1278</v>
      </c>
      <c r="E1167" t="s">
        <v>8</v>
      </c>
    </row>
    <row r="1168" spans="1:5" hidden="1" outlineLevel="2">
      <c r="A1168" s="3" t="e">
        <f>(HYPERLINK("http://www.autodoc.ru/Web/price/art/2715ASMH?analog=on","2715ASMH"))*1</f>
        <v>#VALUE!</v>
      </c>
      <c r="B1168" s="1">
        <v>6100027</v>
      </c>
      <c r="C1168" t="s">
        <v>19</v>
      </c>
      <c r="D1168" t="s">
        <v>1279</v>
      </c>
      <c r="E1168" t="s">
        <v>21</v>
      </c>
    </row>
    <row r="1169" spans="1:5" hidden="1" outlineLevel="2">
      <c r="A1169" s="3" t="e">
        <f>(HYPERLINK("http://www.autodoc.ru/Web/price/art/2715BCLE?analog=on","2715BCLE"))*1</f>
        <v>#VALUE!</v>
      </c>
      <c r="B1169" s="1">
        <v>6998705</v>
      </c>
      <c r="C1169" t="s">
        <v>11</v>
      </c>
      <c r="D1169" t="s">
        <v>1280</v>
      </c>
      <c r="E1169" t="s">
        <v>23</v>
      </c>
    </row>
    <row r="1170" spans="1:5" hidden="1" outlineLevel="2">
      <c r="A1170" s="3" t="e">
        <f>(HYPERLINK("http://www.autodoc.ru/Web/price/art/2715BCLH?analog=on","2715BCLH"))*1</f>
        <v>#VALUE!</v>
      </c>
      <c r="B1170" s="1">
        <v>6997439</v>
      </c>
      <c r="C1170" t="s">
        <v>11</v>
      </c>
      <c r="D1170" t="s">
        <v>1281</v>
      </c>
      <c r="E1170" t="s">
        <v>23</v>
      </c>
    </row>
    <row r="1171" spans="1:5" hidden="1" outlineLevel="2">
      <c r="A1171" s="3" t="e">
        <f>(HYPERLINK("http://www.autodoc.ru/Web/price/art/2715BGNH?analog=on","2715BGNH"))*1</f>
        <v>#VALUE!</v>
      </c>
      <c r="B1171" s="1">
        <v>6997170</v>
      </c>
      <c r="C1171" t="s">
        <v>11</v>
      </c>
      <c r="D1171" t="s">
        <v>1282</v>
      </c>
      <c r="E1171" t="s">
        <v>23</v>
      </c>
    </row>
    <row r="1172" spans="1:5" hidden="1" outlineLevel="2">
      <c r="A1172" s="3" t="e">
        <f>(HYPERLINK("http://www.autodoc.ru/Web/price/art/2715BSMH?analog=on","2715BSMH"))*1</f>
        <v>#VALUE!</v>
      </c>
      <c r="B1172" s="1">
        <v>6100028</v>
      </c>
      <c r="C1172" t="s">
        <v>19</v>
      </c>
      <c r="D1172" t="s">
        <v>1283</v>
      </c>
      <c r="E1172" t="s">
        <v>21</v>
      </c>
    </row>
    <row r="1173" spans="1:5" hidden="1" outlineLevel="2">
      <c r="A1173" s="3" t="e">
        <f>(HYPERLINK("http://www.autodoc.ru/Web/price/art/2715LCLH5FD?analog=on","2715LCLH5FD"))*1</f>
        <v>#VALUE!</v>
      </c>
      <c r="B1173" s="1">
        <v>6997341</v>
      </c>
      <c r="C1173" t="s">
        <v>11</v>
      </c>
      <c r="D1173" t="s">
        <v>1284</v>
      </c>
      <c r="E1173" t="s">
        <v>10</v>
      </c>
    </row>
    <row r="1174" spans="1:5" hidden="1" outlineLevel="2">
      <c r="A1174" s="3" t="e">
        <f>(HYPERLINK("http://www.autodoc.ru/Web/price/art/2715LCLH5RV?analog=on","2715LCLH5RV"))*1</f>
        <v>#VALUE!</v>
      </c>
      <c r="B1174" s="1">
        <v>6992803</v>
      </c>
      <c r="C1174" t="s">
        <v>11</v>
      </c>
      <c r="D1174" t="s">
        <v>1285</v>
      </c>
      <c r="E1174" t="s">
        <v>10</v>
      </c>
    </row>
    <row r="1175" spans="1:5" hidden="1" outlineLevel="2">
      <c r="A1175" s="3" t="e">
        <f>(HYPERLINK("http://www.autodoc.ru/Web/price/art/2715LGNH5FD?analog=on","2715LGNH5FD"))*1</f>
        <v>#VALUE!</v>
      </c>
      <c r="B1175" s="1">
        <v>6997172</v>
      </c>
      <c r="C1175" t="s">
        <v>11</v>
      </c>
      <c r="D1175" t="s">
        <v>1286</v>
      </c>
      <c r="E1175" t="s">
        <v>10</v>
      </c>
    </row>
    <row r="1176" spans="1:5" hidden="1" outlineLevel="2">
      <c r="A1176" s="3" t="e">
        <f>(HYPERLINK("http://www.autodoc.ru/Web/price/art/2715LGNH5RD?analog=on","2715LGNH5RD"))*1</f>
        <v>#VALUE!</v>
      </c>
      <c r="B1176" s="1">
        <v>6996658</v>
      </c>
      <c r="C1176" t="s">
        <v>724</v>
      </c>
      <c r="D1176" t="s">
        <v>1287</v>
      </c>
      <c r="E1176" t="s">
        <v>10</v>
      </c>
    </row>
    <row r="1177" spans="1:5" hidden="1" outlineLevel="2">
      <c r="A1177" s="3" t="e">
        <f>(HYPERLINK("http://www.autodoc.ru/Web/price/art/2715LGNH5RV?analog=on","2715LGNH5RV"))*1</f>
        <v>#VALUE!</v>
      </c>
      <c r="B1177" s="1">
        <v>6992805</v>
      </c>
      <c r="C1177" t="s">
        <v>11</v>
      </c>
      <c r="D1177" t="s">
        <v>1288</v>
      </c>
      <c r="E1177" t="s">
        <v>10</v>
      </c>
    </row>
    <row r="1178" spans="1:5" hidden="1" outlineLevel="2">
      <c r="A1178" s="3" t="e">
        <f>(HYPERLINK("http://www.autodoc.ru/Web/price/art/2715RBZH5RV?analog=on","2715RBZH5RV"))*1</f>
        <v>#VALUE!</v>
      </c>
      <c r="B1178" s="1">
        <v>6992800</v>
      </c>
      <c r="C1178" t="s">
        <v>11</v>
      </c>
      <c r="D1178" t="s">
        <v>1289</v>
      </c>
      <c r="E1178" t="s">
        <v>10</v>
      </c>
    </row>
    <row r="1179" spans="1:5" hidden="1" outlineLevel="2">
      <c r="A1179" s="3" t="e">
        <f>(HYPERLINK("http://www.autodoc.ru/Web/price/art/2715RCLH5FD?analog=on","2715RCLH5FD"))*1</f>
        <v>#VALUE!</v>
      </c>
      <c r="B1179" s="1">
        <v>6997342</v>
      </c>
      <c r="C1179" t="s">
        <v>11</v>
      </c>
      <c r="D1179" t="s">
        <v>1290</v>
      </c>
      <c r="E1179" t="s">
        <v>10</v>
      </c>
    </row>
    <row r="1180" spans="1:5" hidden="1" outlineLevel="2">
      <c r="A1180" s="3" t="e">
        <f>(HYPERLINK("http://www.autodoc.ru/Web/price/art/2715RCLH5RV?analog=on","2715RCLH5RV"))*1</f>
        <v>#VALUE!</v>
      </c>
      <c r="B1180" s="1">
        <v>6992802</v>
      </c>
      <c r="C1180" t="s">
        <v>11</v>
      </c>
      <c r="D1180" t="s">
        <v>1291</v>
      </c>
      <c r="E1180" t="s">
        <v>10</v>
      </c>
    </row>
    <row r="1181" spans="1:5" hidden="1" outlineLevel="2">
      <c r="A1181" s="3" t="e">
        <f>(HYPERLINK("http://www.autodoc.ru/Web/price/art/2715RGNH5FD?analog=on","2715RGNH5FD"))*1</f>
        <v>#VALUE!</v>
      </c>
      <c r="B1181" s="1">
        <v>6997171</v>
      </c>
      <c r="C1181" t="s">
        <v>11</v>
      </c>
      <c r="D1181" t="s">
        <v>1292</v>
      </c>
      <c r="E1181" t="s">
        <v>10</v>
      </c>
    </row>
    <row r="1182" spans="1:5" hidden="1" outlineLevel="2">
      <c r="A1182" s="3" t="e">
        <f>(HYPERLINK("http://www.autodoc.ru/Web/price/art/2715RGNH5RD?analog=on","2715RGNH5RD"))*1</f>
        <v>#VALUE!</v>
      </c>
      <c r="B1182" s="1">
        <v>6996659</v>
      </c>
      <c r="C1182" t="s">
        <v>724</v>
      </c>
      <c r="D1182" t="s">
        <v>1293</v>
      </c>
      <c r="E1182" t="s">
        <v>10</v>
      </c>
    </row>
    <row r="1183" spans="1:5" hidden="1" outlineLevel="2">
      <c r="A1183" s="3" t="e">
        <f>(HYPERLINK("http://www.autodoc.ru/Web/price/art/2715RGNH5RV?analog=on","2715RGNH5RV"))*1</f>
        <v>#VALUE!</v>
      </c>
      <c r="B1183" s="1">
        <v>6992804</v>
      </c>
      <c r="C1183" t="s">
        <v>11</v>
      </c>
      <c r="D1183" t="s">
        <v>1294</v>
      </c>
      <c r="E1183" t="s">
        <v>10</v>
      </c>
    </row>
    <row r="1184" spans="1:5" hidden="1" outlineLevel="1">
      <c r="A1184" s="2">
        <v>0</v>
      </c>
      <c r="B1184" s="26" t="s">
        <v>1295</v>
      </c>
      <c r="C1184" s="27">
        <v>0</v>
      </c>
      <c r="D1184" s="27">
        <v>0</v>
      </c>
      <c r="E1184" s="27">
        <v>0</v>
      </c>
    </row>
    <row r="1185" spans="1:5" hidden="1" outlineLevel="2">
      <c r="A1185" s="3" t="e">
        <f>(HYPERLINK("http://www.autodoc.ru/Web/price/art/2734AGS?analog=on","2734AGS"))*1</f>
        <v>#VALUE!</v>
      </c>
      <c r="B1185" s="1">
        <v>6190391</v>
      </c>
      <c r="C1185" t="s">
        <v>890</v>
      </c>
      <c r="D1185" t="s">
        <v>1296</v>
      </c>
      <c r="E1185" t="s">
        <v>8</v>
      </c>
    </row>
    <row r="1186" spans="1:5" hidden="1" outlineLevel="2">
      <c r="A1186" s="3" t="e">
        <f>(HYPERLINK("http://www.autodoc.ru/Web/price/art/2734BGSHO?analog=on","2734BGSHO"))*1</f>
        <v>#VALUE!</v>
      </c>
      <c r="B1186" s="1">
        <v>6190917</v>
      </c>
      <c r="C1186" t="s">
        <v>890</v>
      </c>
      <c r="D1186" t="s">
        <v>1297</v>
      </c>
      <c r="E1186" t="s">
        <v>23</v>
      </c>
    </row>
    <row r="1187" spans="1:5" hidden="1" outlineLevel="2">
      <c r="A1187" s="3" t="e">
        <f>(HYPERLINK("http://www.autodoc.ru/Web/price/art/OLD-2734BGSHO?analog=on","OLD-2734BGSHO"))*1</f>
        <v>#VALUE!</v>
      </c>
      <c r="B1187" s="1">
        <v>6993568</v>
      </c>
      <c r="C1187" t="s">
        <v>890</v>
      </c>
      <c r="D1187" t="s">
        <v>1298</v>
      </c>
      <c r="E1187" t="s">
        <v>23</v>
      </c>
    </row>
    <row r="1188" spans="1:5" hidden="1" outlineLevel="2">
      <c r="A1188" s="3" t="e">
        <f>(HYPERLINK("http://www.autodoc.ru/Web/price/art/2734LGSH3RQ?analog=on","2734LGSH3RQ"))*1</f>
        <v>#VALUE!</v>
      </c>
      <c r="B1188" s="1">
        <v>6190393</v>
      </c>
      <c r="C1188" t="s">
        <v>890</v>
      </c>
      <c r="D1188" t="s">
        <v>1299</v>
      </c>
      <c r="E1188" t="s">
        <v>10</v>
      </c>
    </row>
    <row r="1189" spans="1:5" hidden="1" outlineLevel="2">
      <c r="A1189" s="3" t="e">
        <f>(HYPERLINK("http://www.autodoc.ru/Web/price/art/2734RGSH3RQ?analog=on","2734RGSH3RQ"))*1</f>
        <v>#VALUE!</v>
      </c>
      <c r="B1189" s="1">
        <v>6190397</v>
      </c>
      <c r="C1189" t="s">
        <v>890</v>
      </c>
      <c r="D1189" t="s">
        <v>1300</v>
      </c>
      <c r="E1189" t="s">
        <v>10</v>
      </c>
    </row>
    <row r="1190" spans="1:5" hidden="1" outlineLevel="2">
      <c r="A1190" s="3" t="e">
        <f>(HYPERLINK("http://www.autodoc.ru/Web/price/art/2734LGSH3FD?analog=on","2734LGSH3FD"))*1</f>
        <v>#VALUE!</v>
      </c>
      <c r="B1190" s="1">
        <v>6190392</v>
      </c>
      <c r="C1190" t="s">
        <v>890</v>
      </c>
      <c r="D1190" t="s">
        <v>1301</v>
      </c>
      <c r="E1190" t="s">
        <v>10</v>
      </c>
    </row>
    <row r="1191" spans="1:5" hidden="1" outlineLevel="2">
      <c r="A1191" s="3" t="e">
        <f>(HYPERLINK("http://www.autodoc.ru/Web/price/art/2734RGSH3FD?analog=on","2734RGSH3FD"))*1</f>
        <v>#VALUE!</v>
      </c>
      <c r="B1191" s="1">
        <v>6190396</v>
      </c>
      <c r="C1191" t="s">
        <v>890</v>
      </c>
      <c r="D1191" t="s">
        <v>1302</v>
      </c>
      <c r="E1191" t="s">
        <v>10</v>
      </c>
    </row>
    <row r="1192" spans="1:5" hidden="1" outlineLevel="2">
      <c r="A1192" s="3" t="e">
        <f>(HYPERLINK("http://www.autodoc.ru/Web/price/art/2734LGSH5RDOW?analog=on","2734LGSH5RDOW"))*1</f>
        <v>#VALUE!</v>
      </c>
      <c r="B1192" s="1">
        <v>6190395</v>
      </c>
      <c r="C1192" t="s">
        <v>890</v>
      </c>
      <c r="D1192" t="s">
        <v>1303</v>
      </c>
      <c r="E1192" t="s">
        <v>10</v>
      </c>
    </row>
    <row r="1193" spans="1:5" hidden="1" outlineLevel="2">
      <c r="A1193" s="3" t="e">
        <f>(HYPERLINK("http://www.autodoc.ru/Web/price/art/2734RGSH5RDOW?analog=on","2734RGSH5RDOW"))*1</f>
        <v>#VALUE!</v>
      </c>
      <c r="B1193" s="1">
        <v>6190399</v>
      </c>
      <c r="C1193" t="s">
        <v>890</v>
      </c>
      <c r="D1193" t="s">
        <v>1304</v>
      </c>
      <c r="E1193" t="s">
        <v>10</v>
      </c>
    </row>
    <row r="1194" spans="1:5" hidden="1" outlineLevel="2">
      <c r="A1194" s="3" t="e">
        <f>(HYPERLINK("http://www.autodoc.ru/Web/price/art/2734LGSH5FD?analog=on","2734LGSH5FD"))*1</f>
        <v>#VALUE!</v>
      </c>
      <c r="B1194" s="1">
        <v>6190394</v>
      </c>
      <c r="C1194" t="s">
        <v>890</v>
      </c>
      <c r="D1194" t="s">
        <v>1305</v>
      </c>
      <c r="E1194" t="s">
        <v>10</v>
      </c>
    </row>
    <row r="1195" spans="1:5" hidden="1" outlineLevel="2">
      <c r="A1195" s="3" t="e">
        <f>(HYPERLINK("http://www.autodoc.ru/Web/price/art/2734RGSH5FD?analog=on","2734RGSH5FD"))*1</f>
        <v>#VALUE!</v>
      </c>
      <c r="B1195" s="1">
        <v>6190398</v>
      </c>
      <c r="C1195" t="s">
        <v>890</v>
      </c>
      <c r="D1195" t="s">
        <v>1306</v>
      </c>
      <c r="E1195" t="s">
        <v>10</v>
      </c>
    </row>
    <row r="1196" spans="1:5" hidden="1" outlineLevel="1">
      <c r="A1196" s="2">
        <v>0</v>
      </c>
      <c r="B1196" s="26" t="s">
        <v>1307</v>
      </c>
      <c r="C1196" s="27">
        <v>0</v>
      </c>
      <c r="D1196" s="27">
        <v>0</v>
      </c>
      <c r="E1196" s="27">
        <v>0</v>
      </c>
    </row>
    <row r="1197" spans="1:5" hidden="1" outlineLevel="2">
      <c r="A1197" s="3" t="e">
        <f>(HYPERLINK("http://www.autodoc.ru/Web/price/art/2731AGSV?analog=on","2731AGSV"))*1</f>
        <v>#VALUE!</v>
      </c>
      <c r="B1197" s="1">
        <v>6961059</v>
      </c>
      <c r="C1197" t="s">
        <v>755</v>
      </c>
      <c r="D1197" t="s">
        <v>1308</v>
      </c>
      <c r="E1197" t="s">
        <v>8</v>
      </c>
    </row>
    <row r="1198" spans="1:5" hidden="1" outlineLevel="2">
      <c r="A1198" s="3" t="e">
        <f>(HYPERLINK("http://www.autodoc.ru/Web/price/art/2731AGSBLV?analog=on","2731AGSBLV"))*1</f>
        <v>#VALUE!</v>
      </c>
      <c r="B1198" s="1">
        <v>6962197</v>
      </c>
      <c r="C1198" t="s">
        <v>1309</v>
      </c>
      <c r="D1198" t="s">
        <v>1310</v>
      </c>
      <c r="E1198" t="s">
        <v>8</v>
      </c>
    </row>
    <row r="1199" spans="1:5" hidden="1" outlineLevel="2">
      <c r="A1199" s="3" t="e">
        <f>(HYPERLINK("http://www.autodoc.ru/Web/price/art/2731ASMHB?analog=on","2731ASMHB"))*1</f>
        <v>#VALUE!</v>
      </c>
      <c r="B1199" s="1">
        <v>6102157</v>
      </c>
      <c r="C1199" t="s">
        <v>19</v>
      </c>
      <c r="D1199" t="s">
        <v>1311</v>
      </c>
      <c r="E1199" t="s">
        <v>21</v>
      </c>
    </row>
    <row r="1200" spans="1:5" hidden="1" outlineLevel="2">
      <c r="A1200" s="3" t="e">
        <f>(HYPERLINK("http://www.autodoc.ru/Web/price/art/2731ASMHT?analog=on","2731ASMHT"))*1</f>
        <v>#VALUE!</v>
      </c>
      <c r="B1200" s="1">
        <v>6101553</v>
      </c>
      <c r="C1200" t="s">
        <v>19</v>
      </c>
      <c r="D1200" t="s">
        <v>1312</v>
      </c>
      <c r="E1200" t="s">
        <v>21</v>
      </c>
    </row>
    <row r="1201" spans="1:5" hidden="1" outlineLevel="2">
      <c r="A1201" s="3" t="e">
        <f>(HYPERLINK("http://www.autodoc.ru/Web/price/art/2731BGSHBW?analog=on","2731BGSHBW"))*1</f>
        <v>#VALUE!</v>
      </c>
      <c r="B1201" s="1">
        <v>6997483</v>
      </c>
      <c r="C1201" t="s">
        <v>755</v>
      </c>
      <c r="D1201" t="s">
        <v>1313</v>
      </c>
      <c r="E1201" t="s">
        <v>23</v>
      </c>
    </row>
    <row r="1202" spans="1:5" hidden="1" outlineLevel="2">
      <c r="A1202" s="3" t="e">
        <f>(HYPERLINK("http://www.autodoc.ru/Web/price/art/2731BGSHBW1H?analog=on","2731BGSHBW1H"))*1</f>
        <v>#VALUE!</v>
      </c>
      <c r="B1202" s="1">
        <v>6996383</v>
      </c>
      <c r="C1202" t="s">
        <v>755</v>
      </c>
      <c r="D1202" t="s">
        <v>1314</v>
      </c>
      <c r="E1202" t="s">
        <v>23</v>
      </c>
    </row>
    <row r="1203" spans="1:5" hidden="1" outlineLevel="2">
      <c r="A1203" s="3" t="e">
        <f>(HYPERLINK("http://www.autodoc.ru/Web/price/art/2731BGSHB1R?analog=on","2731BGSHB1R"))*1</f>
        <v>#VALUE!</v>
      </c>
      <c r="B1203" s="1">
        <v>6901944</v>
      </c>
      <c r="C1203" t="s">
        <v>1309</v>
      </c>
      <c r="D1203" t="s">
        <v>1315</v>
      </c>
      <c r="E1203" t="s">
        <v>23</v>
      </c>
    </row>
    <row r="1204" spans="1:5" hidden="1" outlineLevel="2">
      <c r="A1204" s="3" t="e">
        <f>(HYPERLINK("http://www.autodoc.ru/Web/price/art/2731LGSH3FD?analog=on","2731LGSH3FD"))*1</f>
        <v>#VALUE!</v>
      </c>
      <c r="B1204" s="1">
        <v>6996162</v>
      </c>
      <c r="C1204" t="s">
        <v>755</v>
      </c>
      <c r="D1204" t="s">
        <v>1316</v>
      </c>
      <c r="E1204" t="s">
        <v>10</v>
      </c>
    </row>
    <row r="1205" spans="1:5" hidden="1" outlineLevel="2">
      <c r="A1205" s="3" t="e">
        <f>(HYPERLINK("http://www.autodoc.ru/Web/price/art/2731LGSH3RQ?analog=on","2731LGSH3RQ"))*1</f>
        <v>#VALUE!</v>
      </c>
      <c r="B1205" s="1">
        <v>6996583</v>
      </c>
      <c r="C1205" t="s">
        <v>755</v>
      </c>
      <c r="D1205" t="s">
        <v>1317</v>
      </c>
      <c r="E1205" t="s">
        <v>10</v>
      </c>
    </row>
    <row r="1206" spans="1:5" hidden="1" outlineLevel="2">
      <c r="A1206" s="3" t="e">
        <f>(HYPERLINK("http://www.autodoc.ru/Web/price/art/2731RGSH3FD?analog=on","2731RGSH3FD"))*1</f>
        <v>#VALUE!</v>
      </c>
      <c r="B1206" s="1">
        <v>6993870</v>
      </c>
      <c r="C1206" t="s">
        <v>755</v>
      </c>
      <c r="D1206" t="s">
        <v>1318</v>
      </c>
      <c r="E1206" t="s">
        <v>10</v>
      </c>
    </row>
    <row r="1207" spans="1:5" hidden="1" outlineLevel="2">
      <c r="A1207" s="3" t="e">
        <f>(HYPERLINK("http://www.autodoc.ru/Web/price/art/2731RGSH3RQ?analog=on","2731RGSH3RQ"))*1</f>
        <v>#VALUE!</v>
      </c>
      <c r="B1207" s="1">
        <v>6996584</v>
      </c>
      <c r="C1207" t="s">
        <v>755</v>
      </c>
      <c r="D1207" t="s">
        <v>1319</v>
      </c>
      <c r="E1207" t="s">
        <v>10</v>
      </c>
    </row>
    <row r="1208" spans="1:5" hidden="1" outlineLevel="1">
      <c r="A1208" s="2">
        <v>0</v>
      </c>
      <c r="B1208" s="26" t="s">
        <v>1320</v>
      </c>
      <c r="C1208" s="27">
        <v>0</v>
      </c>
      <c r="D1208" s="27">
        <v>0</v>
      </c>
      <c r="E1208" s="27">
        <v>0</v>
      </c>
    </row>
    <row r="1209" spans="1:5" hidden="1" outlineLevel="2">
      <c r="A1209" s="3" t="e">
        <f>(HYPERLINK("http://www.autodoc.ru/Web/price/art/2726ACCMV1B?analog=on","2726ACCMV1B"))*1</f>
        <v>#VALUE!</v>
      </c>
      <c r="B1209" s="1">
        <v>6961244</v>
      </c>
      <c r="C1209" t="s">
        <v>1321</v>
      </c>
      <c r="D1209" t="s">
        <v>1322</v>
      </c>
      <c r="E1209" t="s">
        <v>8</v>
      </c>
    </row>
    <row r="1210" spans="1:5" hidden="1" outlineLevel="2">
      <c r="A1210" s="3" t="e">
        <f>(HYPERLINK("http://www.autodoc.ru/Web/price/art/2726AGSMV1B?analog=on","2726AGSMV1B"))*1</f>
        <v>#VALUE!</v>
      </c>
      <c r="B1210" s="1">
        <v>6961228</v>
      </c>
      <c r="C1210" t="s">
        <v>1321</v>
      </c>
      <c r="D1210" t="s">
        <v>1323</v>
      </c>
      <c r="E1210" t="s">
        <v>8</v>
      </c>
    </row>
    <row r="1211" spans="1:5" hidden="1" outlineLevel="2">
      <c r="A1211" s="3" t="e">
        <f>(HYPERLINK("http://www.autodoc.ru/Web/price/art/2726AGSV?analog=on","2726AGSV"))*1</f>
        <v>#VALUE!</v>
      </c>
      <c r="B1211" s="1">
        <v>6960807</v>
      </c>
      <c r="C1211" t="s">
        <v>1321</v>
      </c>
      <c r="D1211" t="s">
        <v>1324</v>
      </c>
      <c r="E1211" t="s">
        <v>8</v>
      </c>
    </row>
    <row r="1212" spans="1:5" hidden="1" outlineLevel="2">
      <c r="A1212" s="3" t="e">
        <f>(HYPERLINK("http://www.autodoc.ru/Web/price/art/2726AGSBLV?analog=on","2726AGSBLV"))*1</f>
        <v>#VALUE!</v>
      </c>
      <c r="B1212" s="1">
        <v>6963035</v>
      </c>
      <c r="C1212" t="s">
        <v>1321</v>
      </c>
      <c r="D1212" t="s">
        <v>1325</v>
      </c>
      <c r="E1212" t="s">
        <v>8</v>
      </c>
    </row>
    <row r="1213" spans="1:5" hidden="1" outlineLevel="2">
      <c r="A1213" s="3" t="e">
        <f>(HYPERLINK("http://www.autodoc.ru/Web/price/art/2726AKMH1F?analog=on","2726AKMH1F"))*1</f>
        <v>#VALUE!</v>
      </c>
      <c r="B1213" s="1">
        <v>6100610</v>
      </c>
      <c r="C1213" t="s">
        <v>19</v>
      </c>
      <c r="D1213" t="s">
        <v>1326</v>
      </c>
      <c r="E1213" t="s">
        <v>21</v>
      </c>
    </row>
    <row r="1214" spans="1:5" hidden="1" outlineLevel="2">
      <c r="A1214" s="3" t="e">
        <f>(HYPERLINK("http://www.autodoc.ru/Web/price/art/2726ASMH?analog=on","2726ASMH"))*1</f>
        <v>#VALUE!</v>
      </c>
      <c r="B1214" s="1">
        <v>6101619</v>
      </c>
      <c r="C1214" t="s">
        <v>19</v>
      </c>
      <c r="D1214" t="s">
        <v>1326</v>
      </c>
      <c r="E1214" t="s">
        <v>21</v>
      </c>
    </row>
    <row r="1215" spans="1:5" hidden="1" outlineLevel="2">
      <c r="A1215" s="3" t="e">
        <f>(HYPERLINK("http://www.autodoc.ru/Web/price/art/2726ASMHB?analog=on","2726ASMHB"))*1</f>
        <v>#VALUE!</v>
      </c>
      <c r="B1215" s="1">
        <v>6101620</v>
      </c>
      <c r="C1215" t="s">
        <v>19</v>
      </c>
      <c r="D1215" t="s">
        <v>1327</v>
      </c>
      <c r="E1215" t="s">
        <v>21</v>
      </c>
    </row>
    <row r="1216" spans="1:5" hidden="1" outlineLevel="2">
      <c r="A1216" s="3" t="e">
        <f>(HYPERLINK("http://www.autodoc.ru/Web/price/art/2726BGSH?analog=on","2726BGSH"))*1</f>
        <v>#VALUE!</v>
      </c>
      <c r="B1216" s="1">
        <v>6992753</v>
      </c>
      <c r="C1216" t="s">
        <v>1321</v>
      </c>
      <c r="D1216" t="s">
        <v>1328</v>
      </c>
      <c r="E1216" t="s">
        <v>23</v>
      </c>
    </row>
    <row r="1217" spans="1:5" hidden="1" outlineLevel="2">
      <c r="A1217" s="3" t="e">
        <f>(HYPERLINK("http://www.autodoc.ru/Web/price/art/2726LGSH5FD?analog=on","2726LGSH5FD"))*1</f>
        <v>#VALUE!</v>
      </c>
      <c r="B1217" s="1">
        <v>6980074</v>
      </c>
      <c r="C1217" t="s">
        <v>1321</v>
      </c>
      <c r="D1217" t="s">
        <v>1329</v>
      </c>
      <c r="E1217" t="s">
        <v>10</v>
      </c>
    </row>
    <row r="1218" spans="1:5" hidden="1" outlineLevel="2">
      <c r="A1218" s="3" t="e">
        <f>(HYPERLINK("http://www.autodoc.ru/Web/price/art/2726LGSH5FV?analog=on","2726LGSH5FV"))*1</f>
        <v>#VALUE!</v>
      </c>
      <c r="B1218" s="1">
        <v>6981032</v>
      </c>
      <c r="C1218" t="s">
        <v>1321</v>
      </c>
      <c r="D1218" t="s">
        <v>1330</v>
      </c>
      <c r="E1218" t="s">
        <v>10</v>
      </c>
    </row>
    <row r="1219" spans="1:5" hidden="1" outlineLevel="2">
      <c r="A1219" s="3" t="e">
        <f>(HYPERLINK("http://www.autodoc.ru/Web/price/art/2726LGSH5RD?analog=on","2726LGSH5RD"))*1</f>
        <v>#VALUE!</v>
      </c>
      <c r="B1219" s="1">
        <v>6993279</v>
      </c>
      <c r="C1219" t="s">
        <v>1321</v>
      </c>
      <c r="D1219" t="s">
        <v>1331</v>
      </c>
      <c r="E1219" t="s">
        <v>10</v>
      </c>
    </row>
    <row r="1220" spans="1:5" hidden="1" outlineLevel="2">
      <c r="A1220" s="3" t="e">
        <f>(HYPERLINK("http://www.autodoc.ru/Web/price/art/2726LGSH5RQ?analog=on","2726LGSH5RQ"))*1</f>
        <v>#VALUE!</v>
      </c>
      <c r="B1220" s="1">
        <v>6981033</v>
      </c>
      <c r="C1220" t="s">
        <v>1321</v>
      </c>
      <c r="D1220" t="s">
        <v>1332</v>
      </c>
      <c r="E1220" t="s">
        <v>10</v>
      </c>
    </row>
    <row r="1221" spans="1:5" hidden="1" outlineLevel="2">
      <c r="A1221" s="3" t="e">
        <f>(HYPERLINK("http://www.autodoc.ru/Web/price/art/2726RGSH5FD?analog=on","2726RGSH5FD"))*1</f>
        <v>#VALUE!</v>
      </c>
      <c r="B1221" s="1">
        <v>6980075</v>
      </c>
      <c r="C1221" t="s">
        <v>1321</v>
      </c>
      <c r="D1221" t="s">
        <v>1333</v>
      </c>
      <c r="E1221" t="s">
        <v>10</v>
      </c>
    </row>
    <row r="1222" spans="1:5" hidden="1" outlineLevel="2">
      <c r="A1222" s="3" t="e">
        <f>(HYPERLINK("http://www.autodoc.ru/Web/price/art/2726RGSH5FV?analog=on","2726RGSH5FV"))*1</f>
        <v>#VALUE!</v>
      </c>
      <c r="B1222" s="1">
        <v>6981034</v>
      </c>
      <c r="C1222" t="s">
        <v>1321</v>
      </c>
      <c r="D1222" t="s">
        <v>1334</v>
      </c>
      <c r="E1222" t="s">
        <v>10</v>
      </c>
    </row>
    <row r="1223" spans="1:5" hidden="1" outlineLevel="2">
      <c r="A1223" s="3" t="e">
        <f>(HYPERLINK("http://www.autodoc.ru/Web/price/art/2726RGSH5RD?analog=on","2726RGSH5RD"))*1</f>
        <v>#VALUE!</v>
      </c>
      <c r="B1223" s="1">
        <v>6993280</v>
      </c>
      <c r="C1223" t="s">
        <v>1321</v>
      </c>
      <c r="D1223" t="s">
        <v>1335</v>
      </c>
      <c r="E1223" t="s">
        <v>10</v>
      </c>
    </row>
    <row r="1224" spans="1:5" hidden="1" outlineLevel="2">
      <c r="A1224" s="3" t="e">
        <f>(HYPERLINK("http://www.autodoc.ru/Web/price/art/2726RGSH5RQ?analog=on","2726RGSH5RQ"))*1</f>
        <v>#VALUE!</v>
      </c>
      <c r="B1224" s="1">
        <v>6981035</v>
      </c>
      <c r="C1224" t="s">
        <v>1321</v>
      </c>
      <c r="D1224" t="s">
        <v>1336</v>
      </c>
      <c r="E1224" t="s">
        <v>10</v>
      </c>
    </row>
    <row r="1225" spans="1:5" hidden="1" outlineLevel="1">
      <c r="A1225" s="2">
        <v>0</v>
      </c>
      <c r="B1225" s="26" t="s">
        <v>1337</v>
      </c>
      <c r="C1225" s="27">
        <v>0</v>
      </c>
      <c r="D1225" s="27">
        <v>0</v>
      </c>
      <c r="E1225" s="27">
        <v>0</v>
      </c>
    </row>
    <row r="1226" spans="1:5" hidden="1" outlineLevel="2">
      <c r="A1226" s="3" t="e">
        <f>(HYPERLINK("http://www.autodoc.ru/Web/price/art/2730ACCMV1B?analog=on","2730ACCMV1B"))*1</f>
        <v>#VALUE!</v>
      </c>
      <c r="B1226" s="1">
        <v>6960393</v>
      </c>
      <c r="C1226" t="s">
        <v>1338</v>
      </c>
      <c r="D1226" t="s">
        <v>1339</v>
      </c>
      <c r="E1226" t="s">
        <v>8</v>
      </c>
    </row>
    <row r="1227" spans="1:5" hidden="1" outlineLevel="2">
      <c r="A1227" s="3" t="e">
        <f>(HYPERLINK("http://www.autodoc.ru/Web/price/art/2730AGSV?analog=on","2730AGSV"))*1</f>
        <v>#VALUE!</v>
      </c>
      <c r="B1227" s="1">
        <v>6960222</v>
      </c>
      <c r="C1227" t="s">
        <v>1338</v>
      </c>
      <c r="D1227" t="s">
        <v>1340</v>
      </c>
      <c r="E1227" t="s">
        <v>8</v>
      </c>
    </row>
    <row r="1228" spans="1:5" hidden="1" outlineLevel="2">
      <c r="A1228" s="3" t="e">
        <f>(HYPERLINK("http://www.autodoc.ru/Web/price/art/2730ASMTT?analog=on","2730ASMTT"))*1</f>
        <v>#VALUE!</v>
      </c>
      <c r="B1228" s="1">
        <v>6101593</v>
      </c>
      <c r="C1228" t="s">
        <v>19</v>
      </c>
      <c r="D1228" t="s">
        <v>1341</v>
      </c>
      <c r="E1228" t="s">
        <v>21</v>
      </c>
    </row>
    <row r="1229" spans="1:5" hidden="1" outlineLevel="2">
      <c r="A1229" s="3" t="e">
        <f>(HYPERLINK("http://www.autodoc.ru/Web/price/art/2730LGST2FD?analog=on","2730LGST2FD"))*1</f>
        <v>#VALUE!</v>
      </c>
      <c r="B1229" s="1">
        <v>6991761</v>
      </c>
      <c r="C1229" t="s">
        <v>1338</v>
      </c>
      <c r="D1229" t="s">
        <v>1342</v>
      </c>
      <c r="E1229" t="s">
        <v>10</v>
      </c>
    </row>
    <row r="1230" spans="1:5" hidden="1" outlineLevel="2">
      <c r="A1230" s="3" t="e">
        <f>(HYPERLINK("http://www.autodoc.ru/Web/price/art/2730LGST2FVW?analog=on","2730LGST2FVW"))*1</f>
        <v>#VALUE!</v>
      </c>
      <c r="B1230" s="1">
        <v>6990991</v>
      </c>
      <c r="C1230" t="s">
        <v>1309</v>
      </c>
      <c r="D1230" t="s">
        <v>1343</v>
      </c>
      <c r="E1230" t="s">
        <v>10</v>
      </c>
    </row>
    <row r="1231" spans="1:5" hidden="1" outlineLevel="2">
      <c r="A1231" s="3" t="e">
        <f>(HYPERLINK("http://www.autodoc.ru/Web/price/art/2730LGST2RQOW?analog=on","2730LGST2RQOW"))*1</f>
        <v>#VALUE!</v>
      </c>
      <c r="B1231" s="1">
        <v>6991762</v>
      </c>
      <c r="C1231" t="s">
        <v>1338</v>
      </c>
      <c r="D1231" t="s">
        <v>1344</v>
      </c>
      <c r="E1231" t="s">
        <v>10</v>
      </c>
    </row>
    <row r="1232" spans="1:5" hidden="1" outlineLevel="2">
      <c r="A1232" s="3" t="e">
        <f>(HYPERLINK("http://www.autodoc.ru/Web/price/art/2730RGST2FD?analog=on","2730RGST2FD"))*1</f>
        <v>#VALUE!</v>
      </c>
      <c r="B1232" s="1">
        <v>6991091</v>
      </c>
      <c r="C1232" t="s">
        <v>1338</v>
      </c>
      <c r="D1232" t="s">
        <v>1345</v>
      </c>
      <c r="E1232" t="s">
        <v>10</v>
      </c>
    </row>
    <row r="1233" spans="1:5" hidden="1" outlineLevel="2">
      <c r="A1233" s="3" t="e">
        <f>(HYPERLINK("http://www.autodoc.ru/Web/price/art/2730RGST2FVW?analog=on","2730RGST2FVW"))*1</f>
        <v>#VALUE!</v>
      </c>
      <c r="B1233" s="1">
        <v>6990990</v>
      </c>
      <c r="C1233" t="s">
        <v>1309</v>
      </c>
      <c r="D1233" t="s">
        <v>1346</v>
      </c>
      <c r="E1233" t="s">
        <v>10</v>
      </c>
    </row>
    <row r="1234" spans="1:5" hidden="1" outlineLevel="2">
      <c r="A1234" s="3" t="e">
        <f>(HYPERLINK("http://www.autodoc.ru/Web/price/art/2730RGST2RQOW?analog=on","2730RGST2RQOW"))*1</f>
        <v>#VALUE!</v>
      </c>
      <c r="B1234" s="1">
        <v>6991092</v>
      </c>
      <c r="C1234" t="s">
        <v>1338</v>
      </c>
      <c r="D1234" t="s">
        <v>1347</v>
      </c>
      <c r="E1234" t="s">
        <v>10</v>
      </c>
    </row>
    <row r="1235" spans="1:5" hidden="1" outlineLevel="1">
      <c r="A1235" s="2">
        <v>0</v>
      </c>
      <c r="B1235" s="26" t="s">
        <v>1348</v>
      </c>
      <c r="C1235" s="27">
        <v>0</v>
      </c>
      <c r="D1235" s="27">
        <v>0</v>
      </c>
      <c r="E1235" s="27">
        <v>0</v>
      </c>
    </row>
    <row r="1236" spans="1:5" hidden="1" outlineLevel="2">
      <c r="A1236" s="3" t="e">
        <f>(HYPERLINK("http://www.autodoc.ru/Web/price/art/2742AGSVWZ?analog=on","2742AGSVWZ"))*1</f>
        <v>#VALUE!</v>
      </c>
      <c r="B1236" s="1">
        <v>6964982</v>
      </c>
      <c r="C1236" t="s">
        <v>211</v>
      </c>
      <c r="D1236" t="s">
        <v>1349</v>
      </c>
      <c r="E1236" t="s">
        <v>8</v>
      </c>
    </row>
    <row r="1237" spans="1:5" hidden="1" outlineLevel="2">
      <c r="A1237" s="3" t="e">
        <f>(HYPERLINK("http://www.autodoc.ru/Web/price/art/2742LGSM5FD?analog=on","2742LGSM5FD"))*1</f>
        <v>#VALUE!</v>
      </c>
      <c r="B1237" s="1">
        <v>6901422</v>
      </c>
      <c r="C1237" t="s">
        <v>211</v>
      </c>
      <c r="D1237" t="s">
        <v>1350</v>
      </c>
      <c r="E1237" t="s">
        <v>10</v>
      </c>
    </row>
    <row r="1238" spans="1:5" hidden="1" outlineLevel="2">
      <c r="A1238" s="3" t="e">
        <f>(HYPERLINK("http://www.autodoc.ru/Web/price/art/2742LGSM5RD?analog=on","2742LGSM5RD"))*1</f>
        <v>#VALUE!</v>
      </c>
      <c r="B1238" s="1">
        <v>6901424</v>
      </c>
      <c r="C1238" t="s">
        <v>211</v>
      </c>
      <c r="D1238" t="s">
        <v>1351</v>
      </c>
      <c r="E1238" t="s">
        <v>10</v>
      </c>
    </row>
    <row r="1239" spans="1:5" hidden="1" outlineLevel="2">
      <c r="A1239" s="3" t="e">
        <f>(HYPERLINK("http://www.autodoc.ru/Web/price/art/2742RGSM5FD?analog=on","2742RGSM5FD"))*1</f>
        <v>#VALUE!</v>
      </c>
      <c r="B1239" s="1">
        <v>6901421</v>
      </c>
      <c r="C1239" t="s">
        <v>211</v>
      </c>
      <c r="D1239" t="s">
        <v>1352</v>
      </c>
      <c r="E1239" t="s">
        <v>10</v>
      </c>
    </row>
    <row r="1240" spans="1:5" hidden="1" outlineLevel="2">
      <c r="A1240" s="3" t="e">
        <f>(HYPERLINK("http://www.autodoc.ru/Web/price/art/2742RGSM5RD?analog=on","2742RGSM5RD"))*1</f>
        <v>#VALUE!</v>
      </c>
      <c r="B1240" s="1">
        <v>6901423</v>
      </c>
      <c r="C1240" t="s">
        <v>211</v>
      </c>
      <c r="D1240" t="s">
        <v>1353</v>
      </c>
      <c r="E1240" t="s">
        <v>10</v>
      </c>
    </row>
    <row r="1241" spans="1:5" hidden="1" outlineLevel="1">
      <c r="A1241" s="2">
        <v>0</v>
      </c>
      <c r="B1241" s="26" t="s">
        <v>1354</v>
      </c>
      <c r="C1241" s="27">
        <v>0</v>
      </c>
      <c r="D1241" s="27">
        <v>0</v>
      </c>
      <c r="E1241" s="27">
        <v>0</v>
      </c>
    </row>
    <row r="1242" spans="1:5" hidden="1" outlineLevel="2">
      <c r="A1242" s="3" t="e">
        <f>(HYPERLINK("http://www.autodoc.ru/Web/price/art/2743AGSVZ?analog=on","2743AGSVZ"))*1</f>
        <v>#VALUE!</v>
      </c>
      <c r="B1242" s="1">
        <v>6964981</v>
      </c>
      <c r="C1242" t="s">
        <v>341</v>
      </c>
      <c r="D1242" t="s">
        <v>1355</v>
      </c>
      <c r="E1242" t="s">
        <v>8</v>
      </c>
    </row>
    <row r="1243" spans="1:5" hidden="1" outlineLevel="2">
      <c r="A1243" s="3" t="e">
        <f>(HYPERLINK("http://www.autodoc.ru/Web/price/art/2743BGSH?analog=on","2743BGSH"))*1</f>
        <v>#VALUE!</v>
      </c>
      <c r="B1243" s="1">
        <v>6901426</v>
      </c>
      <c r="C1243" t="s">
        <v>341</v>
      </c>
      <c r="D1243" t="s">
        <v>1356</v>
      </c>
      <c r="E1243" t="s">
        <v>23</v>
      </c>
    </row>
    <row r="1244" spans="1:5" hidden="1" outlineLevel="1">
      <c r="A1244" s="2">
        <v>0</v>
      </c>
      <c r="B1244" s="26" t="s">
        <v>1357</v>
      </c>
      <c r="C1244" s="27">
        <v>0</v>
      </c>
      <c r="D1244" s="27">
        <v>0</v>
      </c>
      <c r="E1244" s="27">
        <v>0</v>
      </c>
    </row>
    <row r="1245" spans="1:5" hidden="1" outlineLevel="2">
      <c r="A1245" s="3" t="e">
        <f>(HYPERLINK("http://www.autodoc.ru/Web/price/art/2732ACDMVW2P?analog=on","2732ACDMVW2P"))*1</f>
        <v>#VALUE!</v>
      </c>
      <c r="B1245" s="1">
        <v>6962276</v>
      </c>
      <c r="C1245" t="s">
        <v>122</v>
      </c>
      <c r="D1245" t="s">
        <v>1358</v>
      </c>
      <c r="E1245" t="s">
        <v>8</v>
      </c>
    </row>
    <row r="1246" spans="1:5" hidden="1" outlineLevel="2">
      <c r="A1246" s="3" t="e">
        <f>(HYPERLINK("http://www.autodoc.ru/Web/price/art/2732AGSMVW1B?analog=on","2732AGSMVW1B"))*1</f>
        <v>#VALUE!</v>
      </c>
      <c r="B1246" s="1">
        <v>6961322</v>
      </c>
      <c r="C1246" t="s">
        <v>122</v>
      </c>
      <c r="D1246" t="s">
        <v>1359</v>
      </c>
      <c r="E1246" t="s">
        <v>8</v>
      </c>
    </row>
    <row r="1247" spans="1:5" hidden="1" outlineLevel="2">
      <c r="A1247" s="3" t="e">
        <f>(HYPERLINK("http://www.autodoc.ru/Web/price/art/2732AGSVW?analog=on","2732AGSVW"))*1</f>
        <v>#VALUE!</v>
      </c>
      <c r="B1247" s="1">
        <v>6961323</v>
      </c>
      <c r="C1247" t="s">
        <v>122</v>
      </c>
      <c r="D1247" t="s">
        <v>1360</v>
      </c>
      <c r="E1247" t="s">
        <v>8</v>
      </c>
    </row>
    <row r="1248" spans="1:5" hidden="1" outlineLevel="2">
      <c r="A1248" s="3" t="e">
        <f>(HYPERLINK("http://www.autodoc.ru/Web/price/art/2732BGDHA?analog=on","2732BGDHA"))*1</f>
        <v>#VALUE!</v>
      </c>
      <c r="B1248" s="1">
        <v>6900600</v>
      </c>
      <c r="C1248" t="s">
        <v>122</v>
      </c>
      <c r="D1248" t="s">
        <v>1361</v>
      </c>
      <c r="E1248" t="s">
        <v>23</v>
      </c>
    </row>
    <row r="1249" spans="1:5" hidden="1" outlineLevel="2">
      <c r="A1249" s="3" t="e">
        <f>(HYPERLINK("http://www.autodoc.ru/Web/price/art/2732BGDHB1J?analog=on","2732BGDHB1J"))*1</f>
        <v>#VALUE!</v>
      </c>
      <c r="B1249" s="1">
        <v>6996486</v>
      </c>
      <c r="C1249" t="s">
        <v>122</v>
      </c>
      <c r="D1249" t="s">
        <v>1362</v>
      </c>
      <c r="E1249" t="s">
        <v>23</v>
      </c>
    </row>
    <row r="1250" spans="1:5" hidden="1" outlineLevel="2">
      <c r="A1250" s="3" t="e">
        <f>(HYPERLINK("http://www.autodoc.ru/Web/price/art/2732BGDHY2J?analog=on","2732BGDHY2J"))*1</f>
        <v>#VALUE!</v>
      </c>
      <c r="B1250" s="1">
        <v>6996485</v>
      </c>
      <c r="C1250" t="s">
        <v>122</v>
      </c>
      <c r="D1250" t="s">
        <v>1363</v>
      </c>
      <c r="E1250" t="s">
        <v>23</v>
      </c>
    </row>
    <row r="1251" spans="1:5" hidden="1" outlineLevel="2">
      <c r="A1251" s="3" t="e">
        <f>(HYPERLINK("http://www.autodoc.ru/Web/price/art/2732BGSH?analog=on","2732BGSH"))*1</f>
        <v>#VALUE!</v>
      </c>
      <c r="B1251" s="1">
        <v>6997551</v>
      </c>
      <c r="C1251" t="s">
        <v>122</v>
      </c>
      <c r="D1251" t="s">
        <v>1364</v>
      </c>
      <c r="E1251" t="s">
        <v>23</v>
      </c>
    </row>
    <row r="1252" spans="1:5" hidden="1" outlineLevel="2">
      <c r="A1252" s="3" t="e">
        <f>(HYPERLINK("http://www.autodoc.ru/Web/price/art/2732BGSHB1J?analog=on","2732BGSHB1J"))*1</f>
        <v>#VALUE!</v>
      </c>
      <c r="B1252" s="1">
        <v>6996487</v>
      </c>
      <c r="C1252" t="s">
        <v>122</v>
      </c>
      <c r="D1252" t="s">
        <v>1365</v>
      </c>
      <c r="E1252" t="s">
        <v>23</v>
      </c>
    </row>
    <row r="1253" spans="1:5" hidden="1" outlineLevel="2">
      <c r="A1253" s="3" t="e">
        <f>(HYPERLINK("http://www.autodoc.ru/Web/price/art/2732BGSHY2J?analog=on","2732BGSHY2J"))*1</f>
        <v>#VALUE!</v>
      </c>
      <c r="B1253" s="1">
        <v>6996484</v>
      </c>
      <c r="C1253" t="s">
        <v>122</v>
      </c>
      <c r="D1253" t="s">
        <v>1366</v>
      </c>
      <c r="E1253" t="s">
        <v>23</v>
      </c>
    </row>
    <row r="1254" spans="1:5" hidden="1" outlineLevel="2">
      <c r="A1254" s="3" t="e">
        <f>(HYPERLINK("http://www.autodoc.ru/Web/price/art/2732LGSH3FD?analog=on","2732LGSH3FD"))*1</f>
        <v>#VALUE!</v>
      </c>
      <c r="B1254" s="1">
        <v>6996461</v>
      </c>
      <c r="C1254" t="s">
        <v>122</v>
      </c>
      <c r="D1254" t="s">
        <v>1367</v>
      </c>
      <c r="E1254" t="s">
        <v>10</v>
      </c>
    </row>
    <row r="1255" spans="1:5" hidden="1" outlineLevel="2">
      <c r="A1255" s="3" t="e">
        <f>(HYPERLINK("http://www.autodoc.ru/Web/price/art/2732LGSH3FVZ?analog=on","2732LGSH3FVZ"))*1</f>
        <v>#VALUE!</v>
      </c>
      <c r="B1255" s="1">
        <v>6997788</v>
      </c>
      <c r="C1255" t="s">
        <v>122</v>
      </c>
      <c r="D1255" t="s">
        <v>1368</v>
      </c>
      <c r="E1255" t="s">
        <v>10</v>
      </c>
    </row>
    <row r="1256" spans="1:5" hidden="1" outlineLevel="2">
      <c r="A1256" s="3" t="e">
        <f>(HYPERLINK("http://www.autodoc.ru/Web/price/art/2732LGSH5FD?analog=on","2732LGSH5FD"))*1</f>
        <v>#VALUE!</v>
      </c>
      <c r="B1256" s="1">
        <v>6996462</v>
      </c>
      <c r="C1256" t="s">
        <v>122</v>
      </c>
      <c r="D1256" t="s">
        <v>1367</v>
      </c>
      <c r="E1256" t="s">
        <v>10</v>
      </c>
    </row>
    <row r="1257" spans="1:5" hidden="1" outlineLevel="2">
      <c r="A1257" s="3" t="e">
        <f>(HYPERLINK("http://www.autodoc.ru/Web/price/art/2732LGSH5RD?analog=on","2732LGSH5RD"))*1</f>
        <v>#VALUE!</v>
      </c>
      <c r="B1257" s="1">
        <v>6992183</v>
      </c>
      <c r="C1257" t="s">
        <v>122</v>
      </c>
      <c r="D1257" t="s">
        <v>1369</v>
      </c>
      <c r="E1257" t="s">
        <v>10</v>
      </c>
    </row>
    <row r="1258" spans="1:5" hidden="1" outlineLevel="2">
      <c r="A1258" s="3" t="e">
        <f>(HYPERLINK("http://www.autodoc.ru/Web/price/art/2732LGSH5RQZ?analog=on","2732LGSH5RQZ"))*1</f>
        <v>#VALUE!</v>
      </c>
      <c r="B1258" s="1">
        <v>6996580</v>
      </c>
      <c r="C1258" t="s">
        <v>122</v>
      </c>
      <c r="D1258" t="s">
        <v>1370</v>
      </c>
      <c r="E1258" t="s">
        <v>10</v>
      </c>
    </row>
    <row r="1259" spans="1:5" hidden="1" outlineLevel="2">
      <c r="A1259" s="3" t="e">
        <f>(HYPERLINK("http://www.autodoc.ru/Web/price/art/2732RGSH3FD?analog=on","2732RGSH3FD"))*1</f>
        <v>#VALUE!</v>
      </c>
      <c r="B1259" s="1">
        <v>6993868</v>
      </c>
      <c r="C1259" t="s">
        <v>122</v>
      </c>
      <c r="D1259" t="s">
        <v>1371</v>
      </c>
      <c r="E1259" t="s">
        <v>10</v>
      </c>
    </row>
    <row r="1260" spans="1:5" hidden="1" outlineLevel="2">
      <c r="A1260" s="3" t="e">
        <f>(HYPERLINK("http://www.autodoc.ru/Web/price/art/2732RGSH3FVZ?analog=on","2732RGSH3FVZ"))*1</f>
        <v>#VALUE!</v>
      </c>
      <c r="B1260" s="1">
        <v>6997787</v>
      </c>
      <c r="C1260" t="s">
        <v>122</v>
      </c>
      <c r="D1260" t="s">
        <v>1372</v>
      </c>
      <c r="E1260" t="s">
        <v>10</v>
      </c>
    </row>
    <row r="1261" spans="1:5" hidden="1" outlineLevel="2">
      <c r="A1261" s="3" t="e">
        <f>(HYPERLINK("http://www.autodoc.ru/Web/price/art/2732RGSH3RQAZ?analog=on","2732RGSH3RQAZ"))*1</f>
        <v>#VALUE!</v>
      </c>
      <c r="B1261" s="1">
        <v>6996582</v>
      </c>
      <c r="C1261" t="s">
        <v>122</v>
      </c>
      <c r="D1261" t="s">
        <v>1373</v>
      </c>
      <c r="E1261" t="s">
        <v>10</v>
      </c>
    </row>
    <row r="1262" spans="1:5" hidden="1" outlineLevel="2">
      <c r="A1262" s="3" t="e">
        <f>(HYPERLINK("http://www.autodoc.ru/Web/price/art/2732RGSH5FD?analog=on","2732RGSH5FD"))*1</f>
        <v>#VALUE!</v>
      </c>
      <c r="B1262" s="1">
        <v>6993869</v>
      </c>
      <c r="C1262" t="s">
        <v>122</v>
      </c>
      <c r="D1262" t="s">
        <v>1371</v>
      </c>
      <c r="E1262" t="s">
        <v>10</v>
      </c>
    </row>
    <row r="1263" spans="1:5" hidden="1" outlineLevel="2">
      <c r="A1263" s="3" t="e">
        <f>(HYPERLINK("http://www.autodoc.ru/Web/price/art/2732RGSH5RD?analog=on","2732RGSH5RD"))*1</f>
        <v>#VALUE!</v>
      </c>
      <c r="B1263" s="1">
        <v>6992184</v>
      </c>
      <c r="C1263" t="s">
        <v>122</v>
      </c>
      <c r="D1263" t="s">
        <v>1374</v>
      </c>
      <c r="E1263" t="s">
        <v>10</v>
      </c>
    </row>
    <row r="1264" spans="1:5" hidden="1" outlineLevel="2">
      <c r="A1264" s="3" t="e">
        <f>(HYPERLINK("http://www.autodoc.ru/Web/price/art/2732RGSH5RQZ?analog=on","2732RGSH5RQZ"))*1</f>
        <v>#VALUE!</v>
      </c>
      <c r="B1264" s="1">
        <v>6996581</v>
      </c>
      <c r="C1264" t="s">
        <v>122</v>
      </c>
      <c r="D1264" t="s">
        <v>1375</v>
      </c>
      <c r="E1264" t="s">
        <v>10</v>
      </c>
    </row>
    <row r="1265" spans="1:5" hidden="1" outlineLevel="1">
      <c r="A1265" s="2">
        <v>0</v>
      </c>
      <c r="B1265" s="26" t="s">
        <v>1376</v>
      </c>
      <c r="C1265" s="27">
        <v>0</v>
      </c>
      <c r="D1265" s="27">
        <v>0</v>
      </c>
      <c r="E1265" s="27">
        <v>0</v>
      </c>
    </row>
    <row r="1266" spans="1:5" hidden="1" outlineLevel="2">
      <c r="A1266" s="3" t="e">
        <f>(HYPERLINK("http://www.autodoc.ru/Web/price/art/2746AGAVW?analog=on","2746AGAVW"))*1</f>
        <v>#VALUE!</v>
      </c>
      <c r="B1266" s="1">
        <v>6965676</v>
      </c>
      <c r="C1266" t="s">
        <v>341</v>
      </c>
      <c r="D1266" t="s">
        <v>1377</v>
      </c>
      <c r="E1266" t="s">
        <v>8</v>
      </c>
    </row>
    <row r="1267" spans="1:5" hidden="1" outlineLevel="2">
      <c r="A1267" s="3" t="e">
        <f>(HYPERLINK("http://www.autodoc.ru/Web/price/art/2746AGAMVW1B?analog=on","2746AGAMVW1B"))*1</f>
        <v>#VALUE!</v>
      </c>
      <c r="B1267" s="1">
        <v>6965555</v>
      </c>
      <c r="C1267" t="s">
        <v>341</v>
      </c>
      <c r="D1267" t="s">
        <v>1378</v>
      </c>
      <c r="E1267" t="s">
        <v>8</v>
      </c>
    </row>
    <row r="1268" spans="1:5" hidden="1" outlineLevel="2">
      <c r="A1268" s="3" t="e">
        <f>(HYPERLINK("http://www.autodoc.ru/Web/price/art/2746BGPHA?analog=on","2746BGPHA"))*1</f>
        <v>#VALUE!</v>
      </c>
      <c r="B1268" s="1">
        <v>6900920</v>
      </c>
      <c r="C1268" t="s">
        <v>341</v>
      </c>
      <c r="D1268" t="s">
        <v>1379</v>
      </c>
      <c r="E1268" t="s">
        <v>23</v>
      </c>
    </row>
    <row r="1269" spans="1:5" hidden="1" outlineLevel="2">
      <c r="A1269" s="3" t="e">
        <f>(HYPERLINK("http://www.autodoc.ru/Web/price/art/2746BGSH?analog=on","2746BGSH"))*1</f>
        <v>#VALUE!</v>
      </c>
      <c r="B1269" s="1">
        <v>6900919</v>
      </c>
      <c r="C1269" t="s">
        <v>341</v>
      </c>
      <c r="D1269" t="s">
        <v>1380</v>
      </c>
      <c r="E1269" t="s">
        <v>23</v>
      </c>
    </row>
    <row r="1270" spans="1:5" hidden="1" outlineLevel="1">
      <c r="A1270" s="2">
        <v>0</v>
      </c>
      <c r="B1270" s="26" t="s">
        <v>1381</v>
      </c>
      <c r="C1270" s="27">
        <v>0</v>
      </c>
      <c r="D1270" s="27">
        <v>0</v>
      </c>
      <c r="E1270" s="27">
        <v>0</v>
      </c>
    </row>
    <row r="1271" spans="1:5" hidden="1" outlineLevel="2">
      <c r="A1271" s="3" t="e">
        <f>(HYPERLINK("http://www.autodoc.ru/Web/price/art/2735ACDMVZ6A?analog=on","2735ACDMVZ6A"))*1</f>
        <v>#VALUE!</v>
      </c>
      <c r="B1271" s="1">
        <v>6962527</v>
      </c>
      <c r="C1271" t="s">
        <v>389</v>
      </c>
      <c r="D1271" t="s">
        <v>1382</v>
      </c>
      <c r="E1271" t="s">
        <v>8</v>
      </c>
    </row>
    <row r="1272" spans="1:5" hidden="1" outlineLevel="2">
      <c r="A1272" s="3" t="e">
        <f>(HYPERLINK("http://www.autodoc.ru/Web/price/art/2735ACDMVZ7A?analog=on","2735ACDMVZ7A"))*1</f>
        <v>#VALUE!</v>
      </c>
      <c r="B1272" s="1">
        <v>6962529</v>
      </c>
      <c r="C1272" t="s">
        <v>389</v>
      </c>
      <c r="D1272" t="s">
        <v>1382</v>
      </c>
      <c r="E1272" t="s">
        <v>8</v>
      </c>
    </row>
    <row r="1273" spans="1:5" hidden="1" outlineLevel="2">
      <c r="A1273" s="3" t="e">
        <f>(HYPERLINK("http://www.autodoc.ru/Web/price/art/2735AGAVZ1P?analog=on","2735AGAVZ1P"))*1</f>
        <v>#VALUE!</v>
      </c>
      <c r="B1273" s="1">
        <v>6962526</v>
      </c>
      <c r="C1273" t="s">
        <v>389</v>
      </c>
      <c r="D1273" t="s">
        <v>1383</v>
      </c>
      <c r="E1273" t="s">
        <v>8</v>
      </c>
    </row>
    <row r="1274" spans="1:5" hidden="1" outlineLevel="2">
      <c r="A1274" s="3" t="e">
        <f>(HYPERLINK("http://www.autodoc.ru/Web/price/art/2735LGSM5FD?analog=on","2735LGSM5FD"))*1</f>
        <v>#VALUE!</v>
      </c>
      <c r="B1274" s="1">
        <v>6999937</v>
      </c>
      <c r="C1274" t="s">
        <v>389</v>
      </c>
      <c r="D1274" t="s">
        <v>1384</v>
      </c>
      <c r="E1274" t="s">
        <v>10</v>
      </c>
    </row>
    <row r="1275" spans="1:5" hidden="1" outlineLevel="2">
      <c r="A1275" s="3" t="e">
        <f>(HYPERLINK("http://www.autodoc.ru/Web/price/art/2735LGSM5RDW?analog=on","2735LGSM5RDW"))*1</f>
        <v>#VALUE!</v>
      </c>
      <c r="B1275" s="1">
        <v>6900131</v>
      </c>
      <c r="C1275" t="s">
        <v>290</v>
      </c>
      <c r="D1275" t="s">
        <v>1385</v>
      </c>
      <c r="E1275" t="s">
        <v>10</v>
      </c>
    </row>
    <row r="1276" spans="1:5" hidden="1" outlineLevel="2">
      <c r="A1276" s="3" t="e">
        <f>(HYPERLINK("http://www.autodoc.ru/Web/price/art/2735LGSM5RDW1J?analog=on","2735LGSM5RDW1J"))*1</f>
        <v>#VALUE!</v>
      </c>
      <c r="B1276" s="1">
        <v>6900132</v>
      </c>
      <c r="C1276" t="s">
        <v>389</v>
      </c>
      <c r="D1276" t="s">
        <v>1386</v>
      </c>
      <c r="E1276" t="s">
        <v>10</v>
      </c>
    </row>
    <row r="1277" spans="1:5" hidden="1" outlineLevel="2">
      <c r="A1277" s="3" t="e">
        <f>(HYPERLINK("http://www.autodoc.ru/Web/price/art/2735RGSM5FD?analog=on","2735RGSM5FD"))*1</f>
        <v>#VALUE!</v>
      </c>
      <c r="B1277" s="1">
        <v>6900027</v>
      </c>
      <c r="C1277" t="s">
        <v>389</v>
      </c>
      <c r="D1277" t="s">
        <v>1387</v>
      </c>
      <c r="E1277" t="s">
        <v>10</v>
      </c>
    </row>
    <row r="1278" spans="1:5" hidden="1" outlineLevel="2">
      <c r="A1278" s="3" t="e">
        <f>(HYPERLINK("http://www.autodoc.ru/Web/price/art/2735RGSM5RDW?analog=on","2735RGSM5RDW"))*1</f>
        <v>#VALUE!</v>
      </c>
      <c r="B1278" s="1">
        <v>6900363</v>
      </c>
      <c r="C1278" t="s">
        <v>290</v>
      </c>
      <c r="D1278" t="s">
        <v>1388</v>
      </c>
      <c r="E1278" t="s">
        <v>10</v>
      </c>
    </row>
    <row r="1279" spans="1:5" hidden="1" outlineLevel="2">
      <c r="A1279" s="3" t="e">
        <f>(HYPERLINK("http://www.autodoc.ru/Web/price/art/2735RGSM5RDW1J?analog=on","2735RGSM5RDW1J"))*1</f>
        <v>#VALUE!</v>
      </c>
      <c r="B1279" s="1">
        <v>6900362</v>
      </c>
      <c r="C1279" t="s">
        <v>389</v>
      </c>
      <c r="D1279" t="s">
        <v>1389</v>
      </c>
      <c r="E1279" t="s">
        <v>10</v>
      </c>
    </row>
    <row r="1280" spans="1:5" hidden="1" outlineLevel="1">
      <c r="A1280" s="2">
        <v>0</v>
      </c>
      <c r="B1280" s="26" t="s">
        <v>1390</v>
      </c>
      <c r="C1280" s="27">
        <v>0</v>
      </c>
      <c r="D1280" s="27">
        <v>0</v>
      </c>
      <c r="E1280" s="27">
        <v>0</v>
      </c>
    </row>
    <row r="1281" spans="1:5" hidden="1" outlineLevel="2">
      <c r="A1281" s="3" t="e">
        <f>(HYPERLINK("http://www.autodoc.ru/Web/price/art/2727ACCMV1B?analog=on","2727ACCMV1B"))*1</f>
        <v>#VALUE!</v>
      </c>
      <c r="B1281" s="1">
        <v>6960829</v>
      </c>
      <c r="C1281" t="s">
        <v>755</v>
      </c>
      <c r="D1281" t="s">
        <v>1391</v>
      </c>
      <c r="E1281" t="s">
        <v>8</v>
      </c>
    </row>
    <row r="1282" spans="1:5" hidden="1" outlineLevel="2">
      <c r="A1282" s="3" t="e">
        <f>(HYPERLINK("http://www.autodoc.ru/Web/price/art/2727ACCMV6T?analog=on","2727ACCMV6T"))*1</f>
        <v>#VALUE!</v>
      </c>
      <c r="B1282" s="1">
        <v>6961229</v>
      </c>
      <c r="C1282" t="s">
        <v>755</v>
      </c>
      <c r="D1282" t="s">
        <v>1392</v>
      </c>
      <c r="E1282" t="s">
        <v>8</v>
      </c>
    </row>
    <row r="1283" spans="1:5" hidden="1" outlineLevel="2">
      <c r="A1283" s="3" t="e">
        <f>(HYPERLINK("http://www.autodoc.ru/Web/price/art/2727ACCV1B?analog=on","2727ACCV1B"))*1</f>
        <v>#VALUE!</v>
      </c>
      <c r="B1283" s="1">
        <v>6960830</v>
      </c>
      <c r="C1283" t="s">
        <v>755</v>
      </c>
      <c r="D1283" t="s">
        <v>1393</v>
      </c>
      <c r="E1283" t="s">
        <v>8</v>
      </c>
    </row>
    <row r="1284" spans="1:5" hidden="1" outlineLevel="2">
      <c r="A1284" s="3" t="e">
        <f>(HYPERLINK("http://www.autodoc.ru/Web/price/art/2727AGSV?analog=on","2727AGSV"))*1</f>
        <v>#VALUE!</v>
      </c>
      <c r="B1284" s="1">
        <v>6960808</v>
      </c>
      <c r="C1284" t="s">
        <v>945</v>
      </c>
      <c r="D1284" t="s">
        <v>1394</v>
      </c>
      <c r="E1284" t="s">
        <v>8</v>
      </c>
    </row>
    <row r="1285" spans="1:5" hidden="1" outlineLevel="2">
      <c r="A1285" s="3" t="e">
        <f>(HYPERLINK("http://www.autodoc.ru/Web/price/art/2727AKMH?analog=on","2727AKMH"))*1</f>
        <v>#VALUE!</v>
      </c>
      <c r="B1285" s="1">
        <v>6100417</v>
      </c>
      <c r="C1285" t="s">
        <v>19</v>
      </c>
      <c r="D1285" t="s">
        <v>1395</v>
      </c>
      <c r="E1285" t="s">
        <v>21</v>
      </c>
    </row>
    <row r="1286" spans="1:5" hidden="1" outlineLevel="2">
      <c r="A1286" s="3" t="e">
        <f>(HYPERLINK("http://www.autodoc.ru/Web/price/art/2727ASMH?analog=on","2727ASMH"))*1</f>
        <v>#VALUE!</v>
      </c>
      <c r="B1286" s="1">
        <v>6101068</v>
      </c>
      <c r="C1286" t="s">
        <v>19</v>
      </c>
      <c r="D1286" t="s">
        <v>1396</v>
      </c>
      <c r="E1286" t="s">
        <v>21</v>
      </c>
    </row>
    <row r="1287" spans="1:5" hidden="1" outlineLevel="2">
      <c r="A1287" s="3" t="e">
        <f>(HYPERLINK("http://www.autodoc.ru/Web/price/art/2727ASMHB?analog=on","2727ASMHB"))*1</f>
        <v>#VALUE!</v>
      </c>
      <c r="B1287" s="1">
        <v>6101067</v>
      </c>
      <c r="C1287" t="s">
        <v>19</v>
      </c>
      <c r="D1287" t="s">
        <v>1397</v>
      </c>
      <c r="E1287" t="s">
        <v>21</v>
      </c>
    </row>
    <row r="1288" spans="1:5" hidden="1" outlineLevel="2">
      <c r="A1288" s="3" t="e">
        <f>(HYPERLINK("http://www.autodoc.ru/Web/price/art/2727BGSEOW?analog=on","2727BGSEOW"))*1</f>
        <v>#VALUE!</v>
      </c>
      <c r="B1288" s="1">
        <v>6992930</v>
      </c>
      <c r="C1288" t="s">
        <v>753</v>
      </c>
      <c r="D1288" t="s">
        <v>1398</v>
      </c>
      <c r="E1288" t="s">
        <v>23</v>
      </c>
    </row>
    <row r="1289" spans="1:5" hidden="1" outlineLevel="2">
      <c r="A1289" s="3" t="e">
        <f>(HYPERLINK("http://www.autodoc.ru/Web/price/art/2727BGSHBZ?analog=on","2727BGSHBZ"))*1</f>
        <v>#VALUE!</v>
      </c>
      <c r="B1289" s="1">
        <v>6992931</v>
      </c>
      <c r="C1289" t="s">
        <v>753</v>
      </c>
      <c r="D1289" t="s">
        <v>1399</v>
      </c>
      <c r="E1289" t="s">
        <v>23</v>
      </c>
    </row>
    <row r="1290" spans="1:5" hidden="1" outlineLevel="2">
      <c r="A1290" s="3" t="e">
        <f>(HYPERLINK("http://www.autodoc.ru/Web/price/art/2727BGSHBZ1H?analog=on","2727BGSHBZ1H"))*1</f>
        <v>#VALUE!</v>
      </c>
      <c r="B1290" s="1">
        <v>6993050</v>
      </c>
      <c r="C1290" t="s">
        <v>753</v>
      </c>
      <c r="D1290" t="s">
        <v>1400</v>
      </c>
      <c r="E1290" t="s">
        <v>23</v>
      </c>
    </row>
    <row r="1291" spans="1:5" hidden="1" outlineLevel="2">
      <c r="A1291" s="3" t="e">
        <f>(HYPERLINK("http://www.autodoc.ru/Web/price/art/2727BGSHBZ1R?analog=on","2727BGSHBZ1R"))*1</f>
        <v>#VALUE!</v>
      </c>
      <c r="B1291" s="1">
        <v>6999493</v>
      </c>
      <c r="C1291" t="s">
        <v>753</v>
      </c>
      <c r="D1291" t="s">
        <v>1401</v>
      </c>
      <c r="E1291" t="s">
        <v>23</v>
      </c>
    </row>
    <row r="1292" spans="1:5" hidden="1" outlineLevel="2">
      <c r="A1292" s="3" t="e">
        <f>(HYPERLINK("http://www.autodoc.ru/Web/price/art/2727LGAH5FDKW?analog=on","2727LGAH5FDKW"))*1</f>
        <v>#VALUE!</v>
      </c>
      <c r="B1292" s="1">
        <v>6962922</v>
      </c>
      <c r="C1292" t="s">
        <v>945</v>
      </c>
      <c r="D1292" t="s">
        <v>1402</v>
      </c>
      <c r="E1292" t="s">
        <v>10</v>
      </c>
    </row>
    <row r="1293" spans="1:5" hidden="1" outlineLevel="2">
      <c r="A1293" s="3" t="e">
        <f>(HYPERLINK("http://www.autodoc.ru/Web/price/art/2727LGAH5RDKW?analog=on","2727LGAH5RDKW"))*1</f>
        <v>#VALUE!</v>
      </c>
      <c r="B1293" s="1">
        <v>6962925</v>
      </c>
      <c r="C1293" t="s">
        <v>945</v>
      </c>
      <c r="D1293" t="s">
        <v>1403</v>
      </c>
      <c r="E1293" t="s">
        <v>10</v>
      </c>
    </row>
    <row r="1294" spans="1:5" hidden="1" outlineLevel="2">
      <c r="A1294" s="3" t="e">
        <f>(HYPERLINK("http://www.autodoc.ru/Web/price/art/2727LGSE5RD?analog=on","2727LGSE5RD"))*1</f>
        <v>#VALUE!</v>
      </c>
      <c r="B1294" s="1">
        <v>6992836</v>
      </c>
      <c r="C1294" t="s">
        <v>753</v>
      </c>
      <c r="D1294" t="s">
        <v>1404</v>
      </c>
      <c r="E1294" t="s">
        <v>10</v>
      </c>
    </row>
    <row r="1295" spans="1:5" hidden="1" outlineLevel="2">
      <c r="A1295" s="3" t="e">
        <f>(HYPERLINK("http://www.autodoc.ru/Web/price/art/2727LGSE5RQZ?analog=on","2727LGSE5RQZ"))*1</f>
        <v>#VALUE!</v>
      </c>
      <c r="B1295" s="1">
        <v>6990855</v>
      </c>
      <c r="C1295" t="s">
        <v>945</v>
      </c>
      <c r="D1295" t="s">
        <v>1405</v>
      </c>
      <c r="E1295" t="s">
        <v>10</v>
      </c>
    </row>
    <row r="1296" spans="1:5" hidden="1" outlineLevel="2">
      <c r="A1296" s="3" t="e">
        <f>(HYPERLINK("http://www.autodoc.ru/Web/price/art/2727LGSH5FD?analog=on","2727LGSH5FD"))*1</f>
        <v>#VALUE!</v>
      </c>
      <c r="B1296" s="1">
        <v>6992754</v>
      </c>
      <c r="C1296" t="s">
        <v>945</v>
      </c>
      <c r="D1296" t="s">
        <v>1406</v>
      </c>
      <c r="E1296" t="s">
        <v>10</v>
      </c>
    </row>
    <row r="1297" spans="1:5" hidden="1" outlineLevel="2">
      <c r="A1297" s="3" t="e">
        <f>(HYPERLINK("http://www.autodoc.ru/Web/price/art/2727LGSH5RD?analog=on","2727LGSH5RD"))*1</f>
        <v>#VALUE!</v>
      </c>
      <c r="B1297" s="1">
        <v>6992755</v>
      </c>
      <c r="C1297" t="s">
        <v>945</v>
      </c>
      <c r="D1297" t="s">
        <v>1407</v>
      </c>
      <c r="E1297" t="s">
        <v>10</v>
      </c>
    </row>
    <row r="1298" spans="1:5" hidden="1" outlineLevel="2">
      <c r="A1298" s="3" t="e">
        <f>(HYPERLINK("http://www.autodoc.ru/Web/price/art/2727RGAH5FDKW?analog=on","2727RGAH5FDKW"))*1</f>
        <v>#VALUE!</v>
      </c>
      <c r="B1298" s="1">
        <v>6962924</v>
      </c>
      <c r="C1298" t="s">
        <v>945</v>
      </c>
      <c r="D1298" t="s">
        <v>1408</v>
      </c>
      <c r="E1298" t="s">
        <v>10</v>
      </c>
    </row>
    <row r="1299" spans="1:5" hidden="1" outlineLevel="2">
      <c r="A1299" s="3" t="e">
        <f>(HYPERLINK("http://www.autodoc.ru/Web/price/art/2727RGAH5RDKW?analog=on","2727RGAH5RDKW"))*1</f>
        <v>#VALUE!</v>
      </c>
      <c r="B1299" s="1">
        <v>6962928</v>
      </c>
      <c r="C1299" t="s">
        <v>945</v>
      </c>
      <c r="D1299" t="s">
        <v>1409</v>
      </c>
      <c r="E1299" t="s">
        <v>10</v>
      </c>
    </row>
    <row r="1300" spans="1:5" hidden="1" outlineLevel="2">
      <c r="A1300" s="3" t="e">
        <f>(HYPERLINK("http://www.autodoc.ru/Web/price/art/2727RGSE5RD?analog=on","2727RGSE5RD"))*1</f>
        <v>#VALUE!</v>
      </c>
      <c r="B1300" s="1">
        <v>6992756</v>
      </c>
      <c r="C1300" t="s">
        <v>753</v>
      </c>
      <c r="D1300" t="s">
        <v>1410</v>
      </c>
      <c r="E1300" t="s">
        <v>10</v>
      </c>
    </row>
    <row r="1301" spans="1:5" hidden="1" outlineLevel="2">
      <c r="A1301" s="3" t="e">
        <f>(HYPERLINK("http://www.autodoc.ru/Web/price/art/2727RGSE5RQAZ?analog=on","2727RGSE5RQAZ"))*1</f>
        <v>#VALUE!</v>
      </c>
      <c r="B1301" s="1">
        <v>6992724</v>
      </c>
      <c r="C1301" t="s">
        <v>945</v>
      </c>
      <c r="D1301" t="s">
        <v>1411</v>
      </c>
      <c r="E1301" t="s">
        <v>10</v>
      </c>
    </row>
    <row r="1302" spans="1:5" hidden="1" outlineLevel="2">
      <c r="A1302" s="3" t="e">
        <f>(HYPERLINK("http://www.autodoc.ru/Web/price/art/2727RGSE5RQZ?analog=on","2727RGSE5RQZ"))*1</f>
        <v>#VALUE!</v>
      </c>
      <c r="B1302" s="1">
        <v>6990854</v>
      </c>
      <c r="C1302" t="s">
        <v>945</v>
      </c>
      <c r="D1302" t="s">
        <v>1412</v>
      </c>
      <c r="E1302" t="s">
        <v>10</v>
      </c>
    </row>
    <row r="1303" spans="1:5" hidden="1" outlineLevel="2">
      <c r="A1303" s="3" t="e">
        <f>(HYPERLINK("http://www.autodoc.ru/Web/price/art/2727RGSH5FD?analog=on","2727RGSH5FD"))*1</f>
        <v>#VALUE!</v>
      </c>
      <c r="B1303" s="1">
        <v>6992757</v>
      </c>
      <c r="C1303" t="s">
        <v>945</v>
      </c>
      <c r="D1303" t="s">
        <v>1413</v>
      </c>
      <c r="E1303" t="s">
        <v>10</v>
      </c>
    </row>
    <row r="1304" spans="1:5" hidden="1" outlineLevel="2">
      <c r="A1304" s="3" t="e">
        <f>(HYPERLINK("http://www.autodoc.ru/Web/price/art/2727RGSH5RD?analog=on","2727RGSH5RD"))*1</f>
        <v>#VALUE!</v>
      </c>
      <c r="B1304" s="1">
        <v>6992758</v>
      </c>
      <c r="C1304" t="s">
        <v>945</v>
      </c>
      <c r="D1304" t="s">
        <v>1414</v>
      </c>
      <c r="E1304" t="s">
        <v>10</v>
      </c>
    </row>
    <row r="1305" spans="1:5" hidden="1" outlineLevel="1">
      <c r="A1305" s="2">
        <v>0</v>
      </c>
      <c r="B1305" s="26" t="s">
        <v>1415</v>
      </c>
      <c r="C1305" s="27">
        <v>0</v>
      </c>
      <c r="D1305" s="27">
        <v>0</v>
      </c>
      <c r="E1305" s="27">
        <v>0</v>
      </c>
    </row>
    <row r="1306" spans="1:5" hidden="1" outlineLevel="2">
      <c r="A1306" s="3" t="e">
        <f>(HYPERLINK("http://www.autodoc.ru/Web/price/art/2740AGAMVZ1B?analog=on","2740AGAMVZ1B"))*1</f>
        <v>#VALUE!</v>
      </c>
      <c r="B1306" s="1">
        <v>6963042</v>
      </c>
      <c r="C1306" t="s">
        <v>256</v>
      </c>
      <c r="D1306" t="s">
        <v>1416</v>
      </c>
      <c r="E1306" t="s">
        <v>8</v>
      </c>
    </row>
    <row r="1307" spans="1:5" hidden="1" outlineLevel="2">
      <c r="A1307" s="3" t="e">
        <f>(HYPERLINK("http://www.autodoc.ru/Web/price/art/2740AGAVZ?analog=on","2740AGAVZ"))*1</f>
        <v>#VALUE!</v>
      </c>
      <c r="B1307" s="1">
        <v>6963043</v>
      </c>
      <c r="C1307" t="s">
        <v>256</v>
      </c>
      <c r="D1307" t="s">
        <v>1417</v>
      </c>
      <c r="E1307" t="s">
        <v>8</v>
      </c>
    </row>
    <row r="1308" spans="1:5" hidden="1" outlineLevel="2">
      <c r="A1308" s="3" t="e">
        <f>(HYPERLINK("http://www.autodoc.ru/Web/price/art/2740BGPEW?analog=on","2740BGPEW"))*1</f>
        <v>#VALUE!</v>
      </c>
      <c r="B1308" s="1">
        <v>6994733</v>
      </c>
      <c r="C1308" t="s">
        <v>256</v>
      </c>
      <c r="D1308" t="s">
        <v>1418</v>
      </c>
      <c r="E1308" t="s">
        <v>23</v>
      </c>
    </row>
    <row r="1309" spans="1:5" hidden="1" outlineLevel="2">
      <c r="A1309" s="3" t="e">
        <f>(HYPERLINK("http://www.autodoc.ru/Web/price/art/2740BGSEW?analog=on","2740BGSEW"))*1</f>
        <v>#VALUE!</v>
      </c>
      <c r="B1309" s="1">
        <v>6994732</v>
      </c>
      <c r="C1309" t="s">
        <v>256</v>
      </c>
      <c r="D1309" t="s">
        <v>1419</v>
      </c>
      <c r="E1309" t="s">
        <v>23</v>
      </c>
    </row>
    <row r="1310" spans="1:5" hidden="1" outlineLevel="2">
      <c r="A1310" s="3" t="e">
        <f>(HYPERLINK("http://www.autodoc.ru/Web/price/art/2740BGSSBW?analog=on","2740BGSSBW"))*1</f>
        <v>#VALUE!</v>
      </c>
      <c r="B1310" s="1">
        <v>6900806</v>
      </c>
      <c r="C1310" t="s">
        <v>256</v>
      </c>
      <c r="D1310" t="s">
        <v>1420</v>
      </c>
      <c r="E1310" t="s">
        <v>23</v>
      </c>
    </row>
    <row r="1311" spans="1:5" hidden="1" outlineLevel="2">
      <c r="A1311" s="3" t="e">
        <f>(HYPERLINK("http://www.autodoc.ru/Web/price/art/2740LGAS4FDKW?analog=on","2740LGAS4FDKW"))*1</f>
        <v>#VALUE!</v>
      </c>
      <c r="B1311" s="1">
        <v>6964629</v>
      </c>
      <c r="C1311" t="s">
        <v>256</v>
      </c>
      <c r="D1311" t="s">
        <v>1421</v>
      </c>
      <c r="E1311" t="s">
        <v>10</v>
      </c>
    </row>
    <row r="1312" spans="1:5" hidden="1" outlineLevel="2">
      <c r="A1312" s="3" t="e">
        <f>(HYPERLINK("http://www.autodoc.ru/Web/price/art/2740LGAS4RDKW?analog=on","2740LGAS4RDKW"))*1</f>
        <v>#VALUE!</v>
      </c>
      <c r="B1312" s="1">
        <v>6964631</v>
      </c>
      <c r="C1312" t="s">
        <v>256</v>
      </c>
      <c r="D1312" t="s">
        <v>1422</v>
      </c>
      <c r="E1312" t="s">
        <v>10</v>
      </c>
    </row>
    <row r="1313" spans="1:5" hidden="1" outlineLevel="2">
      <c r="A1313" s="3" t="e">
        <f>(HYPERLINK("http://www.autodoc.ru/Web/price/art/2740LGSS4FD?analog=on","2740LGSS4FD"))*1</f>
        <v>#VALUE!</v>
      </c>
      <c r="B1313" s="1">
        <v>6900810</v>
      </c>
      <c r="C1313" t="s">
        <v>256</v>
      </c>
      <c r="D1313" t="s">
        <v>1423</v>
      </c>
      <c r="E1313" t="s">
        <v>10</v>
      </c>
    </row>
    <row r="1314" spans="1:5" hidden="1" outlineLevel="2">
      <c r="A1314" s="3" t="e">
        <f>(HYPERLINK("http://www.autodoc.ru/Web/price/art/2740LGSS4RD?analog=on","2740LGSS4RD"))*1</f>
        <v>#VALUE!</v>
      </c>
      <c r="B1314" s="1">
        <v>6900809</v>
      </c>
      <c r="C1314" t="s">
        <v>256</v>
      </c>
      <c r="D1314" t="s">
        <v>1424</v>
      </c>
      <c r="E1314" t="s">
        <v>10</v>
      </c>
    </row>
    <row r="1315" spans="1:5" hidden="1" outlineLevel="2">
      <c r="A1315" s="3" t="e">
        <f>(HYPERLINK("http://www.autodoc.ru/Web/price/art/2740RGAS4FDKW?analog=on","2740RGAS4FDKW"))*1</f>
        <v>#VALUE!</v>
      </c>
      <c r="B1315" s="1">
        <v>6964628</v>
      </c>
      <c r="C1315" t="s">
        <v>256</v>
      </c>
      <c r="D1315" t="s">
        <v>1425</v>
      </c>
      <c r="E1315" t="s">
        <v>10</v>
      </c>
    </row>
    <row r="1316" spans="1:5" hidden="1" outlineLevel="2">
      <c r="A1316" s="3" t="e">
        <f>(HYPERLINK("http://www.autodoc.ru/Web/price/art/2740RGAS4RDKW?analog=on","2740RGAS4RDKW"))*1</f>
        <v>#VALUE!</v>
      </c>
      <c r="B1316" s="1">
        <v>6964630</v>
      </c>
      <c r="C1316" t="s">
        <v>256</v>
      </c>
      <c r="D1316" t="s">
        <v>1426</v>
      </c>
      <c r="E1316" t="s">
        <v>10</v>
      </c>
    </row>
    <row r="1317" spans="1:5" hidden="1" outlineLevel="2">
      <c r="A1317" s="3" t="e">
        <f>(HYPERLINK("http://www.autodoc.ru/Web/price/art/2740RGSS4FD?analog=on","2740RGSS4FD"))*1</f>
        <v>#VALUE!</v>
      </c>
      <c r="B1317" s="1">
        <v>6900807</v>
      </c>
      <c r="C1317" t="s">
        <v>256</v>
      </c>
      <c r="D1317" t="s">
        <v>1427</v>
      </c>
      <c r="E1317" t="s">
        <v>10</v>
      </c>
    </row>
    <row r="1318" spans="1:5" hidden="1" outlineLevel="2">
      <c r="A1318" s="3" t="e">
        <f>(HYPERLINK("http://www.autodoc.ru/Web/price/art/2740RGSS4RD?analog=on","2740RGSS4RD"))*1</f>
        <v>#VALUE!</v>
      </c>
      <c r="B1318" s="1">
        <v>6900808</v>
      </c>
      <c r="C1318" t="s">
        <v>256</v>
      </c>
      <c r="D1318" t="s">
        <v>1428</v>
      </c>
      <c r="E1318" t="s">
        <v>10</v>
      </c>
    </row>
    <row r="1319" spans="1:5" hidden="1" outlineLevel="1">
      <c r="A1319" s="2">
        <v>0</v>
      </c>
      <c r="B1319" s="26" t="s">
        <v>1429</v>
      </c>
      <c r="C1319" s="27">
        <v>0</v>
      </c>
      <c r="D1319" s="27">
        <v>0</v>
      </c>
      <c r="E1319" s="27">
        <v>0</v>
      </c>
    </row>
    <row r="1320" spans="1:5" hidden="1" outlineLevel="2">
      <c r="A1320" s="3" t="e">
        <f>(HYPERLINK("http://www.autodoc.ru/Web/price/art/2733ACCMVZ?analog=on","2733ACCMVZ"))*1</f>
        <v>#VALUE!</v>
      </c>
      <c r="B1320" s="1">
        <v>6961642</v>
      </c>
      <c r="C1320" t="s">
        <v>226</v>
      </c>
      <c r="D1320" t="s">
        <v>1430</v>
      </c>
      <c r="E1320" t="s">
        <v>8</v>
      </c>
    </row>
    <row r="1321" spans="1:5" hidden="1" outlineLevel="2">
      <c r="A1321" s="3" t="e">
        <f>(HYPERLINK("http://www.autodoc.ru/Web/price/art/2733BGDSABZ?analog=on","2733BGDSABZ"))*1</f>
        <v>#VALUE!</v>
      </c>
      <c r="B1321" s="1">
        <v>6992162</v>
      </c>
      <c r="C1321" t="s">
        <v>226</v>
      </c>
      <c r="D1321" t="s">
        <v>1431</v>
      </c>
      <c r="E1321" t="s">
        <v>23</v>
      </c>
    </row>
    <row r="1322" spans="1:5" hidden="1" outlineLevel="1">
      <c r="A1322" s="2">
        <v>0</v>
      </c>
      <c r="B1322" s="26" t="s">
        <v>1432</v>
      </c>
      <c r="C1322" s="27">
        <v>0</v>
      </c>
      <c r="D1322" s="27">
        <v>0</v>
      </c>
      <c r="E1322" s="27">
        <v>0</v>
      </c>
    </row>
    <row r="1323" spans="1:5" hidden="1" outlineLevel="2">
      <c r="A1323" s="3" t="e">
        <f>(HYPERLINK("http://www.autodoc.ru/Web/price/art/2728ACCMVZ1T?analog=on","2728ACCMVZ1T"))*1</f>
        <v>#VALUE!</v>
      </c>
      <c r="B1323" s="1">
        <v>6190382</v>
      </c>
      <c r="C1323" t="s">
        <v>1433</v>
      </c>
      <c r="D1323" t="s">
        <v>1434</v>
      </c>
      <c r="E1323" t="s">
        <v>8</v>
      </c>
    </row>
    <row r="1324" spans="1:5" hidden="1" outlineLevel="2">
      <c r="A1324" s="3" t="e">
        <f>(HYPERLINK("http://www.autodoc.ru/Web/price/art/2728ACCMVZ6P?analog=on","2728ACCMVZ6P"))*1</f>
        <v>#VALUE!</v>
      </c>
      <c r="B1324" s="1">
        <v>6190383</v>
      </c>
      <c r="C1324" t="s">
        <v>290</v>
      </c>
      <c r="D1324" t="s">
        <v>1435</v>
      </c>
      <c r="E1324" t="s">
        <v>8</v>
      </c>
    </row>
    <row r="1325" spans="1:5" hidden="1" outlineLevel="2">
      <c r="A1325" s="3" t="e">
        <f>(HYPERLINK("http://www.autodoc.ru/Web/price/art/2728AGSVZ?analog=on","2728AGSVZ"))*1</f>
        <v>#VALUE!</v>
      </c>
      <c r="B1325" s="1">
        <v>6190388</v>
      </c>
      <c r="C1325" t="s">
        <v>1436</v>
      </c>
      <c r="D1325" t="s">
        <v>1437</v>
      </c>
      <c r="E1325" t="s">
        <v>8</v>
      </c>
    </row>
    <row r="1326" spans="1:5" hidden="1" outlineLevel="2">
      <c r="A1326" s="3" t="e">
        <f>(HYPERLINK("http://www.autodoc.ru/Web/price/art/2728ACCVZ?analog=on","2728ACCVZ"))*1</f>
        <v>#VALUE!</v>
      </c>
      <c r="B1326" s="1">
        <v>6190384</v>
      </c>
      <c r="C1326" t="s">
        <v>1436</v>
      </c>
      <c r="D1326" t="s">
        <v>1438</v>
      </c>
      <c r="E1326" t="s">
        <v>8</v>
      </c>
    </row>
    <row r="1327" spans="1:5" hidden="1" outlineLevel="2">
      <c r="A1327" s="3" t="e">
        <f>(HYPERLINK("http://www.autodoc.ru/Web/price/art/2728ACCMVZ?analog=on","2728ACCMVZ"))*1</f>
        <v>#VALUE!</v>
      </c>
      <c r="B1327" s="1">
        <v>6190381</v>
      </c>
      <c r="C1327" t="s">
        <v>1436</v>
      </c>
      <c r="D1327" t="s">
        <v>1439</v>
      </c>
      <c r="E1327" t="s">
        <v>8</v>
      </c>
    </row>
    <row r="1328" spans="1:5" hidden="1" outlineLevel="2">
      <c r="A1328" s="3" t="e">
        <f>(HYPERLINK("http://www.autodoc.ru/Web/price/art/2728LGSV5FD?analog=on","2728LGSV5FD"))*1</f>
        <v>#VALUE!</v>
      </c>
      <c r="B1328" s="1">
        <v>6980076</v>
      </c>
      <c r="C1328" t="s">
        <v>1436</v>
      </c>
      <c r="D1328" t="s">
        <v>1440</v>
      </c>
      <c r="E1328" t="s">
        <v>10</v>
      </c>
    </row>
    <row r="1329" spans="1:5" hidden="1" outlineLevel="2">
      <c r="A1329" s="3" t="e">
        <f>(HYPERLINK("http://www.autodoc.ru/Web/price/art/2728RGSV5FD?analog=on","2728RGSV5FD"))*1</f>
        <v>#VALUE!</v>
      </c>
      <c r="B1329" s="1">
        <v>6980077</v>
      </c>
      <c r="C1329" t="s">
        <v>1436</v>
      </c>
      <c r="D1329" t="s">
        <v>1441</v>
      </c>
      <c r="E1329" t="s">
        <v>10</v>
      </c>
    </row>
    <row r="1330" spans="1:5" hidden="1" outlineLevel="1">
      <c r="A1330" s="2">
        <v>0</v>
      </c>
      <c r="B1330" s="26" t="s">
        <v>1442</v>
      </c>
      <c r="C1330" s="27">
        <v>0</v>
      </c>
      <c r="D1330" s="27">
        <v>0</v>
      </c>
      <c r="E1330" s="27">
        <v>0</v>
      </c>
    </row>
    <row r="1331" spans="1:5" hidden="1" outlineLevel="2">
      <c r="A1331" s="3" t="e">
        <f>(HYPERLINK("http://www.autodoc.ru/Web/price/art/2716ACL?analog=on","2716ACL"))*1</f>
        <v>#VALUE!</v>
      </c>
      <c r="B1331" s="1">
        <v>6190171</v>
      </c>
      <c r="C1331" t="s">
        <v>1443</v>
      </c>
      <c r="D1331" t="s">
        <v>1444</v>
      </c>
      <c r="E1331" t="s">
        <v>8</v>
      </c>
    </row>
    <row r="1332" spans="1:5" hidden="1" outlineLevel="2">
      <c r="A1332" s="3" t="e">
        <f>(HYPERLINK("http://www.autodoc.ru/Web/price/art/2716ABZ?analog=on","2716ABZ"))*1</f>
        <v>#VALUE!</v>
      </c>
      <c r="B1332" s="1">
        <v>6190170</v>
      </c>
      <c r="C1332" t="s">
        <v>1443</v>
      </c>
      <c r="D1332" t="s">
        <v>1445</v>
      </c>
      <c r="E1332" t="s">
        <v>8</v>
      </c>
    </row>
    <row r="1333" spans="1:5" hidden="1" outlineLevel="2">
      <c r="A1333" s="3" t="e">
        <f>(HYPERLINK("http://www.autodoc.ru/Web/price/art/2716AGNGN?analog=on","2716AGNGN"))*1</f>
        <v>#VALUE!</v>
      </c>
      <c r="B1333" s="1">
        <v>6190731</v>
      </c>
      <c r="C1333" t="s">
        <v>1443</v>
      </c>
      <c r="D1333" t="s">
        <v>1446</v>
      </c>
      <c r="E1333" t="s">
        <v>8</v>
      </c>
    </row>
    <row r="1334" spans="1:5" hidden="1" outlineLevel="2">
      <c r="A1334" s="3" t="e">
        <f>(HYPERLINK("http://www.autodoc.ru/Web/price/art/2716ASRV?analog=on","2716ASRV"))*1</f>
        <v>#VALUE!</v>
      </c>
      <c r="B1334" s="1">
        <v>6100421</v>
      </c>
      <c r="C1334" t="s">
        <v>19</v>
      </c>
      <c r="D1334" t="s">
        <v>1447</v>
      </c>
      <c r="E1334" t="s">
        <v>21</v>
      </c>
    </row>
    <row r="1335" spans="1:5" hidden="1" outlineLevel="1">
      <c r="A1335" s="2">
        <v>0</v>
      </c>
      <c r="B1335" s="26" t="s">
        <v>1448</v>
      </c>
      <c r="C1335" s="27">
        <v>0</v>
      </c>
      <c r="D1335" s="27">
        <v>0</v>
      </c>
      <c r="E1335" s="27">
        <v>0</v>
      </c>
    </row>
    <row r="1336" spans="1:5" hidden="1" outlineLevel="2">
      <c r="A1336" s="3" t="e">
        <f>(HYPERLINK("http://www.autodoc.ru/Web/price/art/2738AGN?analog=on","2738AGN"))*1</f>
        <v>#VALUE!</v>
      </c>
      <c r="B1336" s="1">
        <v>6190852</v>
      </c>
      <c r="C1336" t="s">
        <v>290</v>
      </c>
      <c r="D1336" t="s">
        <v>1449</v>
      </c>
      <c r="E1336" t="s">
        <v>8</v>
      </c>
    </row>
    <row r="1337" spans="1:5" hidden="1" outlineLevel="2">
      <c r="A1337" s="3" t="e">
        <f>(HYPERLINK("http://www.autodoc.ru/Web/price/art/2738AGNH?analog=on","2738AGNH"))*1</f>
        <v>#VALUE!</v>
      </c>
      <c r="B1337" s="1">
        <v>6190854</v>
      </c>
      <c r="C1337" t="s">
        <v>290</v>
      </c>
      <c r="D1337" t="s">
        <v>1450</v>
      </c>
      <c r="E1337" t="s">
        <v>8</v>
      </c>
    </row>
    <row r="1338" spans="1:5" hidden="1" outlineLevel="2">
      <c r="A1338" s="3" t="e">
        <f>(HYPERLINK("http://www.autodoc.ru/Web/price/art/2738LGNR5FDW?analog=on","2738LGNR5FDW"))*1</f>
        <v>#VALUE!</v>
      </c>
      <c r="B1338" s="1">
        <v>6190943</v>
      </c>
      <c r="C1338" t="s">
        <v>290</v>
      </c>
      <c r="D1338" t="s">
        <v>1451</v>
      </c>
      <c r="E1338" t="s">
        <v>10</v>
      </c>
    </row>
    <row r="1339" spans="1:5" hidden="1" outlineLevel="2">
      <c r="A1339" s="3" t="e">
        <f>(HYPERLINK("http://www.autodoc.ru/Web/price/art/2738LGNR5RDW?analog=on","2738LGNR5RDW"))*1</f>
        <v>#VALUE!</v>
      </c>
      <c r="B1339" s="1">
        <v>6190944</v>
      </c>
      <c r="C1339" t="s">
        <v>290</v>
      </c>
      <c r="D1339" t="s">
        <v>1452</v>
      </c>
      <c r="E1339" t="s">
        <v>10</v>
      </c>
    </row>
    <row r="1340" spans="1:5" hidden="1" outlineLevel="2">
      <c r="A1340" s="3" t="e">
        <f>(HYPERLINK("http://www.autodoc.ru/Web/price/art/2738RGNR5FDW?analog=on","2738RGNR5FDW"))*1</f>
        <v>#VALUE!</v>
      </c>
      <c r="B1340" s="1">
        <v>6190946</v>
      </c>
      <c r="C1340" t="s">
        <v>290</v>
      </c>
      <c r="D1340" t="s">
        <v>1453</v>
      </c>
      <c r="E1340" t="s">
        <v>10</v>
      </c>
    </row>
    <row r="1341" spans="1:5" hidden="1" outlineLevel="2">
      <c r="A1341" s="3" t="e">
        <f>(HYPERLINK("http://www.autodoc.ru/Web/price/art/2738RGNR5RDW?analog=on","2738RGNR5RDW"))*1</f>
        <v>#VALUE!</v>
      </c>
      <c r="B1341" s="1">
        <v>6190947</v>
      </c>
      <c r="C1341" t="s">
        <v>290</v>
      </c>
      <c r="D1341" t="s">
        <v>1454</v>
      </c>
      <c r="E1341" t="s">
        <v>10</v>
      </c>
    </row>
    <row r="1342" spans="1:5" hidden="1" outlineLevel="1">
      <c r="A1342" s="2">
        <v>0</v>
      </c>
      <c r="B1342" s="26" t="s">
        <v>1455</v>
      </c>
      <c r="C1342" s="27">
        <v>0</v>
      </c>
      <c r="D1342" s="27">
        <v>0</v>
      </c>
      <c r="E1342" s="27">
        <v>0</v>
      </c>
    </row>
    <row r="1343" spans="1:5" hidden="1" outlineLevel="2">
      <c r="A1343" s="3" t="e">
        <f>(HYPERLINK("http://www.autodoc.ru/Web/price/art/2707ACL?analog=on","2707ACL"))*1</f>
        <v>#VALUE!</v>
      </c>
      <c r="B1343" s="1">
        <v>6965405</v>
      </c>
      <c r="C1343" t="s">
        <v>1456</v>
      </c>
      <c r="D1343" t="s">
        <v>1457</v>
      </c>
      <c r="E1343" t="s">
        <v>8</v>
      </c>
    </row>
    <row r="1344" spans="1:5" hidden="1" outlineLevel="1">
      <c r="A1344" s="2">
        <v>0</v>
      </c>
      <c r="B1344" s="26" t="s">
        <v>1458</v>
      </c>
      <c r="C1344" s="27">
        <v>0</v>
      </c>
      <c r="D1344" s="27">
        <v>0</v>
      </c>
      <c r="E1344" s="27">
        <v>0</v>
      </c>
    </row>
    <row r="1345" spans="1:5" hidden="1" outlineLevel="2">
      <c r="A1345" s="3" t="e">
        <f>(HYPERLINK("http://www.autodoc.ru/Web/price/art/2745AGAMVZ1B?analog=on","2745AGAMVZ1B"))*1</f>
        <v>#VALUE!</v>
      </c>
      <c r="B1345" s="1">
        <v>6965033</v>
      </c>
      <c r="C1345" t="s">
        <v>341</v>
      </c>
      <c r="D1345" t="s">
        <v>1459</v>
      </c>
      <c r="E1345" t="s">
        <v>8</v>
      </c>
    </row>
    <row r="1346" spans="1:5" hidden="1" outlineLevel="2">
      <c r="A1346" s="3" t="e">
        <f>(HYPERLINK("http://www.autodoc.ru/Web/price/art/2745AGSVZ?analog=on","2745AGSVZ"))*1</f>
        <v>#VALUE!</v>
      </c>
      <c r="B1346" s="1">
        <v>6965034</v>
      </c>
      <c r="C1346" t="s">
        <v>341</v>
      </c>
      <c r="D1346" t="s">
        <v>1460</v>
      </c>
      <c r="E1346" t="s">
        <v>8</v>
      </c>
    </row>
    <row r="1347" spans="1:5" hidden="1" outlineLevel="2">
      <c r="A1347" s="3" t="e">
        <f>(HYPERLINK("http://www.autodoc.ru/Web/price/art/2745BGSH?analog=on","2745BGSH"))*1</f>
        <v>#VALUE!</v>
      </c>
      <c r="B1347" s="1">
        <v>6902954</v>
      </c>
      <c r="C1347" t="s">
        <v>341</v>
      </c>
      <c r="D1347" t="s">
        <v>1461</v>
      </c>
      <c r="E1347" t="s">
        <v>23</v>
      </c>
    </row>
    <row r="1348" spans="1:5" hidden="1" outlineLevel="1">
      <c r="A1348" s="2">
        <v>0</v>
      </c>
      <c r="B1348" s="26" t="s">
        <v>1462</v>
      </c>
      <c r="C1348" s="27">
        <v>0</v>
      </c>
      <c r="D1348" s="27">
        <v>0</v>
      </c>
      <c r="E1348" s="27">
        <v>0</v>
      </c>
    </row>
    <row r="1349" spans="1:5" hidden="1" outlineLevel="2">
      <c r="A1349" s="3" t="e">
        <f>(HYPERLINK("http://www.autodoc.ru/Web/price/art/2748AGAMVW1B?analog=on","2748AGAMVW1B"))*1</f>
        <v>#VALUE!</v>
      </c>
      <c r="B1349" s="1">
        <v>6965589</v>
      </c>
      <c r="C1349" t="s">
        <v>965</v>
      </c>
      <c r="D1349" t="s">
        <v>1463</v>
      </c>
      <c r="E1349" t="s">
        <v>8</v>
      </c>
    </row>
    <row r="1350" spans="1:5" hidden="1" outlineLevel="2">
      <c r="A1350" s="3" t="e">
        <f>(HYPERLINK("http://www.autodoc.ru/Web/price/art/2748AGAVW?analog=on","2748AGAVW"))*1</f>
        <v>#VALUE!</v>
      </c>
      <c r="B1350" s="1">
        <v>6965677</v>
      </c>
      <c r="C1350" t="s">
        <v>965</v>
      </c>
      <c r="D1350" t="s">
        <v>1464</v>
      </c>
      <c r="E1350" t="s">
        <v>8</v>
      </c>
    </row>
    <row r="1351" spans="1:5" hidden="1" outlineLevel="1">
      <c r="A1351" s="2">
        <v>0</v>
      </c>
      <c r="B1351" s="26" t="s">
        <v>1465</v>
      </c>
      <c r="C1351" s="27">
        <v>0</v>
      </c>
      <c r="D1351" s="27">
        <v>0</v>
      </c>
      <c r="E1351" s="27">
        <v>0</v>
      </c>
    </row>
    <row r="1352" spans="1:5" hidden="1" outlineLevel="2">
      <c r="A1352" s="3" t="e">
        <f>(HYPERLINK("http://www.autodoc.ru/Web/price/art/2722ACL1B?analog=on","2722ACL1B"))*1</f>
        <v>#VALUE!</v>
      </c>
      <c r="B1352" s="1">
        <v>6961216</v>
      </c>
      <c r="C1352" t="s">
        <v>411</v>
      </c>
      <c r="D1352" t="s">
        <v>1466</v>
      </c>
      <c r="E1352" t="s">
        <v>8</v>
      </c>
    </row>
    <row r="1353" spans="1:5" hidden="1" outlineLevel="2">
      <c r="A1353" s="3" t="e">
        <f>(HYPERLINK("http://www.autodoc.ru/Web/price/art/2722AGN1B?analog=on","2722AGN1B"))*1</f>
        <v>#VALUE!</v>
      </c>
      <c r="B1353" s="1">
        <v>6961217</v>
      </c>
      <c r="C1353" t="s">
        <v>411</v>
      </c>
      <c r="D1353" t="s">
        <v>1467</v>
      </c>
      <c r="E1353" t="s">
        <v>8</v>
      </c>
    </row>
    <row r="1354" spans="1:5" hidden="1" outlineLevel="2">
      <c r="A1354" s="3" t="e">
        <f>(HYPERLINK("http://www.autodoc.ru/Web/price/art/2722AGNBL1B?analog=on","2722AGNBL1B"))*1</f>
        <v>#VALUE!</v>
      </c>
      <c r="B1354" s="1">
        <v>6963254</v>
      </c>
      <c r="C1354" t="s">
        <v>411</v>
      </c>
      <c r="D1354" t="s">
        <v>1468</v>
      </c>
      <c r="E1354" t="s">
        <v>8</v>
      </c>
    </row>
    <row r="1355" spans="1:5" hidden="1" outlineLevel="2">
      <c r="A1355" s="3" t="e">
        <f>(HYPERLINK("http://www.autodoc.ru/Web/price/art/2722AGNGN1B?analog=on","2722AGNGN1B"))*1</f>
        <v>#VALUE!</v>
      </c>
      <c r="B1355" s="1">
        <v>6963780</v>
      </c>
      <c r="C1355" t="s">
        <v>411</v>
      </c>
      <c r="D1355" t="s">
        <v>1469</v>
      </c>
      <c r="E1355" t="s">
        <v>8</v>
      </c>
    </row>
    <row r="1356" spans="1:5" hidden="1" outlineLevel="2">
      <c r="A1356" s="3" t="e">
        <f>(HYPERLINK("http://www.autodoc.ru/Web/price/art/2722ASMV?analog=on","2722ASMV"))*1</f>
        <v>#VALUE!</v>
      </c>
      <c r="B1356" s="1">
        <v>6101284</v>
      </c>
      <c r="C1356" t="s">
        <v>19</v>
      </c>
      <c r="D1356" t="s">
        <v>1470</v>
      </c>
      <c r="E1356" t="s">
        <v>21</v>
      </c>
    </row>
    <row r="1357" spans="1:5" hidden="1" outlineLevel="2">
      <c r="A1357" s="3" t="e">
        <f>(HYPERLINK("http://www.autodoc.ru/Web/price/art/2722BCLVLU?analog=on","2722BCLVLU"))*1</f>
        <v>#VALUE!</v>
      </c>
      <c r="B1357" s="1">
        <v>6998876</v>
      </c>
      <c r="C1357" t="s">
        <v>1471</v>
      </c>
      <c r="D1357" t="s">
        <v>1472</v>
      </c>
      <c r="E1357" t="s">
        <v>23</v>
      </c>
    </row>
    <row r="1358" spans="1:5" hidden="1" outlineLevel="2">
      <c r="A1358" s="3" t="e">
        <f>(HYPERLINK("http://www.autodoc.ru/Web/price/art/2722BCLVR?analog=on","2722BCLVR"))*1</f>
        <v>#VALUE!</v>
      </c>
      <c r="B1358" s="1">
        <v>6998710</v>
      </c>
      <c r="C1358" t="s">
        <v>1471</v>
      </c>
      <c r="D1358" t="s">
        <v>1473</v>
      </c>
      <c r="E1358" t="s">
        <v>23</v>
      </c>
    </row>
    <row r="1359" spans="1:5" hidden="1" outlineLevel="2">
      <c r="A1359" s="3" t="e">
        <f>(HYPERLINK("http://www.autodoc.ru/Web/price/art/2722BCLVRU?analog=on","2722BCLVRU"))*1</f>
        <v>#VALUE!</v>
      </c>
      <c r="B1359" s="1">
        <v>6998877</v>
      </c>
      <c r="C1359" t="s">
        <v>1471</v>
      </c>
      <c r="D1359" t="s">
        <v>1474</v>
      </c>
      <c r="E1359" t="s">
        <v>23</v>
      </c>
    </row>
    <row r="1360" spans="1:5" hidden="1" outlineLevel="2">
      <c r="A1360" s="3" t="e">
        <f>(HYPERLINK("http://www.autodoc.ru/Web/price/art/2722BCLVRU1J?analog=on","2722BCLVRU1J"))*1</f>
        <v>#VALUE!</v>
      </c>
      <c r="B1360" s="1">
        <v>6190914</v>
      </c>
      <c r="C1360" t="s">
        <v>1471</v>
      </c>
      <c r="D1360" t="s">
        <v>1475</v>
      </c>
      <c r="E1360" t="s">
        <v>23</v>
      </c>
    </row>
    <row r="1361" spans="1:5" hidden="1" outlineLevel="2">
      <c r="A1361" s="3" t="e">
        <f>(HYPERLINK("http://www.autodoc.ru/Web/price/art/2722BGNVR?analog=on","2722BGNVR"))*1</f>
        <v>#VALUE!</v>
      </c>
      <c r="B1361" s="1">
        <v>6998711</v>
      </c>
      <c r="C1361" t="s">
        <v>1471</v>
      </c>
      <c r="D1361" t="s">
        <v>1476</v>
      </c>
      <c r="E1361" t="s">
        <v>23</v>
      </c>
    </row>
    <row r="1362" spans="1:5" hidden="1" outlineLevel="2">
      <c r="A1362" s="3" t="e">
        <f>(HYPERLINK("http://www.autodoc.ru/Web/price/art/2722LCLV2FD?analog=on","2722LCLV2FD"))*1</f>
        <v>#VALUE!</v>
      </c>
      <c r="B1362" s="1">
        <v>6994343</v>
      </c>
      <c r="C1362" t="s">
        <v>1471</v>
      </c>
      <c r="D1362" t="s">
        <v>1477</v>
      </c>
      <c r="E1362" t="s">
        <v>10</v>
      </c>
    </row>
    <row r="1363" spans="1:5" hidden="1" outlineLevel="2">
      <c r="A1363" s="3" t="e">
        <f>(HYPERLINK("http://www.autodoc.ru/Web/price/art/2722LCLV2FV?analog=on","2722LCLV2FV"))*1</f>
        <v>#VALUE!</v>
      </c>
      <c r="B1363" s="1">
        <v>6995350</v>
      </c>
      <c r="C1363" t="s">
        <v>1471</v>
      </c>
      <c r="D1363" t="s">
        <v>1478</v>
      </c>
      <c r="E1363" t="s">
        <v>10</v>
      </c>
    </row>
    <row r="1364" spans="1:5" hidden="1" outlineLevel="2">
      <c r="A1364" s="3" t="e">
        <f>(HYPERLINK("http://www.autodoc.ru/Web/price/art/2722LCLV2RQ?analog=on","2722LCLV2RQ"))*1</f>
        <v>#VALUE!</v>
      </c>
      <c r="B1364" s="1">
        <v>6900325</v>
      </c>
      <c r="C1364" t="s">
        <v>1471</v>
      </c>
      <c r="D1364" t="s">
        <v>1479</v>
      </c>
      <c r="E1364" t="s">
        <v>10</v>
      </c>
    </row>
    <row r="1365" spans="1:5" hidden="1" outlineLevel="2">
      <c r="A1365" s="3" t="e">
        <f>(HYPERLINK("http://www.autodoc.ru/Web/price/art/2722LCLV2RQ1J?analog=on","2722LCLV2RQ1J"))*1</f>
        <v>#VALUE!</v>
      </c>
      <c r="B1365" s="1">
        <v>6900326</v>
      </c>
      <c r="C1365" t="s">
        <v>1471</v>
      </c>
      <c r="D1365" t="s">
        <v>1480</v>
      </c>
      <c r="E1365" t="s">
        <v>10</v>
      </c>
    </row>
    <row r="1366" spans="1:5" hidden="1" outlineLevel="2">
      <c r="A1366" s="3" t="e">
        <f>(HYPERLINK("http://www.autodoc.ru/Web/price/art/2722LGNV2FD?analog=on","2722LGNV2FD"))*1</f>
        <v>#VALUE!</v>
      </c>
      <c r="B1366" s="1">
        <v>6994345</v>
      </c>
      <c r="C1366" t="s">
        <v>1471</v>
      </c>
      <c r="D1366" t="s">
        <v>1481</v>
      </c>
      <c r="E1366" t="s">
        <v>10</v>
      </c>
    </row>
    <row r="1367" spans="1:5" hidden="1" outlineLevel="2">
      <c r="A1367" s="3" t="e">
        <f>(HYPERLINK("http://www.autodoc.ru/Web/price/art/2722RCLV2FD?analog=on","2722RCLV2FD"))*1</f>
        <v>#VALUE!</v>
      </c>
      <c r="B1367" s="1">
        <v>6994344</v>
      </c>
      <c r="C1367" t="s">
        <v>1471</v>
      </c>
      <c r="D1367" t="s">
        <v>1482</v>
      </c>
      <c r="E1367" t="s">
        <v>10</v>
      </c>
    </row>
    <row r="1368" spans="1:5" hidden="1" outlineLevel="2">
      <c r="A1368" s="3" t="e">
        <f>(HYPERLINK("http://www.autodoc.ru/Web/price/art/2722RGNV2FD?analog=on","2722RGNV2FD"))*1</f>
        <v>#VALUE!</v>
      </c>
      <c r="B1368" s="1">
        <v>6994346</v>
      </c>
      <c r="C1368" t="s">
        <v>1471</v>
      </c>
      <c r="D1368" t="s">
        <v>1483</v>
      </c>
      <c r="E1368" t="s">
        <v>10</v>
      </c>
    </row>
    <row r="1369" spans="1:5" hidden="1" outlineLevel="1">
      <c r="A1369" s="2">
        <v>0</v>
      </c>
      <c r="B1369" s="26" t="s">
        <v>1484</v>
      </c>
      <c r="C1369" s="27">
        <v>0</v>
      </c>
      <c r="D1369" s="27">
        <v>0</v>
      </c>
      <c r="E1369" s="27">
        <v>0</v>
      </c>
    </row>
    <row r="1370" spans="1:5" hidden="1" outlineLevel="2">
      <c r="A1370" s="3" t="e">
        <f>(HYPERLINK("http://www.autodoc.ru/Web/price/art/2737ACCMVZ1B?analog=on","2737ACCMVZ1B"))*1</f>
        <v>#VALUE!</v>
      </c>
      <c r="B1370" s="1">
        <v>6962372</v>
      </c>
      <c r="C1370" t="s">
        <v>389</v>
      </c>
      <c r="D1370" t="s">
        <v>1485</v>
      </c>
      <c r="E1370" t="s">
        <v>8</v>
      </c>
    </row>
    <row r="1371" spans="1:5" hidden="1" outlineLevel="2">
      <c r="A1371" s="3" t="e">
        <f>(HYPERLINK("http://www.autodoc.ru/Web/price/art/2737ACCVZ?analog=on","2737ACCVZ"))*1</f>
        <v>#VALUE!</v>
      </c>
      <c r="B1371" s="1">
        <v>6962869</v>
      </c>
      <c r="C1371" t="s">
        <v>389</v>
      </c>
      <c r="D1371" t="s">
        <v>1486</v>
      </c>
      <c r="E1371" t="s">
        <v>8</v>
      </c>
    </row>
    <row r="1372" spans="1:5" hidden="1" outlineLevel="2">
      <c r="A1372" s="3" t="e">
        <f>(HYPERLINK("http://www.autodoc.ru/Web/price/art/2737AGSMVZ1B?analog=on","2737AGSMVZ1B"))*1</f>
        <v>#VALUE!</v>
      </c>
      <c r="B1372" s="1">
        <v>6962183</v>
      </c>
      <c r="C1372" t="s">
        <v>389</v>
      </c>
      <c r="D1372" t="s">
        <v>1487</v>
      </c>
      <c r="E1372" t="s">
        <v>8</v>
      </c>
    </row>
    <row r="1373" spans="1:5" hidden="1" outlineLevel="2">
      <c r="A1373" s="3" t="e">
        <f>(HYPERLINK("http://www.autodoc.ru/Web/price/art/2737AGSVZ?analog=on","2737AGSVZ"))*1</f>
        <v>#VALUE!</v>
      </c>
      <c r="B1373" s="1">
        <v>6962179</v>
      </c>
      <c r="C1373" t="s">
        <v>389</v>
      </c>
      <c r="D1373" t="s">
        <v>1488</v>
      </c>
      <c r="E1373" t="s">
        <v>8</v>
      </c>
    </row>
    <row r="1374" spans="1:5" hidden="1" outlineLevel="2">
      <c r="A1374" s="3" t="e">
        <f>(HYPERLINK("http://www.autodoc.ru/Web/price/art/2737LGSV3FV?analog=on","2737LGSV3FV"))*1</f>
        <v>#VALUE!</v>
      </c>
      <c r="B1374" s="1">
        <v>6998587</v>
      </c>
      <c r="C1374" t="s">
        <v>389</v>
      </c>
      <c r="D1374" t="s">
        <v>1489</v>
      </c>
      <c r="E1374" t="s">
        <v>10</v>
      </c>
    </row>
    <row r="1375" spans="1:5" hidden="1" outlineLevel="1">
      <c r="A1375" s="2">
        <v>0</v>
      </c>
      <c r="B1375" s="26" t="s">
        <v>1490</v>
      </c>
      <c r="C1375" s="27">
        <v>0</v>
      </c>
      <c r="D1375" s="27">
        <v>0</v>
      </c>
      <c r="E1375" s="27">
        <v>0</v>
      </c>
    </row>
    <row r="1376" spans="1:5" hidden="1" outlineLevel="2">
      <c r="A1376" s="3" t="e">
        <f>(HYPERLINK("http://www.autodoc.ru/Web/price/art/2721ACL?analog=on","2721ACL"))*1</f>
        <v>#VALUE!</v>
      </c>
      <c r="B1376" s="1">
        <v>6965900</v>
      </c>
      <c r="C1376" t="s">
        <v>1491</v>
      </c>
      <c r="D1376" t="s">
        <v>1492</v>
      </c>
      <c r="E1376" t="s">
        <v>8</v>
      </c>
    </row>
    <row r="1377" spans="1:5" hidden="1" outlineLevel="2">
      <c r="A1377" s="3" t="e">
        <f>(HYPERLINK("http://www.autodoc.ru/Web/price/art/2721AGS?analog=on","2721AGS"))*1</f>
        <v>#VALUE!</v>
      </c>
      <c r="B1377" s="1">
        <v>6965901</v>
      </c>
      <c r="C1377" t="s">
        <v>1491</v>
      </c>
      <c r="D1377" t="s">
        <v>1493</v>
      </c>
      <c r="E1377" t="s">
        <v>8</v>
      </c>
    </row>
    <row r="1378" spans="1:5" hidden="1" outlineLevel="2">
      <c r="A1378" s="3" t="e">
        <f>(HYPERLINK("http://www.autodoc.ru/Web/price/art/2721ASMV?analog=on","2721ASMV"))*1</f>
        <v>#VALUE!</v>
      </c>
      <c r="B1378" s="1">
        <v>6100034</v>
      </c>
      <c r="C1378" t="s">
        <v>19</v>
      </c>
      <c r="D1378" t="s">
        <v>1494</v>
      </c>
      <c r="E1378" t="s">
        <v>21</v>
      </c>
    </row>
    <row r="1379" spans="1:5" hidden="1" outlineLevel="2">
      <c r="A1379" s="3" t="e">
        <f>(HYPERLINK("http://www.autodoc.ru/Web/price/art/2721BCLVL?analog=on","2721BCLVL"))*1</f>
        <v>#VALUE!</v>
      </c>
      <c r="B1379" s="1">
        <v>6991221</v>
      </c>
      <c r="C1379" t="s">
        <v>1495</v>
      </c>
      <c r="D1379" t="s">
        <v>1496</v>
      </c>
      <c r="E1379" t="s">
        <v>23</v>
      </c>
    </row>
    <row r="1380" spans="1:5" hidden="1" outlineLevel="2">
      <c r="A1380" s="3" t="e">
        <f>(HYPERLINK("http://www.autodoc.ru/Web/price/art/2721BCLVLU?analog=on","2721BCLVLU"))*1</f>
        <v>#VALUE!</v>
      </c>
      <c r="B1380" s="1">
        <v>6991219</v>
      </c>
      <c r="C1380" t="s">
        <v>1495</v>
      </c>
      <c r="D1380" t="s">
        <v>1497</v>
      </c>
      <c r="E1380" t="s">
        <v>23</v>
      </c>
    </row>
    <row r="1381" spans="1:5" hidden="1" outlineLevel="2">
      <c r="A1381" s="3" t="e">
        <f>(HYPERLINK("http://www.autodoc.ru/Web/price/art/2721BCLVR?analog=on","2721BCLVR"))*1</f>
        <v>#VALUE!</v>
      </c>
      <c r="B1381" s="1">
        <v>6991220</v>
      </c>
      <c r="C1381" t="s">
        <v>1495</v>
      </c>
      <c r="D1381" t="s">
        <v>1498</v>
      </c>
      <c r="E1381" t="s">
        <v>23</v>
      </c>
    </row>
    <row r="1382" spans="1:5" hidden="1" outlineLevel="2">
      <c r="A1382" s="3" t="e">
        <f>(HYPERLINK("http://www.autodoc.ru/Web/price/art/2721BCLVRU?analog=on","2721BCLVRU"))*1</f>
        <v>#VALUE!</v>
      </c>
      <c r="B1382" s="1">
        <v>6991216</v>
      </c>
      <c r="C1382" t="s">
        <v>1495</v>
      </c>
      <c r="D1382" t="s">
        <v>1499</v>
      </c>
      <c r="E1382" t="s">
        <v>23</v>
      </c>
    </row>
    <row r="1383" spans="1:5" hidden="1" outlineLevel="2">
      <c r="A1383" s="3" t="e">
        <f>(HYPERLINK("http://www.autodoc.ru/Web/price/art/2721BGSVB?analog=on","2721BGSVB"))*1</f>
        <v>#VALUE!</v>
      </c>
      <c r="B1383" s="1">
        <v>6997180</v>
      </c>
      <c r="C1383" t="s">
        <v>1491</v>
      </c>
      <c r="D1383" t="s">
        <v>1500</v>
      </c>
      <c r="E1383" t="s">
        <v>23</v>
      </c>
    </row>
    <row r="1384" spans="1:5" hidden="1" outlineLevel="2">
      <c r="A1384" s="3" t="e">
        <f>(HYPERLINK("http://www.autodoc.ru/Web/price/art/2721BGSVL?analog=on","2721BGSVL"))*1</f>
        <v>#VALUE!</v>
      </c>
      <c r="B1384" s="1">
        <v>6991223</v>
      </c>
      <c r="C1384" t="s">
        <v>1495</v>
      </c>
      <c r="D1384" t="s">
        <v>1501</v>
      </c>
      <c r="E1384" t="s">
        <v>23</v>
      </c>
    </row>
    <row r="1385" spans="1:5" hidden="1" outlineLevel="2">
      <c r="A1385" s="3" t="e">
        <f>(HYPERLINK("http://www.autodoc.ru/Web/price/art/2721BGSVLU?analog=on","2721BGSVLU"))*1</f>
        <v>#VALUE!</v>
      </c>
      <c r="B1385" s="1">
        <v>6991217</v>
      </c>
      <c r="C1385" t="s">
        <v>1495</v>
      </c>
      <c r="D1385" t="s">
        <v>1502</v>
      </c>
      <c r="E1385" t="s">
        <v>23</v>
      </c>
    </row>
    <row r="1386" spans="1:5" hidden="1" outlineLevel="2">
      <c r="A1386" s="3" t="e">
        <f>(HYPERLINK("http://www.autodoc.ru/Web/price/art/2721BGSVR?analog=on","2721BGSVR"))*1</f>
        <v>#VALUE!</v>
      </c>
      <c r="B1386" s="1">
        <v>6991222</v>
      </c>
      <c r="C1386" t="s">
        <v>1495</v>
      </c>
      <c r="D1386" t="s">
        <v>1503</v>
      </c>
      <c r="E1386" t="s">
        <v>23</v>
      </c>
    </row>
    <row r="1387" spans="1:5" hidden="1" outlineLevel="2">
      <c r="A1387" s="3" t="e">
        <f>(HYPERLINK("http://www.autodoc.ru/Web/price/art/2721BGSVRU?analog=on","2721BGSVRU"))*1</f>
        <v>#VALUE!</v>
      </c>
      <c r="B1387" s="1">
        <v>6991218</v>
      </c>
      <c r="C1387" t="s">
        <v>1495</v>
      </c>
      <c r="D1387" t="s">
        <v>1504</v>
      </c>
      <c r="E1387" t="s">
        <v>23</v>
      </c>
    </row>
    <row r="1388" spans="1:5" hidden="1" outlineLevel="2">
      <c r="A1388" s="3" t="e">
        <f>(HYPERLINK("http://www.autodoc.ru/Web/price/art/2721LCLV5FD?analog=on","2721LCLV5FD"))*1</f>
        <v>#VALUE!</v>
      </c>
      <c r="B1388" s="1">
        <v>6994339</v>
      </c>
      <c r="C1388" t="s">
        <v>1491</v>
      </c>
      <c r="D1388" t="s">
        <v>1505</v>
      </c>
      <c r="E1388" t="s">
        <v>10</v>
      </c>
    </row>
    <row r="1389" spans="1:5" hidden="1" outlineLevel="2">
      <c r="A1389" s="3" t="e">
        <f>(HYPERLINK("http://www.autodoc.ru/Web/price/art/2721LCLV5FQ?analog=on","2721LCLV5FQ"))*1</f>
        <v>#VALUE!</v>
      </c>
      <c r="B1389" s="1">
        <v>6991201</v>
      </c>
      <c r="C1389" t="s">
        <v>1491</v>
      </c>
      <c r="D1389" t="s">
        <v>1506</v>
      </c>
      <c r="E1389" t="s">
        <v>10</v>
      </c>
    </row>
    <row r="1390" spans="1:5" hidden="1" outlineLevel="2">
      <c r="A1390" s="3" t="e">
        <f>(HYPERLINK("http://www.autodoc.ru/Web/price/art/2721LGSV5FQ?analog=on","2721LGSV5FQ"))*1</f>
        <v>#VALUE!</v>
      </c>
      <c r="B1390" s="1">
        <v>6991203</v>
      </c>
      <c r="C1390" t="s">
        <v>1491</v>
      </c>
      <c r="D1390" t="s">
        <v>1507</v>
      </c>
      <c r="E1390" t="s">
        <v>10</v>
      </c>
    </row>
    <row r="1391" spans="1:5" hidden="1" outlineLevel="2">
      <c r="A1391" s="3" t="e">
        <f>(HYPERLINK("http://www.autodoc.ru/Web/price/art/2721LGSV5RD?analog=on","2721LGSV5RD"))*1</f>
        <v>#VALUE!</v>
      </c>
      <c r="B1391" s="1">
        <v>6997427</v>
      </c>
      <c r="C1391" t="s">
        <v>1491</v>
      </c>
      <c r="D1391" t="s">
        <v>1508</v>
      </c>
      <c r="E1391" t="s">
        <v>10</v>
      </c>
    </row>
    <row r="1392" spans="1:5" hidden="1" outlineLevel="2">
      <c r="A1392" s="3" t="e">
        <f>(HYPERLINK("http://www.autodoc.ru/Web/price/art/2721LGSV5RQO?analog=on","2721LGSV5RQO"))*1</f>
        <v>#VALUE!</v>
      </c>
      <c r="B1392" s="1">
        <v>6997429</v>
      </c>
      <c r="C1392" t="s">
        <v>1491</v>
      </c>
      <c r="D1392" t="s">
        <v>1509</v>
      </c>
      <c r="E1392" t="s">
        <v>10</v>
      </c>
    </row>
    <row r="1393" spans="1:5" hidden="1" outlineLevel="2">
      <c r="A1393" s="3" t="e">
        <f>(HYPERLINK("http://www.autodoc.ru/Web/price/art/2721RCLV5FD?analog=on","2721RCLV5FD"))*1</f>
        <v>#VALUE!</v>
      </c>
      <c r="B1393" s="1">
        <v>6994340</v>
      </c>
      <c r="C1393" t="s">
        <v>1491</v>
      </c>
      <c r="D1393" t="s">
        <v>1510</v>
      </c>
      <c r="E1393" t="s">
        <v>10</v>
      </c>
    </row>
    <row r="1394" spans="1:5" hidden="1" outlineLevel="2">
      <c r="A1394" s="3" t="e">
        <f>(HYPERLINK("http://www.autodoc.ru/Web/price/art/2721RCLV5FQ?analog=on","2721RCLV5FQ"))*1</f>
        <v>#VALUE!</v>
      </c>
      <c r="B1394" s="1">
        <v>6991200</v>
      </c>
      <c r="C1394" t="s">
        <v>1491</v>
      </c>
      <c r="D1394" t="s">
        <v>1511</v>
      </c>
      <c r="E1394" t="s">
        <v>10</v>
      </c>
    </row>
    <row r="1395" spans="1:5" hidden="1" outlineLevel="2">
      <c r="A1395" s="3" t="e">
        <f>(HYPERLINK("http://www.autodoc.ru/Web/price/art/2721RGSV5FQ?analog=on","2721RGSV5FQ"))*1</f>
        <v>#VALUE!</v>
      </c>
      <c r="B1395" s="1">
        <v>6991202</v>
      </c>
      <c r="C1395" t="s">
        <v>1491</v>
      </c>
      <c r="D1395" t="s">
        <v>1512</v>
      </c>
      <c r="E1395" t="s">
        <v>10</v>
      </c>
    </row>
    <row r="1396" spans="1:5" hidden="1" outlineLevel="2">
      <c r="A1396" s="3" t="e">
        <f>(HYPERLINK("http://www.autodoc.ru/Web/price/art/2721RGSV5RD?analog=on","2721RGSV5RD"))*1</f>
        <v>#VALUE!</v>
      </c>
      <c r="B1396" s="1">
        <v>6997428</v>
      </c>
      <c r="C1396" t="s">
        <v>1491</v>
      </c>
      <c r="D1396" t="s">
        <v>1513</v>
      </c>
      <c r="E1396" t="s">
        <v>10</v>
      </c>
    </row>
    <row r="1397" spans="1:5" hidden="1" outlineLevel="2">
      <c r="A1397" s="3" t="e">
        <f>(HYPERLINK("http://www.autodoc.ru/Web/price/art/2721RGSV5RQO?analog=on","2721RGSV5RQO"))*1</f>
        <v>#VALUE!</v>
      </c>
      <c r="B1397" s="1">
        <v>6997430</v>
      </c>
      <c r="C1397" t="s">
        <v>1491</v>
      </c>
      <c r="D1397" t="s">
        <v>1514</v>
      </c>
      <c r="E1397" t="s">
        <v>10</v>
      </c>
    </row>
    <row r="1398" spans="1:5" hidden="1" outlineLevel="1">
      <c r="A1398" s="2">
        <v>0</v>
      </c>
      <c r="B1398" s="26" t="s">
        <v>1515</v>
      </c>
      <c r="C1398" s="27">
        <v>0</v>
      </c>
      <c r="D1398" s="27">
        <v>0</v>
      </c>
      <c r="E1398" s="27">
        <v>0</v>
      </c>
    </row>
    <row r="1399" spans="1:5" hidden="1" outlineLevel="2">
      <c r="A1399" s="3" t="e">
        <f>(HYPERLINK("http://www.autodoc.ru/Web/price/art/2736AGSVZ?analog=on","2736AGSVZ"))*1</f>
        <v>#VALUE!</v>
      </c>
      <c r="B1399" s="1">
        <v>6190403</v>
      </c>
      <c r="C1399" t="s">
        <v>389</v>
      </c>
      <c r="D1399" t="s">
        <v>1516</v>
      </c>
      <c r="E1399" t="s">
        <v>8</v>
      </c>
    </row>
    <row r="1400" spans="1:5" hidden="1" outlineLevel="2">
      <c r="A1400" s="3" t="e">
        <f>(HYPERLINK("http://www.autodoc.ru/Web/price/art/2736AGSMVZ1P?analog=on","2736AGSMVZ1P"))*1</f>
        <v>#VALUE!</v>
      </c>
      <c r="B1400" s="1">
        <v>6190402</v>
      </c>
      <c r="C1400" t="s">
        <v>389</v>
      </c>
      <c r="D1400" t="s">
        <v>1517</v>
      </c>
      <c r="E1400" t="s">
        <v>8</v>
      </c>
    </row>
    <row r="1401" spans="1:5" hidden="1" outlineLevel="2">
      <c r="A1401" s="3" t="e">
        <f>(HYPERLINK("http://www.autodoc.ru/Web/price/art/2736ACCVZ?analog=on","2736ACCVZ"))*1</f>
        <v>#VALUE!</v>
      </c>
      <c r="B1401" s="1">
        <v>6190401</v>
      </c>
      <c r="C1401" t="s">
        <v>389</v>
      </c>
      <c r="D1401" t="s">
        <v>1518</v>
      </c>
      <c r="E1401" t="s">
        <v>8</v>
      </c>
    </row>
    <row r="1402" spans="1:5" hidden="1" outlineLevel="2">
      <c r="A1402" s="3" t="e">
        <f>(HYPERLINK("http://www.autodoc.ru/Web/price/art/2736ACCMVZ1P?analog=on","2736ACCMVZ1P"))*1</f>
        <v>#VALUE!</v>
      </c>
      <c r="B1402" s="1">
        <v>6190400</v>
      </c>
      <c r="C1402" t="s">
        <v>389</v>
      </c>
      <c r="D1402" t="s">
        <v>1519</v>
      </c>
      <c r="E1402" t="s">
        <v>8</v>
      </c>
    </row>
    <row r="1403" spans="1:5" hidden="1" outlineLevel="2">
      <c r="A1403" s="3" t="e">
        <f>(HYPERLINK("http://www.autodoc.ru/Web/price/art/2736BGSVL?analog=on","2736BGSVL"))*1</f>
        <v>#VALUE!</v>
      </c>
      <c r="B1403" s="1">
        <v>6190406</v>
      </c>
      <c r="C1403" t="s">
        <v>389</v>
      </c>
      <c r="D1403" t="s">
        <v>1520</v>
      </c>
      <c r="E1403" t="s">
        <v>23</v>
      </c>
    </row>
    <row r="1404" spans="1:5" hidden="1" outlineLevel="2">
      <c r="A1404" s="3" t="e">
        <f>(HYPERLINK("http://www.autodoc.ru/Web/price/art/2736BGSVR?analog=on","2736BGSVR"))*1</f>
        <v>#VALUE!</v>
      </c>
      <c r="B1404" s="1">
        <v>6190408</v>
      </c>
      <c r="C1404" t="s">
        <v>389</v>
      </c>
      <c r="D1404" t="s">
        <v>1521</v>
      </c>
      <c r="E1404" t="s">
        <v>23</v>
      </c>
    </row>
    <row r="1405" spans="1:5" hidden="1" outlineLevel="2">
      <c r="A1405" s="3" t="e">
        <f>(HYPERLINK("http://www.autodoc.ru/Web/price/art/2736BGSVB?analog=on","2736BGSVB"))*1</f>
        <v>#VALUE!</v>
      </c>
      <c r="B1405" s="1">
        <v>6190405</v>
      </c>
      <c r="C1405" t="s">
        <v>389</v>
      </c>
      <c r="D1405" t="s">
        <v>1522</v>
      </c>
      <c r="E1405" t="s">
        <v>23</v>
      </c>
    </row>
    <row r="1406" spans="1:5" hidden="1" outlineLevel="2">
      <c r="A1406" s="3" t="e">
        <f>(HYPERLINK("http://www.autodoc.ru/Web/price/art/2736BGDVB?analog=on","2736BGDVB"))*1</f>
        <v>#VALUE!</v>
      </c>
      <c r="B1406" s="1">
        <v>6190404</v>
      </c>
      <c r="C1406" t="s">
        <v>389</v>
      </c>
      <c r="D1406" t="s">
        <v>1523</v>
      </c>
      <c r="E1406" t="s">
        <v>23</v>
      </c>
    </row>
    <row r="1407" spans="1:5" hidden="1" outlineLevel="2">
      <c r="A1407" s="3" t="e">
        <f>(HYPERLINK("http://www.autodoc.ru/Web/price/art/2736LGSV5RQ1J?analog=on","2736LGSV5RQ1J"))*1</f>
        <v>#VALUE!</v>
      </c>
      <c r="B1407" s="1">
        <v>6190815</v>
      </c>
      <c r="C1407" t="s">
        <v>389</v>
      </c>
      <c r="D1407" t="s">
        <v>1524</v>
      </c>
      <c r="E1407" t="s">
        <v>10</v>
      </c>
    </row>
    <row r="1408" spans="1:5" hidden="1" outlineLevel="2">
      <c r="A1408" s="3" t="e">
        <f>(HYPERLINK("http://www.autodoc.ru/Web/price/art/2736LGDV5RQ?analog=on","2736LGDV5RQ"))*1</f>
        <v>#VALUE!</v>
      </c>
      <c r="B1408" s="1">
        <v>6190813</v>
      </c>
      <c r="C1408" t="s">
        <v>389</v>
      </c>
      <c r="D1408" t="s">
        <v>1525</v>
      </c>
      <c r="E1408" t="s">
        <v>10</v>
      </c>
    </row>
    <row r="1409" spans="1:5" hidden="1" outlineLevel="2">
      <c r="A1409" s="3" t="e">
        <f>(HYPERLINK("http://www.autodoc.ru/Web/price/art/2736LGDV5RQ1J?analog=on","2736LGDV5RQ1J"))*1</f>
        <v>#VALUE!</v>
      </c>
      <c r="B1409" s="1">
        <v>6190817</v>
      </c>
      <c r="C1409" t="s">
        <v>389</v>
      </c>
      <c r="D1409" t="s">
        <v>1526</v>
      </c>
      <c r="E1409" t="s">
        <v>10</v>
      </c>
    </row>
    <row r="1410" spans="1:5" hidden="1" outlineLevel="2">
      <c r="A1410" s="3" t="e">
        <f>(HYPERLINK("http://www.autodoc.ru/Web/price/art/2736RGSV5RQ?analog=on","2736RGSV5RQ"))*1</f>
        <v>#VALUE!</v>
      </c>
      <c r="B1410" s="1">
        <v>6190811</v>
      </c>
      <c r="C1410" t="s">
        <v>389</v>
      </c>
      <c r="D1410" t="s">
        <v>1527</v>
      </c>
      <c r="E1410" t="s">
        <v>10</v>
      </c>
    </row>
    <row r="1411" spans="1:5" hidden="1" outlineLevel="2">
      <c r="A1411" s="3" t="e">
        <f>(HYPERLINK("http://www.autodoc.ru/Web/price/art/2736RGSV5RQ1J?analog=on","2736RGSV5RQ1J"))*1</f>
        <v>#VALUE!</v>
      </c>
      <c r="B1411" s="1">
        <v>6190814</v>
      </c>
      <c r="C1411" t="s">
        <v>389</v>
      </c>
      <c r="D1411" t="s">
        <v>1528</v>
      </c>
      <c r="E1411" t="s">
        <v>10</v>
      </c>
    </row>
    <row r="1412" spans="1:5" hidden="1" outlineLevel="2">
      <c r="A1412" s="3" t="e">
        <f>(HYPERLINK("http://www.autodoc.ru/Web/price/art/2736RGDV5RQ?analog=on","2736RGDV5RQ"))*1</f>
        <v>#VALUE!</v>
      </c>
      <c r="B1412" s="1">
        <v>6190812</v>
      </c>
      <c r="C1412" t="s">
        <v>389</v>
      </c>
      <c r="D1412" t="s">
        <v>1529</v>
      </c>
      <c r="E1412" t="s">
        <v>10</v>
      </c>
    </row>
    <row r="1413" spans="1:5" hidden="1" outlineLevel="2">
      <c r="A1413" s="3" t="e">
        <f>(HYPERLINK("http://www.autodoc.ru/Web/price/art/2736RGDV5RQ1J?analog=on","2736RGDV5RQ1J"))*1</f>
        <v>#VALUE!</v>
      </c>
      <c r="B1413" s="1">
        <v>6190816</v>
      </c>
      <c r="C1413" t="s">
        <v>389</v>
      </c>
      <c r="D1413" t="s">
        <v>1530</v>
      </c>
      <c r="E1413" t="s">
        <v>10</v>
      </c>
    </row>
    <row r="1414" spans="1:5" hidden="1" outlineLevel="2">
      <c r="A1414" s="3" t="e">
        <f>(HYPERLINK("http://www.autodoc.ru/Web/price/art/2736LGSV5RQ?analog=on","2736LGSV5RQ"))*1</f>
        <v>#VALUE!</v>
      </c>
      <c r="B1414" s="1">
        <v>6190890</v>
      </c>
      <c r="C1414" t="s">
        <v>389</v>
      </c>
      <c r="D1414" t="s">
        <v>1531</v>
      </c>
      <c r="E1414" t="s">
        <v>10</v>
      </c>
    </row>
    <row r="1415" spans="1:5" hidden="1" outlineLevel="2">
      <c r="A1415" s="3" t="e">
        <f>(HYPERLINK("http://www.autodoc.ru/Web/price/art/2736LGPV5RD?analog=on","2736LGPV5RD"))*1</f>
        <v>#VALUE!</v>
      </c>
      <c r="B1415" s="1">
        <v>6190810</v>
      </c>
      <c r="C1415" t="s">
        <v>389</v>
      </c>
      <c r="D1415" t="s">
        <v>1532</v>
      </c>
      <c r="E1415" t="s">
        <v>10</v>
      </c>
    </row>
    <row r="1416" spans="1:5" hidden="1" outlineLevel="2">
      <c r="A1416" s="3" t="e">
        <f>(HYPERLINK("http://www.autodoc.ru/Web/price/art/2736LGSV5RD?analog=on","2736LGSV5RD"))*1</f>
        <v>#VALUE!</v>
      </c>
      <c r="B1416" s="1">
        <v>6190807</v>
      </c>
      <c r="C1416" t="s">
        <v>389</v>
      </c>
      <c r="D1416" t="s">
        <v>1533</v>
      </c>
      <c r="E1416" t="s">
        <v>10</v>
      </c>
    </row>
    <row r="1417" spans="1:5" hidden="1" outlineLevel="2">
      <c r="A1417" s="3" t="e">
        <f>(HYPERLINK("http://www.autodoc.ru/Web/price/art/2736RGPV5RD?analog=on","2736RGPV5RD"))*1</f>
        <v>#VALUE!</v>
      </c>
      <c r="B1417" s="1">
        <v>6190809</v>
      </c>
      <c r="C1417" t="s">
        <v>389</v>
      </c>
      <c r="D1417" t="s">
        <v>1534</v>
      </c>
      <c r="E1417" t="s">
        <v>10</v>
      </c>
    </row>
    <row r="1418" spans="1:5" hidden="1" outlineLevel="2">
      <c r="A1418" s="3" t="e">
        <f>(HYPERLINK("http://www.autodoc.ru/Web/price/art/2736RGSV5RD?analog=on","2736RGSV5RD"))*1</f>
        <v>#VALUE!</v>
      </c>
      <c r="B1418" s="1">
        <v>6190808</v>
      </c>
      <c r="C1418" t="s">
        <v>389</v>
      </c>
      <c r="D1418" t="s">
        <v>1535</v>
      </c>
      <c r="E1418" t="s">
        <v>10</v>
      </c>
    </row>
    <row r="1419" spans="1:5" hidden="1" outlineLevel="2">
      <c r="A1419" s="3" t="e">
        <f>(HYPERLINK("http://www.autodoc.ru/Web/price/art/2736LGSV5FD?analog=on","2736LGSV5FD"))*1</f>
        <v>#VALUE!</v>
      </c>
      <c r="B1419" s="1">
        <v>6190805</v>
      </c>
      <c r="C1419" t="s">
        <v>389</v>
      </c>
      <c r="D1419" t="s">
        <v>1536</v>
      </c>
      <c r="E1419" t="s">
        <v>10</v>
      </c>
    </row>
    <row r="1420" spans="1:5" hidden="1" outlineLevel="2">
      <c r="A1420" s="3" t="e">
        <f>(HYPERLINK("http://www.autodoc.ru/Web/price/art/2736RGSV5FD?analog=on","2736RGSV5FD"))*1</f>
        <v>#VALUE!</v>
      </c>
      <c r="B1420" s="1">
        <v>6190806</v>
      </c>
      <c r="C1420" t="s">
        <v>389</v>
      </c>
      <c r="D1420" t="s">
        <v>1537</v>
      </c>
      <c r="E1420" t="s">
        <v>10</v>
      </c>
    </row>
    <row r="1421" spans="1:5" hidden="1" outlineLevel="1">
      <c r="A1421" s="2">
        <v>0</v>
      </c>
      <c r="B1421" s="26" t="s">
        <v>1538</v>
      </c>
      <c r="C1421" s="27">
        <v>0</v>
      </c>
      <c r="D1421" s="27">
        <v>0</v>
      </c>
      <c r="E1421" s="27">
        <v>0</v>
      </c>
    </row>
    <row r="1422" spans="1:5" hidden="1" outlineLevel="2">
      <c r="A1422" s="3" t="e">
        <f>(HYPERLINK("http://www.autodoc.ru/Web/price/art/2739AGSV?analog=on","2739AGSV"))*1</f>
        <v>#VALUE!</v>
      </c>
      <c r="B1422" s="1">
        <v>6963141</v>
      </c>
      <c r="C1422" t="s">
        <v>366</v>
      </c>
      <c r="D1422" t="s">
        <v>1539</v>
      </c>
      <c r="E1422" t="s">
        <v>8</v>
      </c>
    </row>
    <row r="1423" spans="1:5" hidden="1" outlineLevel="1">
      <c r="A1423" s="2">
        <v>0</v>
      </c>
      <c r="B1423" s="26" t="s">
        <v>1540</v>
      </c>
      <c r="C1423" s="27">
        <v>0</v>
      </c>
      <c r="D1423" s="27">
        <v>0</v>
      </c>
      <c r="E1423" s="27">
        <v>0</v>
      </c>
    </row>
    <row r="1424" spans="1:5" hidden="1" outlineLevel="2">
      <c r="A1424" s="3" t="e">
        <f>(HYPERLINK("http://www.autodoc.ru/Web/price/art/2723ACC1B?analog=on","2723ACC1B"))*1</f>
        <v>#VALUE!</v>
      </c>
      <c r="B1424" s="1">
        <v>6960769</v>
      </c>
      <c r="C1424" t="s">
        <v>332</v>
      </c>
      <c r="D1424" t="s">
        <v>1541</v>
      </c>
      <c r="E1424" t="s">
        <v>8</v>
      </c>
    </row>
    <row r="1425" spans="1:5" hidden="1" outlineLevel="2">
      <c r="A1425" s="3" t="e">
        <f>(HYPERLINK("http://www.autodoc.ru/Web/price/art/2723ACL2B?analog=on","2723ACL2B"))*1</f>
        <v>#VALUE!</v>
      </c>
      <c r="B1425" s="1">
        <v>6190369</v>
      </c>
      <c r="C1425" t="s">
        <v>1542</v>
      </c>
      <c r="D1425" t="s">
        <v>1543</v>
      </c>
      <c r="E1425" t="s">
        <v>8</v>
      </c>
    </row>
    <row r="1426" spans="1:5" hidden="1" outlineLevel="2">
      <c r="A1426" s="3" t="e">
        <f>(HYPERLINK("http://www.autodoc.ru/Web/price/art/2723ABZ1B?analog=on","2723ABZ1B"))*1</f>
        <v>#VALUE!</v>
      </c>
      <c r="B1426" s="1">
        <v>6190367</v>
      </c>
      <c r="C1426" t="s">
        <v>1542</v>
      </c>
      <c r="D1426" t="s">
        <v>1544</v>
      </c>
      <c r="E1426" t="s">
        <v>8</v>
      </c>
    </row>
    <row r="1427" spans="1:5" hidden="1" outlineLevel="2">
      <c r="A1427" s="3" t="e">
        <f>(HYPERLINK("http://www.autodoc.ru/Web/price/art/2723AGNBL1B?analog=on","2723AGNBL1B"))*1</f>
        <v>#VALUE!</v>
      </c>
      <c r="B1427" s="1">
        <v>6190371</v>
      </c>
      <c r="C1427" t="s">
        <v>1542</v>
      </c>
      <c r="D1427" t="s">
        <v>1545</v>
      </c>
      <c r="E1427" t="s">
        <v>8</v>
      </c>
    </row>
    <row r="1428" spans="1:5" hidden="1" outlineLevel="2">
      <c r="A1428" s="3" t="e">
        <f>(HYPERLINK("http://www.autodoc.ru/Web/price/art/2723ACL1B?analog=on","2723ACL1B"))*1</f>
        <v>#VALUE!</v>
      </c>
      <c r="B1428" s="1">
        <v>6190368</v>
      </c>
      <c r="C1428" t="s">
        <v>332</v>
      </c>
      <c r="D1428" t="s">
        <v>1546</v>
      </c>
      <c r="E1428" t="s">
        <v>8</v>
      </c>
    </row>
    <row r="1429" spans="1:5" hidden="1" outlineLevel="2">
      <c r="A1429" s="3" t="e">
        <f>(HYPERLINK("http://www.autodoc.ru/Web/price/art/2723AGN1B?analog=on","2723AGN1B"))*1</f>
        <v>#VALUE!</v>
      </c>
      <c r="B1429" s="1">
        <v>6190370</v>
      </c>
      <c r="C1429" t="s">
        <v>332</v>
      </c>
      <c r="D1429" t="s">
        <v>1547</v>
      </c>
      <c r="E1429" t="s">
        <v>8</v>
      </c>
    </row>
    <row r="1430" spans="1:5" hidden="1" outlineLevel="2">
      <c r="A1430" s="3" t="e">
        <f>(HYPERLINK("http://www.autodoc.ru/Web/price/art/2723ASMH?analog=on","2723ASMH"))*1</f>
        <v>#VALUE!</v>
      </c>
      <c r="B1430" s="1">
        <v>6100035</v>
      </c>
      <c r="C1430" t="s">
        <v>19</v>
      </c>
      <c r="D1430" t="s">
        <v>1548</v>
      </c>
      <c r="E1430" t="s">
        <v>21</v>
      </c>
    </row>
    <row r="1431" spans="1:5" hidden="1" outlineLevel="2">
      <c r="A1431" s="3" t="e">
        <f>(HYPERLINK("http://www.autodoc.ru/Web/price/art/2723BGNH?analog=on","2723BGNH"))*1</f>
        <v>#VALUE!</v>
      </c>
      <c r="B1431" s="1">
        <v>6997356</v>
      </c>
      <c r="C1431" t="s">
        <v>1542</v>
      </c>
      <c r="D1431" t="s">
        <v>1549</v>
      </c>
      <c r="E1431" t="s">
        <v>23</v>
      </c>
    </row>
    <row r="1432" spans="1:5" hidden="1" outlineLevel="2">
      <c r="A1432" s="3" t="e">
        <f>(HYPERLINK("http://www.autodoc.ru/Web/price/art/2723BGNH1Q?analog=on","2723BGNH1Q"))*1</f>
        <v>#VALUE!</v>
      </c>
      <c r="B1432" s="1">
        <v>6993459</v>
      </c>
      <c r="C1432" t="s">
        <v>332</v>
      </c>
      <c r="D1432" t="s">
        <v>1550</v>
      </c>
      <c r="E1432" t="s">
        <v>23</v>
      </c>
    </row>
    <row r="1433" spans="1:5" hidden="1" outlineLevel="2">
      <c r="A1433" s="3" t="e">
        <f>(HYPERLINK("http://www.autodoc.ru/Web/price/art/2723BSMH?analog=on","2723BSMH"))*1</f>
        <v>#VALUE!</v>
      </c>
      <c r="B1433" s="1">
        <v>6101146</v>
      </c>
      <c r="C1433" t="s">
        <v>19</v>
      </c>
      <c r="D1433" t="s">
        <v>1551</v>
      </c>
      <c r="E1433" t="s">
        <v>21</v>
      </c>
    </row>
    <row r="1434" spans="1:5" hidden="1" outlineLevel="2">
      <c r="A1434" s="3" t="e">
        <f>(HYPERLINK("http://www.autodoc.ru/Web/price/art/2723LGNH5RV?analog=on","2723LGNH5RV"))*1</f>
        <v>#VALUE!</v>
      </c>
      <c r="B1434" s="1">
        <v>6190376</v>
      </c>
      <c r="C1434" t="s">
        <v>1542</v>
      </c>
      <c r="D1434" t="s">
        <v>1552</v>
      </c>
      <c r="E1434" t="s">
        <v>10</v>
      </c>
    </row>
    <row r="1435" spans="1:5" hidden="1" outlineLevel="2">
      <c r="A1435" s="3" t="e">
        <f>(HYPERLINK("http://www.autodoc.ru/Web/price/art/2723RGNH5RV?analog=on","2723RGNH5RV"))*1</f>
        <v>#VALUE!</v>
      </c>
      <c r="B1435" s="1">
        <v>6190380</v>
      </c>
      <c r="C1435" t="s">
        <v>1542</v>
      </c>
      <c r="D1435" t="s">
        <v>1553</v>
      </c>
      <c r="E1435" t="s">
        <v>10</v>
      </c>
    </row>
    <row r="1436" spans="1:5" hidden="1" outlineLevel="2">
      <c r="A1436" s="3" t="e">
        <f>(HYPERLINK("http://www.autodoc.ru/Web/price/art/2723LGNH3RQO?analog=on","2723LGNH3RQO"))*1</f>
        <v>#VALUE!</v>
      </c>
      <c r="B1436" s="1">
        <v>6997355</v>
      </c>
      <c r="C1436" t="s">
        <v>1542</v>
      </c>
      <c r="D1436" t="s">
        <v>1554</v>
      </c>
      <c r="E1436" t="s">
        <v>10</v>
      </c>
    </row>
    <row r="1437" spans="1:5" hidden="1" outlineLevel="2">
      <c r="A1437" s="3" t="e">
        <f>(HYPERLINK("http://www.autodoc.ru/Web/price/art/2723RGNH3RQO?analog=on","2723RGNH3RQO"))*1</f>
        <v>#VALUE!</v>
      </c>
      <c r="B1437" s="1">
        <v>6997354</v>
      </c>
      <c r="C1437" t="s">
        <v>1542</v>
      </c>
      <c r="D1437" t="s">
        <v>1555</v>
      </c>
      <c r="E1437" t="s">
        <v>10</v>
      </c>
    </row>
    <row r="1438" spans="1:5" hidden="1" outlineLevel="2">
      <c r="A1438" s="3" t="e">
        <f>(HYPERLINK("http://www.autodoc.ru/Web/price/art/2723LGNH5RD?analog=on","2723LGNH5RD"))*1</f>
        <v>#VALUE!</v>
      </c>
      <c r="B1438" s="1">
        <v>6190375</v>
      </c>
      <c r="C1438" t="s">
        <v>1542</v>
      </c>
      <c r="D1438" t="s">
        <v>1556</v>
      </c>
      <c r="E1438" t="s">
        <v>10</v>
      </c>
    </row>
    <row r="1439" spans="1:5" hidden="1" outlineLevel="2">
      <c r="A1439" s="3" t="e">
        <f>(HYPERLINK("http://www.autodoc.ru/Web/price/art/2723RGNH5RD?analog=on","2723RGNH5RD"))*1</f>
        <v>#VALUE!</v>
      </c>
      <c r="B1439" s="1">
        <v>6190379</v>
      </c>
      <c r="C1439" t="s">
        <v>1542</v>
      </c>
      <c r="D1439" t="s">
        <v>1557</v>
      </c>
      <c r="E1439" t="s">
        <v>10</v>
      </c>
    </row>
    <row r="1440" spans="1:5" hidden="1" outlineLevel="2">
      <c r="A1440" s="3" t="e">
        <f>(HYPERLINK("http://www.autodoc.ru/Web/price/art/2723LGNH3FD?analog=on","2723LGNH3FD"))*1</f>
        <v>#VALUE!</v>
      </c>
      <c r="B1440" s="1">
        <v>6190373</v>
      </c>
      <c r="C1440" t="s">
        <v>1542</v>
      </c>
      <c r="D1440" t="s">
        <v>1558</v>
      </c>
      <c r="E1440" t="s">
        <v>10</v>
      </c>
    </row>
    <row r="1441" spans="1:5" hidden="1" outlineLevel="2">
      <c r="A1441" s="3" t="e">
        <f>(HYPERLINK("http://www.autodoc.ru/Web/price/art/2723RGNH3FD?analog=on","2723RGNH3FD"))*1</f>
        <v>#VALUE!</v>
      </c>
      <c r="B1441" s="1">
        <v>6190377</v>
      </c>
      <c r="C1441" t="s">
        <v>1542</v>
      </c>
      <c r="D1441" t="s">
        <v>1559</v>
      </c>
      <c r="E1441" t="s">
        <v>10</v>
      </c>
    </row>
    <row r="1442" spans="1:5" hidden="1" outlineLevel="2">
      <c r="A1442" s="3" t="e">
        <f>(HYPERLINK("http://www.autodoc.ru/Web/price/art/2723LGNH5FD?analog=on","2723LGNH5FD"))*1</f>
        <v>#VALUE!</v>
      </c>
      <c r="B1442" s="1">
        <v>6190374</v>
      </c>
      <c r="C1442" t="s">
        <v>1542</v>
      </c>
      <c r="D1442" t="s">
        <v>1560</v>
      </c>
      <c r="E1442" t="s">
        <v>10</v>
      </c>
    </row>
    <row r="1443" spans="1:5" hidden="1" outlineLevel="2">
      <c r="A1443" s="3" t="e">
        <f>(HYPERLINK("http://www.autodoc.ru/Web/price/art/2723RGNH5FD?analog=on","2723RGNH5FD"))*1</f>
        <v>#VALUE!</v>
      </c>
      <c r="B1443" s="1">
        <v>6190378</v>
      </c>
      <c r="C1443" t="s">
        <v>1542</v>
      </c>
      <c r="D1443" t="s">
        <v>1561</v>
      </c>
      <c r="E1443" t="s">
        <v>10</v>
      </c>
    </row>
    <row r="1444" spans="1:5" hidden="1" outlineLevel="1">
      <c r="A1444" s="2">
        <v>0</v>
      </c>
      <c r="B1444" s="26" t="s">
        <v>1562</v>
      </c>
      <c r="C1444" s="27">
        <v>0</v>
      </c>
      <c r="D1444" s="27">
        <v>0</v>
      </c>
      <c r="E1444" s="27">
        <v>0</v>
      </c>
    </row>
    <row r="1445" spans="1:5" hidden="1" outlineLevel="2">
      <c r="A1445" s="3" t="e">
        <f>(HYPERLINK("http://www.autodoc.ru/Web/price/art/2714ACL1C?analog=on","2714ACL1C"))*1</f>
        <v>#VALUE!</v>
      </c>
      <c r="B1445" s="1">
        <v>6965401</v>
      </c>
      <c r="C1445" t="s">
        <v>1563</v>
      </c>
      <c r="D1445" t="s">
        <v>1564</v>
      </c>
      <c r="E1445" t="s">
        <v>8</v>
      </c>
    </row>
    <row r="1446" spans="1:5" hidden="1" outlineLevel="2">
      <c r="A1446" s="3" t="e">
        <f>(HYPERLINK("http://www.autodoc.ru/Web/price/art/2714AGN1C?analog=on","2714AGN1C"))*1</f>
        <v>#VALUE!</v>
      </c>
      <c r="B1446" s="1">
        <v>6965396</v>
      </c>
      <c r="C1446" t="s">
        <v>1563</v>
      </c>
      <c r="D1446" t="s">
        <v>1565</v>
      </c>
      <c r="E1446" t="s">
        <v>8</v>
      </c>
    </row>
    <row r="1447" spans="1:5" hidden="1" outlineLevel="2">
      <c r="A1447" s="3" t="e">
        <f>(HYPERLINK("http://www.autodoc.ru/Web/price/art/2714ASRH?analog=on","2714ASRH"))*1</f>
        <v>#VALUE!</v>
      </c>
      <c r="B1447" s="1">
        <v>6100423</v>
      </c>
      <c r="C1447" t="s">
        <v>19</v>
      </c>
      <c r="D1447" t="s">
        <v>1566</v>
      </c>
      <c r="E1447" t="s">
        <v>21</v>
      </c>
    </row>
    <row r="1448" spans="1:5" hidden="1" outlineLevel="2">
      <c r="A1448" s="3" t="e">
        <f>(HYPERLINK("http://www.autodoc.ru/Web/price/art/2714LCLH5FD?analog=on","2714LCLH5FD"))*1</f>
        <v>#VALUE!</v>
      </c>
      <c r="B1448" s="1">
        <v>6997359</v>
      </c>
      <c r="C1448" t="s">
        <v>1563</v>
      </c>
      <c r="D1448" t="s">
        <v>1567</v>
      </c>
      <c r="E1448" t="s">
        <v>10</v>
      </c>
    </row>
    <row r="1449" spans="1:5" hidden="1" outlineLevel="2">
      <c r="A1449" s="3" t="e">
        <f>(HYPERLINK("http://www.autodoc.ru/Web/price/art/2714RCLH5FD?analog=on","2714RCLH5FD"))*1</f>
        <v>#VALUE!</v>
      </c>
      <c r="B1449" s="1">
        <v>6997358</v>
      </c>
      <c r="C1449" t="s">
        <v>1563</v>
      </c>
      <c r="D1449" t="s">
        <v>1568</v>
      </c>
      <c r="E1449" t="s">
        <v>10</v>
      </c>
    </row>
    <row r="1450" spans="1:5" hidden="1" outlineLevel="1">
      <c r="A1450" s="2">
        <v>0</v>
      </c>
      <c r="B1450" s="26" t="s">
        <v>1569</v>
      </c>
      <c r="C1450" s="27">
        <v>0</v>
      </c>
      <c r="D1450" s="27">
        <v>0</v>
      </c>
      <c r="E1450" s="27">
        <v>0</v>
      </c>
    </row>
    <row r="1451" spans="1:5" hidden="1" outlineLevel="2">
      <c r="A1451" s="3" t="e">
        <f>(HYPERLINK("http://www.autodoc.ru/Web/price/art/2720ACC1C?analog=on","2720ACC1C"))*1</f>
        <v>#VALUE!</v>
      </c>
      <c r="B1451" s="1">
        <v>6960823</v>
      </c>
      <c r="C1451" t="s">
        <v>1570</v>
      </c>
      <c r="D1451" t="s">
        <v>1571</v>
      </c>
      <c r="E1451" t="s">
        <v>8</v>
      </c>
    </row>
    <row r="1452" spans="1:5" hidden="1" outlineLevel="2">
      <c r="A1452" s="3" t="e">
        <f>(HYPERLINK("http://www.autodoc.ru/Web/price/art/2720ACCM1C?analog=on","2720ACCM1C"))*1</f>
        <v>#VALUE!</v>
      </c>
      <c r="B1452" s="1">
        <v>6960768</v>
      </c>
      <c r="C1452" t="s">
        <v>1570</v>
      </c>
      <c r="D1452" t="s">
        <v>1572</v>
      </c>
      <c r="E1452" t="s">
        <v>8</v>
      </c>
    </row>
    <row r="1453" spans="1:5" hidden="1" outlineLevel="2">
      <c r="A1453" s="3" t="e">
        <f>(HYPERLINK("http://www.autodoc.ru/Web/price/art/2720ACL?analog=on","2720ACL"))*1</f>
        <v>#VALUE!</v>
      </c>
      <c r="B1453" s="1">
        <v>6965431</v>
      </c>
      <c r="C1453" t="s">
        <v>1573</v>
      </c>
      <c r="D1453" t="s">
        <v>1574</v>
      </c>
      <c r="E1453" t="s">
        <v>8</v>
      </c>
    </row>
    <row r="1454" spans="1:5" hidden="1" outlineLevel="2">
      <c r="A1454" s="3" t="e">
        <f>(HYPERLINK("http://www.autodoc.ru/Web/price/art/2720AGN?analog=on","2720AGN"))*1</f>
        <v>#VALUE!</v>
      </c>
      <c r="B1454" s="1">
        <v>6965432</v>
      </c>
      <c r="C1454" t="s">
        <v>1573</v>
      </c>
      <c r="D1454" t="s">
        <v>1575</v>
      </c>
      <c r="E1454" t="s">
        <v>8</v>
      </c>
    </row>
    <row r="1455" spans="1:5" hidden="1" outlineLevel="2">
      <c r="A1455" s="3" t="e">
        <f>(HYPERLINK("http://www.autodoc.ru/Web/price/art/2720AGN1C?analog=on","2720AGN1C"))*1</f>
        <v>#VALUE!</v>
      </c>
      <c r="B1455" s="1">
        <v>6965433</v>
      </c>
      <c r="C1455" t="s">
        <v>1570</v>
      </c>
      <c r="D1455" t="s">
        <v>1576</v>
      </c>
      <c r="E1455" t="s">
        <v>8</v>
      </c>
    </row>
    <row r="1456" spans="1:5" hidden="1" outlineLevel="2">
      <c r="A1456" s="3" t="e">
        <f>(HYPERLINK("http://www.autodoc.ru/Web/price/art/2720AGNGN?analog=on","2720AGNGN"))*1</f>
        <v>#VALUE!</v>
      </c>
      <c r="B1456" s="1">
        <v>6963369</v>
      </c>
      <c r="C1456" t="s">
        <v>1573</v>
      </c>
      <c r="D1456" t="s">
        <v>1577</v>
      </c>
      <c r="E1456" t="s">
        <v>8</v>
      </c>
    </row>
    <row r="1457" spans="1:5" hidden="1" outlineLevel="2">
      <c r="A1457" s="3" t="e">
        <f>(HYPERLINK("http://www.autodoc.ru/Web/price/art/2720AGNM1C?analog=on","2720AGNM1C"))*1</f>
        <v>#VALUE!</v>
      </c>
      <c r="B1457" s="1">
        <v>6963214</v>
      </c>
      <c r="C1457" t="s">
        <v>1570</v>
      </c>
      <c r="D1457" t="s">
        <v>1578</v>
      </c>
      <c r="E1457" t="s">
        <v>8</v>
      </c>
    </row>
    <row r="1458" spans="1:5" hidden="1" outlineLevel="2">
      <c r="A1458" s="3" t="e">
        <f>(HYPERLINK("http://www.autodoc.ru/Web/price/art/2720AKMH?analog=on","2720AKMH"))*1</f>
        <v>#VALUE!</v>
      </c>
      <c r="B1458" s="1">
        <v>6100033</v>
      </c>
      <c r="C1458" t="s">
        <v>19</v>
      </c>
      <c r="D1458" t="s">
        <v>1579</v>
      </c>
      <c r="E1458" t="s">
        <v>21</v>
      </c>
    </row>
    <row r="1459" spans="1:5" hidden="1" outlineLevel="2">
      <c r="A1459" s="3" t="e">
        <f>(HYPERLINK("http://www.autodoc.ru/Web/price/art/2720BCLHZ?analog=on","2720BCLHZ"))*1</f>
        <v>#VALUE!</v>
      </c>
      <c r="B1459" s="1">
        <v>6992814</v>
      </c>
      <c r="C1459" t="s">
        <v>1573</v>
      </c>
      <c r="D1459" t="s">
        <v>1580</v>
      </c>
      <c r="E1459" t="s">
        <v>23</v>
      </c>
    </row>
    <row r="1460" spans="1:5" hidden="1" outlineLevel="2">
      <c r="A1460" s="3" t="e">
        <f>(HYPERLINK("http://www.autodoc.ru/Web/price/art/2720BGNHZ?analog=on","2720BGNHZ"))*1</f>
        <v>#VALUE!</v>
      </c>
      <c r="B1460" s="1">
        <v>6995930</v>
      </c>
      <c r="C1460" t="s">
        <v>1573</v>
      </c>
      <c r="D1460" t="s">
        <v>1581</v>
      </c>
      <c r="E1460" t="s">
        <v>23</v>
      </c>
    </row>
    <row r="1461" spans="1:5" hidden="1" outlineLevel="2">
      <c r="A1461" s="3" t="e">
        <f>(HYPERLINK("http://www.autodoc.ru/Web/price/art/2720BGNHZ1H?analog=on","2720BGNHZ1H"))*1</f>
        <v>#VALUE!</v>
      </c>
      <c r="B1461" s="1">
        <v>6992817</v>
      </c>
      <c r="C1461" t="s">
        <v>1582</v>
      </c>
      <c r="D1461" t="s">
        <v>1583</v>
      </c>
      <c r="E1461" t="s">
        <v>23</v>
      </c>
    </row>
    <row r="1462" spans="1:5" hidden="1" outlineLevel="2">
      <c r="A1462" s="3" t="e">
        <f>(HYPERLINK("http://www.autodoc.ru/Web/price/art/2720LGNH5FD?analog=on","2720LGNH5FD"))*1</f>
        <v>#VALUE!</v>
      </c>
      <c r="B1462" s="1">
        <v>6994335</v>
      </c>
      <c r="C1462" t="s">
        <v>1573</v>
      </c>
      <c r="D1462" t="s">
        <v>1584</v>
      </c>
      <c r="E1462" t="s">
        <v>10</v>
      </c>
    </row>
    <row r="1463" spans="1:5" hidden="1" outlineLevel="2">
      <c r="A1463" s="3" t="e">
        <f>(HYPERLINK("http://www.autodoc.ru/Web/price/art/2720LGNH5RD?analog=on","2720LGNH5RD"))*1</f>
        <v>#VALUE!</v>
      </c>
      <c r="B1463" s="1">
        <v>6994336</v>
      </c>
      <c r="C1463" t="s">
        <v>1573</v>
      </c>
      <c r="D1463" t="s">
        <v>1585</v>
      </c>
      <c r="E1463" t="s">
        <v>10</v>
      </c>
    </row>
    <row r="1464" spans="1:5" hidden="1" outlineLevel="2">
      <c r="A1464" s="3" t="e">
        <f>(HYPERLINK("http://www.autodoc.ru/Web/price/art/2720RGNH5FD?analog=on","2720RGNH5FD"))*1</f>
        <v>#VALUE!</v>
      </c>
      <c r="B1464" s="1">
        <v>6994337</v>
      </c>
      <c r="C1464" t="s">
        <v>1573</v>
      </c>
      <c r="D1464" t="s">
        <v>1586</v>
      </c>
      <c r="E1464" t="s">
        <v>10</v>
      </c>
    </row>
    <row r="1465" spans="1:5" hidden="1" outlineLevel="2">
      <c r="A1465" s="3" t="e">
        <f>(HYPERLINK("http://www.autodoc.ru/Web/price/art/2720RGNH5RD?analog=on","2720RGNH5RD"))*1</f>
        <v>#VALUE!</v>
      </c>
      <c r="B1465" s="1">
        <v>6994338</v>
      </c>
      <c r="C1465" t="s">
        <v>1573</v>
      </c>
      <c r="D1465" t="s">
        <v>1587</v>
      </c>
      <c r="E1465" t="s">
        <v>10</v>
      </c>
    </row>
    <row r="1466" spans="1:5" hidden="1" outlineLevel="1">
      <c r="A1466" s="2">
        <v>0</v>
      </c>
      <c r="B1466" s="26" t="s">
        <v>1588</v>
      </c>
      <c r="C1466" s="27">
        <v>0</v>
      </c>
      <c r="D1466" s="27">
        <v>0</v>
      </c>
      <c r="E1466" s="27">
        <v>0</v>
      </c>
    </row>
    <row r="1467" spans="1:5" hidden="1" outlineLevel="2">
      <c r="A1467" s="3" t="e">
        <f>(HYPERLINK("http://www.autodoc.ru/Web/price/art/2718AGN?analog=on","2718AGN"))*1</f>
        <v>#VALUE!</v>
      </c>
      <c r="B1467" s="1">
        <v>6965418</v>
      </c>
      <c r="C1467" t="s">
        <v>1589</v>
      </c>
      <c r="D1467" t="s">
        <v>1590</v>
      </c>
      <c r="E1467" t="s">
        <v>8</v>
      </c>
    </row>
    <row r="1468" spans="1:5" hidden="1" outlineLevel="2">
      <c r="A1468" s="3" t="e">
        <f>(HYPERLINK("http://www.autodoc.ru/Web/price/art/2718AGNGN?analog=on","2718AGNGN"))*1</f>
        <v>#VALUE!</v>
      </c>
      <c r="B1468" s="1">
        <v>6963436</v>
      </c>
      <c r="C1468" t="s">
        <v>1589</v>
      </c>
      <c r="D1468" t="s">
        <v>1591</v>
      </c>
      <c r="E1468" t="s">
        <v>8</v>
      </c>
    </row>
    <row r="1469" spans="1:5" hidden="1" outlineLevel="2">
      <c r="A1469" s="3" t="e">
        <f>(HYPERLINK("http://www.autodoc.ru/Web/price/art/2718LGNH5FD?analog=on","2718LGNH5FD"))*1</f>
        <v>#VALUE!</v>
      </c>
      <c r="B1469" s="1">
        <v>6997133</v>
      </c>
      <c r="C1469" t="s">
        <v>1589</v>
      </c>
      <c r="D1469" t="s">
        <v>1592</v>
      </c>
      <c r="E1469" t="s">
        <v>10</v>
      </c>
    </row>
    <row r="1470" spans="1:5" hidden="1" outlineLevel="2">
      <c r="A1470" s="3" t="e">
        <f>(HYPERLINK("http://www.autodoc.ru/Web/price/art/2718LGNH5FV?analog=on","2718LGNH5FV"))*1</f>
        <v>#VALUE!</v>
      </c>
      <c r="B1470" s="1">
        <v>6997123</v>
      </c>
      <c r="C1470" t="s">
        <v>1589</v>
      </c>
      <c r="D1470" t="s">
        <v>1593</v>
      </c>
      <c r="E1470" t="s">
        <v>10</v>
      </c>
    </row>
    <row r="1471" spans="1:5" hidden="1" outlineLevel="2">
      <c r="A1471" s="3" t="e">
        <f>(HYPERLINK("http://www.autodoc.ru/Web/price/art/2718LGNH5RD?analog=on","2718LGNH5RD"))*1</f>
        <v>#VALUE!</v>
      </c>
      <c r="B1471" s="1">
        <v>6997182</v>
      </c>
      <c r="C1471" t="s">
        <v>1589</v>
      </c>
      <c r="D1471" t="s">
        <v>1594</v>
      </c>
      <c r="E1471" t="s">
        <v>10</v>
      </c>
    </row>
    <row r="1472" spans="1:5" hidden="1" outlineLevel="2">
      <c r="A1472" s="3" t="e">
        <f>(HYPERLINK("http://www.autodoc.ru/Web/price/art/2718LGNH5RV?analog=on","2718LGNH5RV"))*1</f>
        <v>#VALUE!</v>
      </c>
      <c r="B1472" s="1">
        <v>6997121</v>
      </c>
      <c r="C1472" t="s">
        <v>1589</v>
      </c>
      <c r="D1472" t="s">
        <v>1595</v>
      </c>
      <c r="E1472" t="s">
        <v>10</v>
      </c>
    </row>
    <row r="1473" spans="1:5" hidden="1" outlineLevel="2">
      <c r="A1473" s="3" t="e">
        <f>(HYPERLINK("http://www.autodoc.ru/Web/price/art/2718RGNH5FD?analog=on","2718RGNH5FD"))*1</f>
        <v>#VALUE!</v>
      </c>
      <c r="B1473" s="1">
        <v>6997132</v>
      </c>
      <c r="C1473" t="s">
        <v>1589</v>
      </c>
      <c r="D1473" t="s">
        <v>1596</v>
      </c>
      <c r="E1473" t="s">
        <v>10</v>
      </c>
    </row>
    <row r="1474" spans="1:5" hidden="1" outlineLevel="2">
      <c r="A1474" s="3" t="e">
        <f>(HYPERLINK("http://www.autodoc.ru/Web/price/art/2718RGNH5FV?analog=on","2718RGNH5FV"))*1</f>
        <v>#VALUE!</v>
      </c>
      <c r="B1474" s="1">
        <v>6997124</v>
      </c>
      <c r="C1474" t="s">
        <v>1589</v>
      </c>
      <c r="D1474" t="s">
        <v>1597</v>
      </c>
      <c r="E1474" t="s">
        <v>10</v>
      </c>
    </row>
    <row r="1475" spans="1:5" hidden="1" outlineLevel="2">
      <c r="A1475" s="3" t="e">
        <f>(HYPERLINK("http://www.autodoc.ru/Web/price/art/2718RGNH5RD?analog=on","2718RGNH5RD"))*1</f>
        <v>#VALUE!</v>
      </c>
      <c r="B1475" s="1">
        <v>6997181</v>
      </c>
      <c r="C1475" t="s">
        <v>1589</v>
      </c>
      <c r="D1475" t="s">
        <v>1598</v>
      </c>
      <c r="E1475" t="s">
        <v>10</v>
      </c>
    </row>
    <row r="1476" spans="1:5" hidden="1" outlineLevel="1">
      <c r="A1476" s="2">
        <v>0</v>
      </c>
      <c r="B1476" s="26" t="s">
        <v>1599</v>
      </c>
      <c r="C1476" s="27">
        <v>0</v>
      </c>
      <c r="D1476" s="27">
        <v>0</v>
      </c>
      <c r="E1476" s="27">
        <v>0</v>
      </c>
    </row>
    <row r="1477" spans="1:5" hidden="1" outlineLevel="2">
      <c r="A1477" s="3" t="e">
        <f>(HYPERLINK("http://www.autodoc.ru/Web/price/art/2725ACCMV1B?analog=on","2725ACCMV1B"))*1</f>
        <v>#VALUE!</v>
      </c>
      <c r="B1477" s="1">
        <v>6960826</v>
      </c>
      <c r="C1477" t="s">
        <v>1570</v>
      </c>
      <c r="D1477" t="s">
        <v>1600</v>
      </c>
      <c r="E1477" t="s">
        <v>8</v>
      </c>
    </row>
    <row r="1478" spans="1:5" hidden="1" outlineLevel="2">
      <c r="A1478" s="3" t="e">
        <f>(HYPERLINK("http://www.autodoc.ru/Web/price/art/2725ACCMV6T?analog=on","2725ACCMV6T"))*1</f>
        <v>#VALUE!</v>
      </c>
      <c r="B1478" s="1">
        <v>6960827</v>
      </c>
      <c r="C1478" t="s">
        <v>72</v>
      </c>
      <c r="D1478" t="s">
        <v>1601</v>
      </c>
      <c r="E1478" t="s">
        <v>8</v>
      </c>
    </row>
    <row r="1479" spans="1:5" hidden="1" outlineLevel="2">
      <c r="A1479" s="3" t="e">
        <f>(HYPERLINK("http://www.autodoc.ru/Web/price/art/2725ACCV1B?analog=on","2725ACCV1B"))*1</f>
        <v>#VALUE!</v>
      </c>
      <c r="B1479" s="1">
        <v>6960828</v>
      </c>
      <c r="C1479" t="s">
        <v>72</v>
      </c>
      <c r="D1479" t="s">
        <v>1602</v>
      </c>
      <c r="E1479" t="s">
        <v>8</v>
      </c>
    </row>
    <row r="1480" spans="1:5" hidden="1" outlineLevel="2">
      <c r="A1480" s="3" t="e">
        <f>(HYPERLINK("http://www.autodoc.ru/Web/price/art/2725AGN?analog=on","2725AGN"))*1</f>
        <v>#VALUE!</v>
      </c>
      <c r="B1480" s="1">
        <v>6962402</v>
      </c>
      <c r="C1480" t="s">
        <v>72</v>
      </c>
      <c r="D1480" t="s">
        <v>1603</v>
      </c>
      <c r="E1480" t="s">
        <v>8</v>
      </c>
    </row>
    <row r="1481" spans="1:5" hidden="1" outlineLevel="2">
      <c r="A1481" s="3" t="e">
        <f>(HYPERLINK("http://www.autodoc.ru/Web/price/art/2725AGNM?analog=on","2725AGNM"))*1</f>
        <v>#VALUE!</v>
      </c>
      <c r="B1481" s="1">
        <v>6961941</v>
      </c>
      <c r="C1481" t="s">
        <v>72</v>
      </c>
      <c r="D1481" t="s">
        <v>1604</v>
      </c>
      <c r="E1481" t="s">
        <v>8</v>
      </c>
    </row>
    <row r="1482" spans="1:5" hidden="1" outlineLevel="2">
      <c r="A1482" s="3" t="e">
        <f>(HYPERLINK("http://www.autodoc.ru/Web/price/art/2725AGSMV1B?analog=on","2725AGSMV1B"))*1</f>
        <v>#VALUE!</v>
      </c>
      <c r="B1482" s="1">
        <v>6963295</v>
      </c>
      <c r="C1482" t="s">
        <v>72</v>
      </c>
      <c r="D1482" t="s">
        <v>1605</v>
      </c>
      <c r="E1482" t="s">
        <v>8</v>
      </c>
    </row>
    <row r="1483" spans="1:5" hidden="1" outlineLevel="2">
      <c r="A1483" s="3" t="e">
        <f>(HYPERLINK("http://www.autodoc.ru/Web/price/art/2725AGSV1B?analog=on","2725AGSV1B"))*1</f>
        <v>#VALUE!</v>
      </c>
      <c r="B1483" s="1">
        <v>6965425</v>
      </c>
      <c r="C1483" t="s">
        <v>72</v>
      </c>
      <c r="D1483" t="s">
        <v>1606</v>
      </c>
      <c r="E1483" t="s">
        <v>8</v>
      </c>
    </row>
    <row r="1484" spans="1:5" hidden="1" outlineLevel="2">
      <c r="A1484" s="3" t="e">
        <f>(HYPERLINK("http://www.autodoc.ru/Web/price/art/2725ASMHT?analog=on","2725ASMHT"))*1</f>
        <v>#VALUE!</v>
      </c>
      <c r="B1484" s="1">
        <v>6100454</v>
      </c>
      <c r="C1484" t="s">
        <v>19</v>
      </c>
      <c r="D1484" t="s">
        <v>1607</v>
      </c>
      <c r="E1484" t="s">
        <v>21</v>
      </c>
    </row>
    <row r="1485" spans="1:5" hidden="1" outlineLevel="2">
      <c r="A1485" s="3" t="e">
        <f>(HYPERLINK("http://www.autodoc.ru/Web/price/art/2725BGNE?analog=on","2725BGNE"))*1</f>
        <v>#VALUE!</v>
      </c>
      <c r="B1485" s="1">
        <v>6998716</v>
      </c>
      <c r="C1485" t="s">
        <v>72</v>
      </c>
      <c r="D1485" t="s">
        <v>1608</v>
      </c>
      <c r="E1485" t="s">
        <v>23</v>
      </c>
    </row>
    <row r="1486" spans="1:5" hidden="1" outlineLevel="2">
      <c r="A1486" s="3" t="e">
        <f>(HYPERLINK("http://www.autodoc.ru/Web/price/art/2725BGNHZ?analog=on","2725BGNHZ"))*1</f>
        <v>#VALUE!</v>
      </c>
      <c r="B1486" s="1">
        <v>6998632</v>
      </c>
      <c r="C1486" t="s">
        <v>72</v>
      </c>
      <c r="D1486" t="s">
        <v>1609</v>
      </c>
      <c r="E1486" t="s">
        <v>23</v>
      </c>
    </row>
    <row r="1487" spans="1:5" hidden="1" outlineLevel="2">
      <c r="A1487" s="3" t="e">
        <f>(HYPERLINK("http://www.autodoc.ru/Web/price/art/2725LGNC2FD?analog=on","2725LGNC2FD"))*1</f>
        <v>#VALUE!</v>
      </c>
      <c r="B1487" s="1">
        <v>6994351</v>
      </c>
      <c r="C1487" t="s">
        <v>72</v>
      </c>
      <c r="D1487" t="s">
        <v>1610</v>
      </c>
      <c r="E1487" t="s">
        <v>10</v>
      </c>
    </row>
    <row r="1488" spans="1:5" hidden="1" outlineLevel="2">
      <c r="A1488" s="3" t="e">
        <f>(HYPERLINK("http://www.autodoc.ru/Web/price/art/2725LGNC2RQO?analog=on","2725LGNC2RQO"))*1</f>
        <v>#VALUE!</v>
      </c>
      <c r="B1488" s="1">
        <v>6994352</v>
      </c>
      <c r="C1488" t="s">
        <v>72</v>
      </c>
      <c r="D1488" t="s">
        <v>1611</v>
      </c>
      <c r="E1488" t="s">
        <v>10</v>
      </c>
    </row>
    <row r="1489" spans="1:5" hidden="1" outlineLevel="2">
      <c r="A1489" s="3" t="e">
        <f>(HYPERLINK("http://www.autodoc.ru/Web/price/art/2725LGNE5RD?analog=on","2725LGNE5RD"))*1</f>
        <v>#VALUE!</v>
      </c>
      <c r="B1489" s="1">
        <v>6991227</v>
      </c>
      <c r="C1489" t="s">
        <v>72</v>
      </c>
      <c r="D1489" t="s">
        <v>1612</v>
      </c>
      <c r="E1489" t="s">
        <v>10</v>
      </c>
    </row>
    <row r="1490" spans="1:5" hidden="1" outlineLevel="2">
      <c r="A1490" s="3" t="e">
        <f>(HYPERLINK("http://www.autodoc.ru/Web/price/art/2725LGNH5FD?analog=on","2725LGNH5FD"))*1</f>
        <v>#VALUE!</v>
      </c>
      <c r="B1490" s="1">
        <v>6994353</v>
      </c>
      <c r="C1490" t="s">
        <v>72</v>
      </c>
      <c r="D1490" t="s">
        <v>1613</v>
      </c>
      <c r="E1490" t="s">
        <v>10</v>
      </c>
    </row>
    <row r="1491" spans="1:5" hidden="1" outlineLevel="2">
      <c r="A1491" s="3" t="e">
        <f>(HYPERLINK("http://www.autodoc.ru/Web/price/art/2725LGNH5RD?analog=on","2725LGNH5RD"))*1</f>
        <v>#VALUE!</v>
      </c>
      <c r="B1491" s="1">
        <v>6994354</v>
      </c>
      <c r="C1491" t="s">
        <v>72</v>
      </c>
      <c r="D1491" t="s">
        <v>1614</v>
      </c>
      <c r="E1491" t="s">
        <v>10</v>
      </c>
    </row>
    <row r="1492" spans="1:5" hidden="1" outlineLevel="2">
      <c r="A1492" s="3" t="e">
        <f>(HYPERLINK("http://www.autodoc.ru/Web/price/art/2725LGSE5RD1J?analog=on","2725LGSE5RD1J"))*1</f>
        <v>#VALUE!</v>
      </c>
      <c r="B1492" s="1">
        <v>6992047</v>
      </c>
      <c r="C1492" t="s">
        <v>72</v>
      </c>
      <c r="D1492" t="s">
        <v>1615</v>
      </c>
      <c r="E1492" t="s">
        <v>10</v>
      </c>
    </row>
    <row r="1493" spans="1:5" hidden="1" outlineLevel="2">
      <c r="A1493" s="3" t="e">
        <f>(HYPERLINK("http://www.autodoc.ru/Web/price/art/2725LGSE5RQ?analog=on","2725LGSE5RQ"))*1</f>
        <v>#VALUE!</v>
      </c>
      <c r="B1493" s="1">
        <v>6991229</v>
      </c>
      <c r="C1493" t="s">
        <v>72</v>
      </c>
      <c r="D1493" t="s">
        <v>1616</v>
      </c>
      <c r="E1493" t="s">
        <v>10</v>
      </c>
    </row>
    <row r="1494" spans="1:5" hidden="1" outlineLevel="2">
      <c r="A1494" s="3" t="e">
        <f>(HYPERLINK("http://www.autodoc.ru/Web/price/art/2725RGNC2FD?analog=on","2725RGNC2FD"))*1</f>
        <v>#VALUE!</v>
      </c>
      <c r="B1494" s="1">
        <v>6994355</v>
      </c>
      <c r="C1494" t="s">
        <v>72</v>
      </c>
      <c r="D1494" t="s">
        <v>1617</v>
      </c>
      <c r="E1494" t="s">
        <v>10</v>
      </c>
    </row>
    <row r="1495" spans="1:5" hidden="1" outlineLevel="2">
      <c r="A1495" s="3" t="e">
        <f>(HYPERLINK("http://www.autodoc.ru/Web/price/art/2725RGNC2RQO?analog=on","2725RGNC2RQO"))*1</f>
        <v>#VALUE!</v>
      </c>
      <c r="B1495" s="1">
        <v>6994356</v>
      </c>
      <c r="C1495" t="s">
        <v>72</v>
      </c>
      <c r="D1495" t="s">
        <v>1618</v>
      </c>
      <c r="E1495" t="s">
        <v>10</v>
      </c>
    </row>
    <row r="1496" spans="1:5" hidden="1" outlineLevel="2">
      <c r="A1496" s="3" t="e">
        <f>(HYPERLINK("http://www.autodoc.ru/Web/price/art/2725RGNE5RD?analog=on","2725RGNE5RD"))*1</f>
        <v>#VALUE!</v>
      </c>
      <c r="B1496" s="1">
        <v>6991226</v>
      </c>
      <c r="C1496" t="s">
        <v>72</v>
      </c>
      <c r="D1496" t="s">
        <v>1619</v>
      </c>
      <c r="E1496" t="s">
        <v>10</v>
      </c>
    </row>
    <row r="1497" spans="1:5" hidden="1" outlineLevel="2">
      <c r="A1497" s="3" t="e">
        <f>(HYPERLINK("http://www.autodoc.ru/Web/price/art/2725RGNH5FD?analog=on","2725RGNH5FD"))*1</f>
        <v>#VALUE!</v>
      </c>
      <c r="B1497" s="1">
        <v>6994357</v>
      </c>
      <c r="C1497" t="s">
        <v>72</v>
      </c>
      <c r="D1497" t="s">
        <v>1620</v>
      </c>
      <c r="E1497" t="s">
        <v>10</v>
      </c>
    </row>
    <row r="1498" spans="1:5" hidden="1" outlineLevel="2">
      <c r="A1498" s="3" t="e">
        <f>(HYPERLINK("http://www.autodoc.ru/Web/price/art/2725RGNH5RD?analog=on","2725RGNH5RD"))*1</f>
        <v>#VALUE!</v>
      </c>
      <c r="B1498" s="1">
        <v>6994358</v>
      </c>
      <c r="C1498" t="s">
        <v>72</v>
      </c>
      <c r="D1498" t="s">
        <v>1621</v>
      </c>
      <c r="E1498" t="s">
        <v>10</v>
      </c>
    </row>
    <row r="1499" spans="1:5" hidden="1" outlineLevel="2">
      <c r="A1499" s="3" t="e">
        <f>(HYPERLINK("http://www.autodoc.ru/Web/price/art/2725RGSE5RD1J?analog=on","2725RGSE5RD1J"))*1</f>
        <v>#VALUE!</v>
      </c>
      <c r="B1499" s="1">
        <v>6992046</v>
      </c>
      <c r="C1499" t="s">
        <v>72</v>
      </c>
      <c r="D1499" t="s">
        <v>1622</v>
      </c>
      <c r="E1499" t="s">
        <v>10</v>
      </c>
    </row>
    <row r="1500" spans="1:5" hidden="1" outlineLevel="2">
      <c r="A1500" s="3" t="e">
        <f>(HYPERLINK("http://www.autodoc.ru/Web/price/art/2725RGSE5RQ?analog=on","2725RGSE5RQ"))*1</f>
        <v>#VALUE!</v>
      </c>
      <c r="B1500" s="1">
        <v>6991228</v>
      </c>
      <c r="C1500" t="s">
        <v>72</v>
      </c>
      <c r="D1500" t="s">
        <v>1623</v>
      </c>
      <c r="E1500" t="s">
        <v>10</v>
      </c>
    </row>
    <row r="1501" spans="1:5" hidden="1" outlineLevel="1">
      <c r="A1501" s="2">
        <v>0</v>
      </c>
      <c r="B1501" s="26" t="s">
        <v>1624</v>
      </c>
      <c r="C1501" s="27">
        <v>0</v>
      </c>
      <c r="D1501" s="27">
        <v>0</v>
      </c>
      <c r="E1501" s="27">
        <v>0</v>
      </c>
    </row>
    <row r="1502" spans="1:5" hidden="1" outlineLevel="2">
      <c r="A1502" s="3" t="e">
        <f>(HYPERLINK("http://www.autodoc.ru/Web/price/art/2729ACCMV1P?analog=on","2729ACCMV1P"))*1</f>
        <v>#VALUE!</v>
      </c>
      <c r="B1502" s="1">
        <v>6961741</v>
      </c>
      <c r="C1502" t="s">
        <v>226</v>
      </c>
      <c r="D1502" t="s">
        <v>1625</v>
      </c>
      <c r="E1502" t="s">
        <v>8</v>
      </c>
    </row>
    <row r="1503" spans="1:5" hidden="1" outlineLevel="2">
      <c r="A1503" s="3" t="e">
        <f>(HYPERLINK("http://www.autodoc.ru/Web/price/art/2729ACCV?analog=on","2729ACCV"))*1</f>
        <v>#VALUE!</v>
      </c>
      <c r="B1503" s="1">
        <v>6960831</v>
      </c>
      <c r="C1503" t="s">
        <v>1626</v>
      </c>
      <c r="D1503" t="s">
        <v>1627</v>
      </c>
      <c r="E1503" t="s">
        <v>8</v>
      </c>
    </row>
    <row r="1504" spans="1:5" hidden="1" outlineLevel="2">
      <c r="A1504" s="3" t="e">
        <f>(HYPERLINK("http://www.autodoc.ru/Web/price/art/2729AGSV?analog=on","2729AGSV"))*1</f>
        <v>#VALUE!</v>
      </c>
      <c r="B1504" s="1">
        <v>6960809</v>
      </c>
      <c r="C1504" t="s">
        <v>1626</v>
      </c>
      <c r="D1504" t="s">
        <v>1628</v>
      </c>
      <c r="E1504" t="s">
        <v>8</v>
      </c>
    </row>
    <row r="1505" spans="1:5" hidden="1" outlineLevel="2">
      <c r="A1505" s="3" t="e">
        <f>(HYPERLINK("http://www.autodoc.ru/Web/price/art/2729ASMV?analog=on","2729ASMV"))*1</f>
        <v>#VALUE!</v>
      </c>
      <c r="B1505" s="1">
        <v>6100455</v>
      </c>
      <c r="C1505" t="s">
        <v>19</v>
      </c>
      <c r="D1505" t="s">
        <v>1629</v>
      </c>
      <c r="E1505" t="s">
        <v>21</v>
      </c>
    </row>
    <row r="1506" spans="1:5" hidden="1" outlineLevel="2">
      <c r="A1506" s="3" t="e">
        <f>(HYPERLINK("http://www.autodoc.ru/Web/price/art/2729BGDVB?analog=on","2729BGDVB"))*1</f>
        <v>#VALUE!</v>
      </c>
      <c r="B1506" s="1">
        <v>6992793</v>
      </c>
      <c r="C1506" t="s">
        <v>1626</v>
      </c>
      <c r="D1506" t="s">
        <v>1630</v>
      </c>
      <c r="E1506" t="s">
        <v>23</v>
      </c>
    </row>
    <row r="1507" spans="1:5" hidden="1" outlineLevel="2">
      <c r="A1507" s="3" t="e">
        <f>(HYPERLINK("http://www.autodoc.ru/Web/price/art/2729BGSVB?analog=on","2729BGSVB"))*1</f>
        <v>#VALUE!</v>
      </c>
      <c r="B1507" s="1">
        <v>6992759</v>
      </c>
      <c r="C1507" t="s">
        <v>1626</v>
      </c>
      <c r="D1507" t="s">
        <v>1631</v>
      </c>
      <c r="E1507" t="s">
        <v>23</v>
      </c>
    </row>
    <row r="1508" spans="1:5" hidden="1" outlineLevel="2">
      <c r="A1508" s="3" t="e">
        <f>(HYPERLINK("http://www.autodoc.ru/Web/price/art/2729LGSV5FD?analog=on","2729LGSV5FD"))*1</f>
        <v>#VALUE!</v>
      </c>
      <c r="B1508" s="1">
        <v>6993056</v>
      </c>
      <c r="C1508" t="s">
        <v>1626</v>
      </c>
      <c r="D1508" t="s">
        <v>1632</v>
      </c>
      <c r="E1508" t="s">
        <v>10</v>
      </c>
    </row>
    <row r="1509" spans="1:5" hidden="1" outlineLevel="2">
      <c r="A1509" s="3" t="e">
        <f>(HYPERLINK("http://www.autodoc.ru/Web/price/art/2729LGSV5FQ?analog=on","2729LGSV5FQ"))*1</f>
        <v>#VALUE!</v>
      </c>
      <c r="B1509" s="1">
        <v>6993054</v>
      </c>
      <c r="C1509" t="s">
        <v>1626</v>
      </c>
      <c r="D1509" t="s">
        <v>1633</v>
      </c>
      <c r="E1509" t="s">
        <v>10</v>
      </c>
    </row>
    <row r="1510" spans="1:5" hidden="1" outlineLevel="2">
      <c r="A1510" s="3" t="e">
        <f>(HYPERLINK("http://www.autodoc.ru/Web/price/art/2729LGSV5RD?analog=on","2729LGSV5RD"))*1</f>
        <v>#VALUE!</v>
      </c>
      <c r="B1510" s="1">
        <v>6993058</v>
      </c>
      <c r="C1510" t="s">
        <v>1626</v>
      </c>
      <c r="D1510" t="s">
        <v>1634</v>
      </c>
      <c r="E1510" t="s">
        <v>10</v>
      </c>
    </row>
    <row r="1511" spans="1:5" hidden="1" outlineLevel="2">
      <c r="A1511" s="3" t="e">
        <f>(HYPERLINK("http://www.autodoc.ru/Web/price/art/2729LGSV5RQ?analog=on","2729LGSV5RQ"))*1</f>
        <v>#VALUE!</v>
      </c>
      <c r="B1511" s="1">
        <v>6980078</v>
      </c>
      <c r="C1511" t="s">
        <v>1626</v>
      </c>
      <c r="D1511" t="s">
        <v>1635</v>
      </c>
      <c r="E1511" t="s">
        <v>10</v>
      </c>
    </row>
    <row r="1512" spans="1:5" hidden="1" outlineLevel="2">
      <c r="A1512" s="3" t="e">
        <f>(HYPERLINK("http://www.autodoc.ru/Web/price/art/2729RGSV5FD?analog=on","2729RGSV5FD"))*1</f>
        <v>#VALUE!</v>
      </c>
      <c r="B1512" s="1">
        <v>6993057</v>
      </c>
      <c r="C1512" t="s">
        <v>1626</v>
      </c>
      <c r="D1512" t="s">
        <v>1636</v>
      </c>
      <c r="E1512" t="s">
        <v>10</v>
      </c>
    </row>
    <row r="1513" spans="1:5" hidden="1" outlineLevel="2">
      <c r="A1513" s="3" t="e">
        <f>(HYPERLINK("http://www.autodoc.ru/Web/price/art/2729RGSV5RD?analog=on","2729RGSV5RD"))*1</f>
        <v>#VALUE!</v>
      </c>
      <c r="B1513" s="1">
        <v>6993059</v>
      </c>
      <c r="C1513" t="s">
        <v>1626</v>
      </c>
      <c r="D1513" t="s">
        <v>1637</v>
      </c>
      <c r="E1513" t="s">
        <v>10</v>
      </c>
    </row>
    <row r="1514" spans="1:5" hidden="1" outlineLevel="2">
      <c r="A1514" s="3" t="e">
        <f>(HYPERLINK("http://www.autodoc.ru/Web/price/art/2729RGSV5RQ?analog=on","2729RGSV5RQ"))*1</f>
        <v>#VALUE!</v>
      </c>
      <c r="B1514" s="1">
        <v>6980079</v>
      </c>
      <c r="C1514" t="s">
        <v>1626</v>
      </c>
      <c r="D1514" t="s">
        <v>1638</v>
      </c>
      <c r="E1514" t="s">
        <v>10</v>
      </c>
    </row>
    <row r="1515" spans="1:5" hidden="1" outlineLevel="1">
      <c r="A1515" s="2">
        <v>0</v>
      </c>
      <c r="B1515" s="26" t="s">
        <v>1639</v>
      </c>
      <c r="C1515" s="27">
        <v>0</v>
      </c>
      <c r="D1515" s="27">
        <v>0</v>
      </c>
      <c r="E1515" s="27">
        <v>0</v>
      </c>
    </row>
    <row r="1516" spans="1:5" hidden="1" outlineLevel="2">
      <c r="A1516" s="3" t="e">
        <f>(HYPERLINK("http://www.autodoc.ru/Web/price/art/2719ACL?analog=on","2719ACL"))*1</f>
        <v>#VALUE!</v>
      </c>
      <c r="B1516" s="1">
        <v>6965421</v>
      </c>
      <c r="C1516" t="s">
        <v>193</v>
      </c>
      <c r="D1516" t="s">
        <v>1640</v>
      </c>
      <c r="E1516" t="s">
        <v>8</v>
      </c>
    </row>
    <row r="1517" spans="1:5" hidden="1" outlineLevel="2">
      <c r="A1517" s="3" t="e">
        <f>(HYPERLINK("http://www.autodoc.ru/Web/price/art/2719AGN?analog=on","2719AGN"))*1</f>
        <v>#VALUE!</v>
      </c>
      <c r="B1517" s="1">
        <v>6965422</v>
      </c>
      <c r="C1517" t="s">
        <v>193</v>
      </c>
      <c r="D1517" t="s">
        <v>1641</v>
      </c>
      <c r="E1517" t="s">
        <v>8</v>
      </c>
    </row>
    <row r="1518" spans="1:5" hidden="1" outlineLevel="2">
      <c r="A1518" s="3" t="e">
        <f>(HYPERLINK("http://www.autodoc.ru/Web/price/art/2719AGNBL?analog=on","2719AGNBL"))*1</f>
        <v>#VALUE!</v>
      </c>
      <c r="B1518" s="1">
        <v>6963437</v>
      </c>
      <c r="C1518" t="s">
        <v>193</v>
      </c>
      <c r="D1518" t="s">
        <v>1642</v>
      </c>
      <c r="E1518" t="s">
        <v>8</v>
      </c>
    </row>
    <row r="1519" spans="1:5" hidden="1" outlineLevel="2">
      <c r="A1519" s="3" t="e">
        <f>(HYPERLINK("http://www.autodoc.ru/Web/price/art/2719AGNGN?analog=on","2719AGNGN"))*1</f>
        <v>#VALUE!</v>
      </c>
      <c r="B1519" s="1">
        <v>6963438</v>
      </c>
      <c r="C1519" t="s">
        <v>193</v>
      </c>
      <c r="D1519" t="s">
        <v>1643</v>
      </c>
      <c r="E1519" t="s">
        <v>8</v>
      </c>
    </row>
    <row r="1520" spans="1:5" hidden="1" outlineLevel="2">
      <c r="A1520" s="3" t="e">
        <f>(HYPERLINK("http://www.autodoc.ru/Web/price/art/2719AKMH?analog=on","2719AKMH"))*1</f>
        <v>#VALUE!</v>
      </c>
      <c r="B1520" s="1">
        <v>6100419</v>
      </c>
      <c r="C1520" t="s">
        <v>19</v>
      </c>
      <c r="D1520" t="s">
        <v>1644</v>
      </c>
      <c r="E1520" t="s">
        <v>21</v>
      </c>
    </row>
    <row r="1521" spans="1:5" hidden="1" outlineLevel="2">
      <c r="A1521" s="3" t="e">
        <f>(HYPERLINK("http://www.autodoc.ru/Web/price/art/2719BCLH?analog=on","2719BCLH"))*1</f>
        <v>#VALUE!</v>
      </c>
      <c r="B1521" s="1">
        <v>6997138</v>
      </c>
      <c r="C1521" t="s">
        <v>193</v>
      </c>
      <c r="D1521" t="s">
        <v>1645</v>
      </c>
      <c r="E1521" t="s">
        <v>23</v>
      </c>
    </row>
    <row r="1522" spans="1:5" hidden="1" outlineLevel="2">
      <c r="A1522" s="3" t="e">
        <f>(HYPERLINK("http://www.autodoc.ru/Web/price/art/2719BGNE?analog=on","2719BGNE"))*1</f>
        <v>#VALUE!</v>
      </c>
      <c r="B1522" s="1">
        <v>6998709</v>
      </c>
      <c r="C1522" t="s">
        <v>1646</v>
      </c>
      <c r="D1522" t="s">
        <v>1647</v>
      </c>
      <c r="E1522" t="s">
        <v>23</v>
      </c>
    </row>
    <row r="1523" spans="1:5" hidden="1" outlineLevel="2">
      <c r="A1523" s="3" t="e">
        <f>(HYPERLINK("http://www.autodoc.ru/Web/price/art/2719BGNH?analog=on","2719BGNH"))*1</f>
        <v>#VALUE!</v>
      </c>
      <c r="B1523" s="1">
        <v>6997169</v>
      </c>
      <c r="C1523" t="s">
        <v>193</v>
      </c>
      <c r="D1523" t="s">
        <v>1648</v>
      </c>
      <c r="E1523" t="s">
        <v>23</v>
      </c>
    </row>
    <row r="1524" spans="1:5" hidden="1" outlineLevel="2">
      <c r="A1524" s="3" t="e">
        <f>(HYPERLINK("http://www.autodoc.ru/Web/price/art/2719BSMH?analog=on","2719BSMH"))*1</f>
        <v>#VALUE!</v>
      </c>
      <c r="B1524" s="1">
        <v>6100032</v>
      </c>
      <c r="C1524" t="s">
        <v>19</v>
      </c>
      <c r="D1524" t="s">
        <v>1649</v>
      </c>
      <c r="E1524" t="s">
        <v>21</v>
      </c>
    </row>
    <row r="1525" spans="1:5" hidden="1" outlineLevel="2">
      <c r="A1525" s="3" t="e">
        <f>(HYPERLINK("http://www.autodoc.ru/Web/price/art/2719LCLH5FD?analog=on","2719LCLH5FD"))*1</f>
        <v>#VALUE!</v>
      </c>
      <c r="B1525" s="1">
        <v>6992807</v>
      </c>
      <c r="C1525" t="s">
        <v>193</v>
      </c>
      <c r="D1525" t="s">
        <v>1650</v>
      </c>
      <c r="E1525" t="s">
        <v>10</v>
      </c>
    </row>
    <row r="1526" spans="1:5" hidden="1" outlineLevel="2">
      <c r="A1526" s="3" t="e">
        <f>(HYPERLINK("http://www.autodoc.ru/Web/price/art/2719LGNH3FD?analog=on","2719LGNH3FD"))*1</f>
        <v>#VALUE!</v>
      </c>
      <c r="B1526" s="1">
        <v>6995342</v>
      </c>
      <c r="C1526" t="s">
        <v>193</v>
      </c>
      <c r="D1526" t="s">
        <v>1651</v>
      </c>
      <c r="E1526" t="s">
        <v>10</v>
      </c>
    </row>
    <row r="1527" spans="1:5" hidden="1" outlineLevel="2">
      <c r="A1527" s="3" t="e">
        <f>(HYPERLINK("http://www.autodoc.ru/Web/price/art/2719LGNH5FD?analog=on","2719LGNH5FD"))*1</f>
        <v>#VALUE!</v>
      </c>
      <c r="B1527" s="1">
        <v>6992809</v>
      </c>
      <c r="C1527" t="s">
        <v>193</v>
      </c>
      <c r="D1527" t="s">
        <v>1652</v>
      </c>
      <c r="E1527" t="s">
        <v>10</v>
      </c>
    </row>
    <row r="1528" spans="1:5" hidden="1" outlineLevel="2">
      <c r="A1528" s="3" t="e">
        <f>(HYPERLINK("http://www.autodoc.ru/Web/price/art/2719LGNH5RD?analog=on","2719LGNH5RD"))*1</f>
        <v>#VALUE!</v>
      </c>
      <c r="B1528" s="1">
        <v>6992813</v>
      </c>
      <c r="C1528" t="s">
        <v>193</v>
      </c>
      <c r="D1528" t="s">
        <v>1653</v>
      </c>
      <c r="E1528" t="s">
        <v>10</v>
      </c>
    </row>
    <row r="1529" spans="1:5" hidden="1" outlineLevel="2">
      <c r="A1529" s="3" t="e">
        <f>(HYPERLINK("http://www.autodoc.ru/Web/price/art/2719LGNH5RQ?analog=on","2719LGNH5RQ"))*1</f>
        <v>#VALUE!</v>
      </c>
      <c r="B1529" s="1">
        <v>6994332</v>
      </c>
      <c r="C1529" t="s">
        <v>193</v>
      </c>
      <c r="D1529" t="s">
        <v>1654</v>
      </c>
      <c r="E1529" t="s">
        <v>10</v>
      </c>
    </row>
    <row r="1530" spans="1:5" hidden="1" outlineLevel="2">
      <c r="A1530" s="3" t="e">
        <f>(HYPERLINK("http://www.autodoc.ru/Web/price/art/2719RCLH5FD?analog=on","2719RCLH5FD"))*1</f>
        <v>#VALUE!</v>
      </c>
      <c r="B1530" s="1">
        <v>6992806</v>
      </c>
      <c r="C1530" t="s">
        <v>193</v>
      </c>
      <c r="D1530" t="s">
        <v>1655</v>
      </c>
      <c r="E1530" t="s">
        <v>10</v>
      </c>
    </row>
    <row r="1531" spans="1:5" hidden="1" outlineLevel="2">
      <c r="A1531" s="3" t="e">
        <f>(HYPERLINK("http://www.autodoc.ru/Web/price/art/2719RGNH3FD?analog=on","2719RGNH3FD"))*1</f>
        <v>#VALUE!</v>
      </c>
      <c r="B1531" s="1">
        <v>6995344</v>
      </c>
      <c r="C1531" t="s">
        <v>193</v>
      </c>
      <c r="D1531" t="s">
        <v>1656</v>
      </c>
      <c r="E1531" t="s">
        <v>10</v>
      </c>
    </row>
    <row r="1532" spans="1:5" hidden="1" outlineLevel="2">
      <c r="A1532" s="3" t="e">
        <f>(HYPERLINK("http://www.autodoc.ru/Web/price/art/2719RGNH5FD?analog=on","2719RGNH5FD"))*1</f>
        <v>#VALUE!</v>
      </c>
      <c r="B1532" s="1">
        <v>6992808</v>
      </c>
      <c r="C1532" t="s">
        <v>193</v>
      </c>
      <c r="D1532" t="s">
        <v>1657</v>
      </c>
      <c r="E1532" t="s">
        <v>10</v>
      </c>
    </row>
    <row r="1533" spans="1:5" hidden="1" outlineLevel="2">
      <c r="A1533" s="3" t="e">
        <f>(HYPERLINK("http://www.autodoc.ru/Web/price/art/2719RGNH5RD?analog=on","2719RGNH5RD"))*1</f>
        <v>#VALUE!</v>
      </c>
      <c r="B1533" s="1">
        <v>6992812</v>
      </c>
      <c r="C1533" t="s">
        <v>193</v>
      </c>
      <c r="D1533" t="s">
        <v>1658</v>
      </c>
      <c r="E1533" t="s">
        <v>10</v>
      </c>
    </row>
    <row r="1534" spans="1:5" hidden="1" outlineLevel="2">
      <c r="A1534" s="3" t="e">
        <f>(HYPERLINK("http://www.autodoc.ru/Web/price/art/2719RGNH5RQ?analog=on","2719RGNH5RQ"))*1</f>
        <v>#VALUE!</v>
      </c>
      <c r="B1534" s="1">
        <v>6994334</v>
      </c>
      <c r="C1534" t="s">
        <v>193</v>
      </c>
      <c r="D1534" t="s">
        <v>1659</v>
      </c>
      <c r="E1534" t="s">
        <v>10</v>
      </c>
    </row>
    <row r="1535" spans="1:5" collapsed="1">
      <c r="A1535" s="28" t="s">
        <v>1660</v>
      </c>
      <c r="B1535" s="28">
        <v>0</v>
      </c>
      <c r="C1535" s="28">
        <v>0</v>
      </c>
      <c r="D1535" s="28">
        <v>0</v>
      </c>
      <c r="E1535" s="28">
        <v>0</v>
      </c>
    </row>
    <row r="1536" spans="1:5" hidden="1" outlineLevel="1">
      <c r="A1536" s="2">
        <v>0</v>
      </c>
      <c r="B1536" s="26" t="s">
        <v>1661</v>
      </c>
      <c r="C1536" s="27">
        <v>0</v>
      </c>
      <c r="D1536" s="27">
        <v>0</v>
      </c>
      <c r="E1536" s="27">
        <v>0</v>
      </c>
    </row>
    <row r="1537" spans="1:5" hidden="1" outlineLevel="2">
      <c r="A1537" s="3" t="e">
        <f>(HYPERLINK("http://www.autodoc.ru/Web/price/art/3013ACL?analog=on","3013ACL"))*1</f>
        <v>#VALUE!</v>
      </c>
      <c r="B1537" s="1">
        <v>6960218</v>
      </c>
      <c r="C1537" t="s">
        <v>1053</v>
      </c>
      <c r="D1537" t="s">
        <v>1662</v>
      </c>
      <c r="E1537" t="s">
        <v>8</v>
      </c>
    </row>
    <row r="1538" spans="1:5" hidden="1" outlineLevel="2">
      <c r="A1538" s="3" t="e">
        <f>(HYPERLINK("http://www.autodoc.ru/Web/price/art/3013AGNBL?analog=on","3013AGNBL"))*1</f>
        <v>#VALUE!</v>
      </c>
      <c r="B1538" s="1">
        <v>6960224</v>
      </c>
      <c r="C1538" t="s">
        <v>1053</v>
      </c>
      <c r="D1538" t="s">
        <v>1663</v>
      </c>
      <c r="E1538" t="s">
        <v>8</v>
      </c>
    </row>
    <row r="1539" spans="1:5" hidden="1" outlineLevel="2">
      <c r="A1539" s="3" t="e">
        <f>(HYPERLINK("http://www.autodoc.ru/Web/price/art/3013BCLLLU?analog=on","3013BCLLLU"))*1</f>
        <v>#VALUE!</v>
      </c>
      <c r="B1539" s="1">
        <v>6990233</v>
      </c>
      <c r="C1539" t="s">
        <v>1053</v>
      </c>
      <c r="D1539" t="s">
        <v>1664</v>
      </c>
      <c r="E1539" t="s">
        <v>23</v>
      </c>
    </row>
    <row r="1540" spans="1:5" hidden="1" outlineLevel="2">
      <c r="A1540" s="3" t="e">
        <f>(HYPERLINK("http://www.autodoc.ru/Web/price/art/3013BCLLRU?analog=on","3013BCLLRU"))*1</f>
        <v>#VALUE!</v>
      </c>
      <c r="B1540" s="1">
        <v>6990231</v>
      </c>
      <c r="C1540" t="s">
        <v>1053</v>
      </c>
      <c r="D1540" t="s">
        <v>1665</v>
      </c>
      <c r="E1540" t="s">
        <v>23</v>
      </c>
    </row>
    <row r="1541" spans="1:5" hidden="1" outlineLevel="2">
      <c r="A1541" s="3" t="e">
        <f>(HYPERLINK("http://www.autodoc.ru/Web/price/art/3013BCLLU1J?analog=on","3013BCLLU1J"))*1</f>
        <v>#VALUE!</v>
      </c>
      <c r="B1541" s="1">
        <v>6990228</v>
      </c>
      <c r="C1541" t="s">
        <v>1053</v>
      </c>
      <c r="D1541" t="s">
        <v>1666</v>
      </c>
      <c r="E1541" t="s">
        <v>23</v>
      </c>
    </row>
    <row r="1542" spans="1:5" hidden="1" outlineLevel="2">
      <c r="A1542" s="3" t="e">
        <f>(HYPERLINK("http://www.autodoc.ru/Web/price/art/3013BGNLRU?analog=on","3013BGNLRU"))*1</f>
        <v>#VALUE!</v>
      </c>
      <c r="B1542" s="1">
        <v>6990232</v>
      </c>
      <c r="C1542" t="s">
        <v>1053</v>
      </c>
      <c r="D1542" t="s">
        <v>1667</v>
      </c>
      <c r="E1542" t="s">
        <v>23</v>
      </c>
    </row>
    <row r="1543" spans="1:5" hidden="1" outlineLevel="2">
      <c r="A1543" s="3" t="e">
        <f>(HYPERLINK("http://www.autodoc.ru/Web/price/art/3013BGNLU1J?analog=on","3013BGNLU1J"))*1</f>
        <v>#VALUE!</v>
      </c>
      <c r="B1543" s="1">
        <v>6990229</v>
      </c>
      <c r="C1543" t="s">
        <v>1053</v>
      </c>
      <c r="D1543" t="s">
        <v>1668</v>
      </c>
      <c r="E1543" t="s">
        <v>23</v>
      </c>
    </row>
    <row r="1544" spans="1:5" hidden="1" outlineLevel="2">
      <c r="A1544" s="3" t="e">
        <f>(HYPERLINK("http://www.autodoc.ru/Web/price/art/3013LCLL2FD?analog=on","3013LCLL2FD"))*1</f>
        <v>#VALUE!</v>
      </c>
      <c r="B1544" s="1">
        <v>6990226</v>
      </c>
      <c r="C1544" t="s">
        <v>1053</v>
      </c>
      <c r="D1544" t="s">
        <v>1669</v>
      </c>
      <c r="E1544" t="s">
        <v>10</v>
      </c>
    </row>
    <row r="1545" spans="1:5" hidden="1" outlineLevel="2">
      <c r="A1545" s="3" t="e">
        <f>(HYPERLINK("http://www.autodoc.ru/Web/price/art/3013LCLL2FV?analog=on","3013LCLL2FV"))*1</f>
        <v>#VALUE!</v>
      </c>
      <c r="B1545" s="1">
        <v>6990222</v>
      </c>
      <c r="C1545" t="s">
        <v>1053</v>
      </c>
      <c r="D1545" t="s">
        <v>1670</v>
      </c>
      <c r="E1545" t="s">
        <v>10</v>
      </c>
    </row>
    <row r="1546" spans="1:5" hidden="1" outlineLevel="2">
      <c r="A1546" s="3" t="e">
        <f>(HYPERLINK("http://www.autodoc.ru/Web/price/art/3013LGNL2FD?analog=on","3013LGNL2FD"))*1</f>
        <v>#VALUE!</v>
      </c>
      <c r="B1546" s="1">
        <v>6990227</v>
      </c>
      <c r="C1546" t="s">
        <v>1053</v>
      </c>
      <c r="D1546" t="s">
        <v>1671</v>
      </c>
      <c r="E1546" t="s">
        <v>10</v>
      </c>
    </row>
    <row r="1547" spans="1:5" hidden="1" outlineLevel="2">
      <c r="A1547" s="3" t="e">
        <f>(HYPERLINK("http://www.autodoc.ru/Web/price/art/3013LGNL2FV?analog=on","3013LGNL2FV"))*1</f>
        <v>#VALUE!</v>
      </c>
      <c r="B1547" s="1">
        <v>6990223</v>
      </c>
      <c r="C1547" t="s">
        <v>1053</v>
      </c>
      <c r="D1547" t="s">
        <v>1672</v>
      </c>
      <c r="E1547" t="s">
        <v>10</v>
      </c>
    </row>
    <row r="1548" spans="1:5" hidden="1" outlineLevel="2">
      <c r="A1548" s="3" t="e">
        <f>(HYPERLINK("http://www.autodoc.ru/Web/price/art/3013RCLL2FD?analog=on","3013RCLL2FD"))*1</f>
        <v>#VALUE!</v>
      </c>
      <c r="B1548" s="1">
        <v>6990224</v>
      </c>
      <c r="C1548" t="s">
        <v>1053</v>
      </c>
      <c r="D1548" t="s">
        <v>1673</v>
      </c>
      <c r="E1548" t="s">
        <v>10</v>
      </c>
    </row>
    <row r="1549" spans="1:5" hidden="1" outlineLevel="2">
      <c r="A1549" s="3" t="e">
        <f>(HYPERLINK("http://www.autodoc.ru/Web/price/art/3013RCLL2FV?analog=on","3013RCLL2FV"))*1</f>
        <v>#VALUE!</v>
      </c>
      <c r="B1549" s="1">
        <v>6990220</v>
      </c>
      <c r="C1549" t="s">
        <v>1053</v>
      </c>
      <c r="D1549" t="s">
        <v>1674</v>
      </c>
      <c r="E1549" t="s">
        <v>10</v>
      </c>
    </row>
    <row r="1550" spans="1:5" hidden="1" outlineLevel="2">
      <c r="A1550" s="3" t="e">
        <f>(HYPERLINK("http://www.autodoc.ru/Web/price/art/3013RGNL2FD?analog=on","3013RGNL2FD"))*1</f>
        <v>#VALUE!</v>
      </c>
      <c r="B1550" s="1">
        <v>6990225</v>
      </c>
      <c r="C1550" t="s">
        <v>1053</v>
      </c>
      <c r="D1550" t="s">
        <v>1675</v>
      </c>
      <c r="E1550" t="s">
        <v>10</v>
      </c>
    </row>
    <row r="1551" spans="1:5" hidden="1" outlineLevel="2">
      <c r="A1551" s="3" t="e">
        <f>(HYPERLINK("http://www.autodoc.ru/Web/price/art/3013RGNL2FV?analog=on","3013RGNL2FV"))*1</f>
        <v>#VALUE!</v>
      </c>
      <c r="B1551" s="1">
        <v>6990221</v>
      </c>
      <c r="C1551" t="s">
        <v>1053</v>
      </c>
      <c r="D1551" t="s">
        <v>1676</v>
      </c>
      <c r="E1551" t="s">
        <v>10</v>
      </c>
    </row>
    <row r="1552" spans="1:5" hidden="1" outlineLevel="1">
      <c r="A1552" s="2">
        <v>0</v>
      </c>
      <c r="B1552" s="26" t="s">
        <v>1677</v>
      </c>
      <c r="C1552" s="27">
        <v>0</v>
      </c>
      <c r="D1552" s="27">
        <v>0</v>
      </c>
      <c r="E1552" s="27">
        <v>0</v>
      </c>
    </row>
    <row r="1553" spans="1:5" hidden="1" outlineLevel="2">
      <c r="A1553" s="3" t="e">
        <f>(HYPERLINK("http://www.autodoc.ru/Web/price/art/3001AGNBL?analog=on","3001AGNBL"))*1</f>
        <v>#VALUE!</v>
      </c>
      <c r="B1553" s="1">
        <v>6961417</v>
      </c>
      <c r="C1553" t="s">
        <v>522</v>
      </c>
      <c r="D1553" t="s">
        <v>1678</v>
      </c>
      <c r="E1553" t="s">
        <v>8</v>
      </c>
    </row>
    <row r="1554" spans="1:5" hidden="1" outlineLevel="2">
      <c r="A1554" s="3" t="e">
        <f>(HYPERLINK("http://www.autodoc.ru/Web/price/art/3001ASMS?analog=on","3001ASMS"))*1</f>
        <v>#VALUE!</v>
      </c>
      <c r="B1554" s="1">
        <v>6100038</v>
      </c>
      <c r="C1554" t="s">
        <v>19</v>
      </c>
      <c r="D1554" t="s">
        <v>1679</v>
      </c>
      <c r="E1554" t="s">
        <v>21</v>
      </c>
    </row>
    <row r="1555" spans="1:5" hidden="1" outlineLevel="2">
      <c r="A1555" s="3" t="e">
        <f>(HYPERLINK("http://www.autodoc.ru/Web/price/art/3001BGNS?analog=on","3001BGNS"))*1</f>
        <v>#VALUE!</v>
      </c>
      <c r="B1555" s="1">
        <v>6996474</v>
      </c>
      <c r="C1555" t="s">
        <v>522</v>
      </c>
      <c r="D1555" t="s">
        <v>1680</v>
      </c>
      <c r="E1555" t="s">
        <v>23</v>
      </c>
    </row>
    <row r="1556" spans="1:5" hidden="1" outlineLevel="2">
      <c r="A1556" s="3" t="e">
        <f>(HYPERLINK("http://www.autodoc.ru/Web/price/art/3001LGNS4FD?analog=on","3001LGNS4FD"))*1</f>
        <v>#VALUE!</v>
      </c>
      <c r="B1556" s="1">
        <v>6995354</v>
      </c>
      <c r="C1556" t="s">
        <v>522</v>
      </c>
      <c r="D1556" t="s">
        <v>1681</v>
      </c>
      <c r="E1556" t="s">
        <v>10</v>
      </c>
    </row>
    <row r="1557" spans="1:5" hidden="1" outlineLevel="2">
      <c r="A1557" s="3" t="e">
        <f>(HYPERLINK("http://www.autodoc.ru/Web/price/art/3001LGNS4RD?analog=on","3001LGNS4RD"))*1</f>
        <v>#VALUE!</v>
      </c>
      <c r="B1557" s="1">
        <v>6994359</v>
      </c>
      <c r="C1557" t="s">
        <v>522</v>
      </c>
      <c r="D1557" t="s">
        <v>1682</v>
      </c>
      <c r="E1557" t="s">
        <v>10</v>
      </c>
    </row>
    <row r="1558" spans="1:5" hidden="1" outlineLevel="2">
      <c r="A1558" s="3" t="e">
        <f>(HYPERLINK("http://www.autodoc.ru/Web/price/art/3001LGNS4RQZ?analog=on","3001LGNS4RQZ"))*1</f>
        <v>#VALUE!</v>
      </c>
      <c r="B1558" s="1">
        <v>6900327</v>
      </c>
      <c r="C1558" t="s">
        <v>522</v>
      </c>
      <c r="D1558" t="s">
        <v>1683</v>
      </c>
      <c r="E1558" t="s">
        <v>10</v>
      </c>
    </row>
    <row r="1559" spans="1:5" hidden="1" outlineLevel="2">
      <c r="A1559" s="3" t="e">
        <f>(HYPERLINK("http://www.autodoc.ru/Web/price/art/3001RGNS4FD?analog=on","3001RGNS4FD"))*1</f>
        <v>#VALUE!</v>
      </c>
      <c r="B1559" s="1">
        <v>6995355</v>
      </c>
      <c r="C1559" t="s">
        <v>522</v>
      </c>
      <c r="D1559" t="s">
        <v>1684</v>
      </c>
      <c r="E1559" t="s">
        <v>10</v>
      </c>
    </row>
    <row r="1560" spans="1:5" hidden="1" outlineLevel="2">
      <c r="A1560" s="3" t="e">
        <f>(HYPERLINK("http://www.autodoc.ru/Web/price/art/3001RGNS4RD?analog=on","3001RGNS4RD"))*1</f>
        <v>#VALUE!</v>
      </c>
      <c r="B1560" s="1">
        <v>6994360</v>
      </c>
      <c r="C1560" t="s">
        <v>522</v>
      </c>
      <c r="D1560" t="s">
        <v>1685</v>
      </c>
      <c r="E1560" t="s">
        <v>10</v>
      </c>
    </row>
    <row r="1561" spans="1:5" hidden="1" outlineLevel="1">
      <c r="A1561" s="2">
        <v>0</v>
      </c>
      <c r="B1561" s="26" t="s">
        <v>1686</v>
      </c>
      <c r="C1561" s="27">
        <v>0</v>
      </c>
      <c r="D1561" s="27">
        <v>0</v>
      </c>
      <c r="E1561" s="27">
        <v>0</v>
      </c>
    </row>
    <row r="1562" spans="1:5" hidden="1" outlineLevel="2">
      <c r="A1562" s="3" t="e">
        <f>(HYPERLINK("http://www.autodoc.ru/Web/price/art/3003ACLBL?analog=on","3003ACLBL"))*1</f>
        <v>#VALUE!</v>
      </c>
      <c r="B1562" s="1">
        <v>6962322</v>
      </c>
      <c r="C1562" t="s">
        <v>1687</v>
      </c>
      <c r="D1562" t="s">
        <v>1688</v>
      </c>
      <c r="E1562" t="s">
        <v>8</v>
      </c>
    </row>
    <row r="1563" spans="1:5" hidden="1" outlineLevel="2">
      <c r="A1563" s="3" t="e">
        <f>(HYPERLINK("http://www.autodoc.ru/Web/price/art/3003ACLBL1C?analog=on","3003ACLBL1C"))*1</f>
        <v>#VALUE!</v>
      </c>
      <c r="B1563" s="1">
        <v>6965168</v>
      </c>
      <c r="C1563" t="s">
        <v>1687</v>
      </c>
      <c r="D1563" t="s">
        <v>1688</v>
      </c>
      <c r="E1563" t="s">
        <v>8</v>
      </c>
    </row>
    <row r="1564" spans="1:5" hidden="1" outlineLevel="2">
      <c r="A1564" s="3" t="e">
        <f>(HYPERLINK("http://www.autodoc.ru/Web/price/art/3003AGNBL?analog=on","3003AGNBL"))*1</f>
        <v>#VALUE!</v>
      </c>
      <c r="B1564" s="1">
        <v>6963727</v>
      </c>
      <c r="C1564" t="s">
        <v>1687</v>
      </c>
      <c r="D1564" t="s">
        <v>1689</v>
      </c>
      <c r="E1564" t="s">
        <v>8</v>
      </c>
    </row>
    <row r="1565" spans="1:5" hidden="1" outlineLevel="2">
      <c r="A1565" s="3" t="e">
        <f>(HYPERLINK("http://www.autodoc.ru/Web/price/art/3003ASMH?analog=on","3003ASMH"))*1</f>
        <v>#VALUE!</v>
      </c>
      <c r="B1565" s="1">
        <v>6100039</v>
      </c>
      <c r="C1565" t="s">
        <v>19</v>
      </c>
      <c r="D1565" t="s">
        <v>1690</v>
      </c>
      <c r="E1565" t="s">
        <v>21</v>
      </c>
    </row>
    <row r="1566" spans="1:5" hidden="1" outlineLevel="2">
      <c r="A1566" s="3" t="e">
        <f>(HYPERLINK("http://www.autodoc.ru/Web/price/art/3003BCLS?analog=on","3003BCLS"))*1</f>
        <v>#VALUE!</v>
      </c>
      <c r="B1566" s="1">
        <v>6994982</v>
      </c>
      <c r="C1566" t="s">
        <v>1687</v>
      </c>
      <c r="D1566" t="s">
        <v>1691</v>
      </c>
      <c r="E1566" t="s">
        <v>23</v>
      </c>
    </row>
    <row r="1567" spans="1:5" hidden="1" outlineLevel="2">
      <c r="A1567" s="3" t="e">
        <f>(HYPERLINK("http://www.autodoc.ru/Web/price/art/3003BGNH?analog=on","3003BGNH"))*1</f>
        <v>#VALUE!</v>
      </c>
      <c r="B1567" s="1">
        <v>6998717</v>
      </c>
      <c r="C1567" t="s">
        <v>1687</v>
      </c>
      <c r="D1567" t="s">
        <v>1692</v>
      </c>
      <c r="E1567" t="s">
        <v>23</v>
      </c>
    </row>
    <row r="1568" spans="1:5" hidden="1" outlineLevel="2">
      <c r="A1568" s="3" t="e">
        <f>(HYPERLINK("http://www.autodoc.ru/Web/price/art/3003BGNSW?analog=on","3003BGNSW"))*1</f>
        <v>#VALUE!</v>
      </c>
      <c r="B1568" s="1">
        <v>6998718</v>
      </c>
      <c r="C1568" t="s">
        <v>1687</v>
      </c>
      <c r="D1568" t="s">
        <v>1693</v>
      </c>
      <c r="E1568" t="s">
        <v>23</v>
      </c>
    </row>
    <row r="1569" spans="1:5" hidden="1" outlineLevel="2">
      <c r="A1569" s="3" t="e">
        <f>(HYPERLINK("http://www.autodoc.ru/Web/price/art/3003LCLS4FD?analog=on","3003LCLS4FD"))*1</f>
        <v>#VALUE!</v>
      </c>
      <c r="B1569" s="1">
        <v>6994984</v>
      </c>
      <c r="C1569" t="s">
        <v>1687</v>
      </c>
      <c r="D1569" t="s">
        <v>1694</v>
      </c>
      <c r="E1569" t="s">
        <v>10</v>
      </c>
    </row>
    <row r="1570" spans="1:5" hidden="1" outlineLevel="2">
      <c r="A1570" s="3" t="e">
        <f>(HYPERLINK("http://www.autodoc.ru/Web/price/art/3003LCLS4RD?analog=on","3003LCLS4RD"))*1</f>
        <v>#VALUE!</v>
      </c>
      <c r="B1570" s="1">
        <v>6994986</v>
      </c>
      <c r="C1570" t="s">
        <v>1687</v>
      </c>
      <c r="D1570" t="s">
        <v>1695</v>
      </c>
      <c r="E1570" t="s">
        <v>10</v>
      </c>
    </row>
    <row r="1571" spans="1:5" hidden="1" outlineLevel="2">
      <c r="A1571" s="3" t="e">
        <f>(HYPERLINK("http://www.autodoc.ru/Web/price/art/3003LGNH3FD?analog=on","3003LGNH3FD"))*1</f>
        <v>#VALUE!</v>
      </c>
      <c r="B1571" s="1">
        <v>6995654</v>
      </c>
      <c r="C1571" t="s">
        <v>1687</v>
      </c>
      <c r="D1571" t="s">
        <v>1696</v>
      </c>
      <c r="E1571" t="s">
        <v>10</v>
      </c>
    </row>
    <row r="1572" spans="1:5" hidden="1" outlineLevel="2">
      <c r="A1572" s="3" t="e">
        <f>(HYPERLINK("http://www.autodoc.ru/Web/price/art/3003LGNS4FD?analog=on","3003LGNS4FD"))*1</f>
        <v>#VALUE!</v>
      </c>
      <c r="B1572" s="1">
        <v>6995099</v>
      </c>
      <c r="C1572" t="s">
        <v>1687</v>
      </c>
      <c r="D1572" t="s">
        <v>1697</v>
      </c>
      <c r="E1572" t="s">
        <v>10</v>
      </c>
    </row>
    <row r="1573" spans="1:5" hidden="1" outlineLevel="2">
      <c r="A1573" s="3" t="e">
        <f>(HYPERLINK("http://www.autodoc.ru/Web/price/art/3003LGNH5FD?analog=on","3003LGNH5FD"))*1</f>
        <v>#VALUE!</v>
      </c>
      <c r="B1573" s="1">
        <v>6995655</v>
      </c>
      <c r="C1573" t="s">
        <v>1687</v>
      </c>
      <c r="D1573" t="s">
        <v>1698</v>
      </c>
      <c r="E1573" t="s">
        <v>10</v>
      </c>
    </row>
    <row r="1574" spans="1:5" hidden="1" outlineLevel="2">
      <c r="A1574" s="3" t="e">
        <f>(HYPERLINK("http://www.autodoc.ru/Web/price/art/3003LGNH5RD?analog=on","3003LGNH5RD"))*1</f>
        <v>#VALUE!</v>
      </c>
      <c r="B1574" s="1">
        <v>6995656</v>
      </c>
      <c r="C1574" t="s">
        <v>1687</v>
      </c>
      <c r="D1574" t="s">
        <v>1699</v>
      </c>
      <c r="E1574" t="s">
        <v>10</v>
      </c>
    </row>
    <row r="1575" spans="1:5" hidden="1" outlineLevel="2">
      <c r="A1575" s="3" t="e">
        <f>(HYPERLINK("http://www.autodoc.ru/Web/price/art/3003LGNS4RD?analog=on","3003LGNS4RD"))*1</f>
        <v>#VALUE!</v>
      </c>
      <c r="B1575" s="1">
        <v>6995107</v>
      </c>
      <c r="C1575" t="s">
        <v>1687</v>
      </c>
      <c r="D1575" t="s">
        <v>1700</v>
      </c>
      <c r="E1575" t="s">
        <v>10</v>
      </c>
    </row>
    <row r="1576" spans="1:5" hidden="1" outlineLevel="2">
      <c r="A1576" s="3" t="e">
        <f>(HYPERLINK("http://www.autodoc.ru/Web/price/art/3003RCLS4FD?analog=on","3003RCLS4FD"))*1</f>
        <v>#VALUE!</v>
      </c>
      <c r="B1576" s="1">
        <v>6994983</v>
      </c>
      <c r="C1576" t="s">
        <v>1687</v>
      </c>
      <c r="D1576" t="s">
        <v>1701</v>
      </c>
      <c r="E1576" t="s">
        <v>10</v>
      </c>
    </row>
    <row r="1577" spans="1:5" hidden="1" outlineLevel="2">
      <c r="A1577" s="3" t="e">
        <f>(HYPERLINK("http://www.autodoc.ru/Web/price/art/3003RCLS4RD?analog=on","3003RCLS4RD"))*1</f>
        <v>#VALUE!</v>
      </c>
      <c r="B1577" s="1">
        <v>6994985</v>
      </c>
      <c r="C1577" t="s">
        <v>1687</v>
      </c>
      <c r="D1577" t="s">
        <v>1702</v>
      </c>
      <c r="E1577" t="s">
        <v>10</v>
      </c>
    </row>
    <row r="1578" spans="1:5" hidden="1" outlineLevel="2">
      <c r="A1578" s="3" t="e">
        <f>(HYPERLINK("http://www.autodoc.ru/Web/price/art/3003RGNH3FD?analog=on","3003RGNH3FD"))*1</f>
        <v>#VALUE!</v>
      </c>
      <c r="B1578" s="1">
        <v>6995657</v>
      </c>
      <c r="C1578" t="s">
        <v>1687</v>
      </c>
      <c r="D1578" t="s">
        <v>1703</v>
      </c>
      <c r="E1578" t="s">
        <v>10</v>
      </c>
    </row>
    <row r="1579" spans="1:5" hidden="1" outlineLevel="2">
      <c r="A1579" s="3" t="e">
        <f>(HYPERLINK("http://www.autodoc.ru/Web/price/art/3003RGNS4FD?analog=on","3003RGNS4FD"))*1</f>
        <v>#VALUE!</v>
      </c>
      <c r="B1579" s="1">
        <v>6995098</v>
      </c>
      <c r="C1579" t="s">
        <v>1687</v>
      </c>
      <c r="D1579" t="s">
        <v>1704</v>
      </c>
      <c r="E1579" t="s">
        <v>10</v>
      </c>
    </row>
    <row r="1580" spans="1:5" hidden="1" outlineLevel="2">
      <c r="A1580" s="3" t="e">
        <f>(HYPERLINK("http://www.autodoc.ru/Web/price/art/3003RGNS4RD?analog=on","3003RGNS4RD"))*1</f>
        <v>#VALUE!</v>
      </c>
      <c r="B1580" s="1">
        <v>6995100</v>
      </c>
      <c r="C1580" t="s">
        <v>1687</v>
      </c>
      <c r="D1580" t="s">
        <v>1705</v>
      </c>
      <c r="E1580" t="s">
        <v>10</v>
      </c>
    </row>
    <row r="1581" spans="1:5" hidden="1" outlineLevel="2">
      <c r="A1581" s="3" t="e">
        <f>(HYPERLINK("http://www.autodoc.ru/Web/price/art/3003RGNH3RQO?analog=on","3003RGNH3RQO"))*1</f>
        <v>#VALUE!</v>
      </c>
      <c r="B1581" s="1">
        <v>6994362</v>
      </c>
      <c r="C1581" t="s">
        <v>1687</v>
      </c>
      <c r="D1581" t="s">
        <v>1706</v>
      </c>
      <c r="E1581" t="s">
        <v>10</v>
      </c>
    </row>
    <row r="1582" spans="1:5" hidden="1" outlineLevel="2">
      <c r="A1582" s="3" t="e">
        <f>(HYPERLINK("http://www.autodoc.ru/Web/price/art/3003RGNH5FD?analog=on","3003RGNH5FD"))*1</f>
        <v>#VALUE!</v>
      </c>
      <c r="B1582" s="1">
        <v>6994363</v>
      </c>
      <c r="C1582" t="s">
        <v>1687</v>
      </c>
      <c r="D1582" t="s">
        <v>1707</v>
      </c>
      <c r="E1582" t="s">
        <v>10</v>
      </c>
    </row>
    <row r="1583" spans="1:5" hidden="1" outlineLevel="2">
      <c r="A1583" s="3" t="e">
        <f>(HYPERLINK("http://www.autodoc.ru/Web/price/art/3003RGNH5RD?analog=on","3003RGNH5RD"))*1</f>
        <v>#VALUE!</v>
      </c>
      <c r="B1583" s="1">
        <v>6995658</v>
      </c>
      <c r="C1583" t="s">
        <v>1687</v>
      </c>
      <c r="D1583" t="s">
        <v>1708</v>
      </c>
      <c r="E1583" t="s">
        <v>10</v>
      </c>
    </row>
    <row r="1584" spans="1:5" hidden="1" outlineLevel="1">
      <c r="A1584" s="2">
        <v>0</v>
      </c>
      <c r="B1584" s="26" t="s">
        <v>1709</v>
      </c>
      <c r="C1584" s="27">
        <v>0</v>
      </c>
      <c r="D1584" s="27">
        <v>0</v>
      </c>
      <c r="E1584" s="27">
        <v>0</v>
      </c>
    </row>
    <row r="1585" spans="1:5" hidden="1" outlineLevel="2">
      <c r="A1585" s="3" t="e">
        <f>(HYPERLINK("http://www.autodoc.ru/Web/price/art/3005AGNBL?analog=on","3005AGNBL"))*1</f>
        <v>#VALUE!</v>
      </c>
      <c r="B1585" s="1">
        <v>6963372</v>
      </c>
      <c r="C1585" t="s">
        <v>1710</v>
      </c>
      <c r="D1585" t="s">
        <v>1711</v>
      </c>
      <c r="E1585" t="s">
        <v>8</v>
      </c>
    </row>
    <row r="1586" spans="1:5" hidden="1" outlineLevel="2">
      <c r="A1586" s="3" t="e">
        <f>(HYPERLINK("http://www.autodoc.ru/Web/price/art/3005ASMS?analog=on","3005ASMS"))*1</f>
        <v>#VALUE!</v>
      </c>
      <c r="B1586" s="1">
        <v>6100041</v>
      </c>
      <c r="C1586" t="s">
        <v>19</v>
      </c>
      <c r="D1586" t="s">
        <v>1712</v>
      </c>
      <c r="E1586" t="s">
        <v>21</v>
      </c>
    </row>
    <row r="1587" spans="1:5" hidden="1" outlineLevel="2">
      <c r="A1587" s="3" t="e">
        <f>(HYPERLINK("http://www.autodoc.ru/Web/price/art/3005BGNS?analog=on","3005BGNS"))*1</f>
        <v>#VALUE!</v>
      </c>
      <c r="B1587" s="1">
        <v>6998719</v>
      </c>
      <c r="C1587" t="s">
        <v>1710</v>
      </c>
      <c r="D1587" t="s">
        <v>1713</v>
      </c>
      <c r="E1587" t="s">
        <v>23</v>
      </c>
    </row>
    <row r="1588" spans="1:5" hidden="1" outlineLevel="2">
      <c r="A1588" s="3" t="e">
        <f>(HYPERLINK("http://www.autodoc.ru/Web/price/art/3005LGNS4FD?analog=on","3005LGNS4FD"))*1</f>
        <v>#VALUE!</v>
      </c>
      <c r="B1588" s="1">
        <v>6994366</v>
      </c>
      <c r="C1588" t="s">
        <v>1710</v>
      </c>
      <c r="D1588" t="s">
        <v>1714</v>
      </c>
      <c r="E1588" t="s">
        <v>10</v>
      </c>
    </row>
    <row r="1589" spans="1:5" hidden="1" outlineLevel="2">
      <c r="A1589" s="3" t="e">
        <f>(HYPERLINK("http://www.autodoc.ru/Web/price/art/3005LGNS4RD?analog=on","3005LGNS4RD"))*1</f>
        <v>#VALUE!</v>
      </c>
      <c r="B1589" s="1">
        <v>6994367</v>
      </c>
      <c r="C1589" t="s">
        <v>1710</v>
      </c>
      <c r="D1589" t="s">
        <v>1715</v>
      </c>
      <c r="E1589" t="s">
        <v>10</v>
      </c>
    </row>
    <row r="1590" spans="1:5" hidden="1" outlineLevel="2">
      <c r="A1590" s="3" t="e">
        <f>(HYPERLINK("http://www.autodoc.ru/Web/price/art/3005LGNS4RV?analog=on","3005LGNS4RV"))*1</f>
        <v>#VALUE!</v>
      </c>
      <c r="B1590" s="1">
        <v>6994697</v>
      </c>
      <c r="C1590" t="s">
        <v>1710</v>
      </c>
      <c r="D1590" t="s">
        <v>1716</v>
      </c>
      <c r="E1590" t="s">
        <v>10</v>
      </c>
    </row>
    <row r="1591" spans="1:5" hidden="1" outlineLevel="2">
      <c r="A1591" s="3" t="e">
        <f>(HYPERLINK("http://www.autodoc.ru/Web/price/art/3005RGNS4FD?analog=on","3005RGNS4FD"))*1</f>
        <v>#VALUE!</v>
      </c>
      <c r="B1591" s="1">
        <v>6994368</v>
      </c>
      <c r="C1591" t="s">
        <v>1710</v>
      </c>
      <c r="D1591" t="s">
        <v>1717</v>
      </c>
      <c r="E1591" t="s">
        <v>10</v>
      </c>
    </row>
    <row r="1592" spans="1:5" hidden="1" outlineLevel="2">
      <c r="A1592" s="3" t="e">
        <f>(HYPERLINK("http://www.autodoc.ru/Web/price/art/3005RGNS4RD?analog=on","3005RGNS4RD"))*1</f>
        <v>#VALUE!</v>
      </c>
      <c r="B1592" s="1">
        <v>6994369</v>
      </c>
      <c r="C1592" t="s">
        <v>1710</v>
      </c>
      <c r="D1592" t="s">
        <v>1718</v>
      </c>
      <c r="E1592" t="s">
        <v>10</v>
      </c>
    </row>
    <row r="1593" spans="1:5" hidden="1" outlineLevel="2">
      <c r="A1593" s="3" t="e">
        <f>(HYPERLINK("http://www.autodoc.ru/Web/price/art/3005RGNS4RV?analog=on","3005RGNS4RV"))*1</f>
        <v>#VALUE!</v>
      </c>
      <c r="B1593" s="1">
        <v>6994698</v>
      </c>
      <c r="C1593" t="s">
        <v>1710</v>
      </c>
      <c r="D1593" t="s">
        <v>1719</v>
      </c>
      <c r="E1593" t="s">
        <v>10</v>
      </c>
    </row>
    <row r="1594" spans="1:5" hidden="1" outlineLevel="1">
      <c r="A1594" s="2">
        <v>0</v>
      </c>
      <c r="B1594" s="26" t="s">
        <v>1720</v>
      </c>
      <c r="C1594" s="27">
        <v>0</v>
      </c>
      <c r="D1594" s="27">
        <v>0</v>
      </c>
      <c r="E1594" s="27">
        <v>0</v>
      </c>
    </row>
    <row r="1595" spans="1:5" hidden="1" outlineLevel="2">
      <c r="A1595" s="3" t="e">
        <f>(HYPERLINK("http://www.autodoc.ru/Web/price/art/3006AGNBL?analog=on","3006AGNBL"))*1</f>
        <v>#VALUE!</v>
      </c>
      <c r="B1595" s="1">
        <v>6963296</v>
      </c>
      <c r="C1595" t="s">
        <v>1721</v>
      </c>
      <c r="D1595" t="s">
        <v>1722</v>
      </c>
      <c r="E1595" t="s">
        <v>8</v>
      </c>
    </row>
    <row r="1596" spans="1:5" hidden="1" outlineLevel="2">
      <c r="A1596" s="3" t="e">
        <f>(HYPERLINK("http://www.autodoc.ru/Web/price/art/3006ASMH?analog=on","3006ASMH"))*1</f>
        <v>#VALUE!</v>
      </c>
      <c r="B1596" s="1">
        <v>6100042</v>
      </c>
      <c r="C1596" t="s">
        <v>19</v>
      </c>
      <c r="D1596" t="s">
        <v>1723</v>
      </c>
      <c r="E1596" t="s">
        <v>21</v>
      </c>
    </row>
    <row r="1597" spans="1:5" hidden="1" outlineLevel="2">
      <c r="A1597" s="3" t="e">
        <f>(HYPERLINK("http://www.autodoc.ru/Web/price/art/3006BCLHW?analog=on","3006BCLHW"))*1</f>
        <v>#VALUE!</v>
      </c>
      <c r="B1597" s="1">
        <v>6999499</v>
      </c>
      <c r="C1597" t="s">
        <v>1721</v>
      </c>
      <c r="D1597" t="s">
        <v>1724</v>
      </c>
      <c r="E1597" t="s">
        <v>23</v>
      </c>
    </row>
    <row r="1598" spans="1:5" hidden="1" outlineLevel="2">
      <c r="A1598" s="3" t="e">
        <f>(HYPERLINK("http://www.autodoc.ru/Web/price/art/3006BGNHW?analog=on","3006BGNHW"))*1</f>
        <v>#VALUE!</v>
      </c>
      <c r="B1598" s="1">
        <v>6998634</v>
      </c>
      <c r="C1598" t="s">
        <v>1721</v>
      </c>
      <c r="D1598" t="s">
        <v>1725</v>
      </c>
      <c r="E1598" t="s">
        <v>23</v>
      </c>
    </row>
    <row r="1599" spans="1:5" hidden="1" outlineLevel="2">
      <c r="A1599" s="3" t="e">
        <f>(HYPERLINK("http://www.autodoc.ru/Web/price/art/3006LCLH5FD?analog=on","3006LCLH5FD"))*1</f>
        <v>#VALUE!</v>
      </c>
      <c r="B1599" s="1">
        <v>6999940</v>
      </c>
      <c r="C1599" t="s">
        <v>1721</v>
      </c>
      <c r="D1599" t="s">
        <v>1726</v>
      </c>
      <c r="E1599" t="s">
        <v>10</v>
      </c>
    </row>
    <row r="1600" spans="1:5" hidden="1" outlineLevel="2">
      <c r="A1600" s="3" t="e">
        <f>(HYPERLINK("http://www.autodoc.ru/Web/price/art/3006LGNH5FD?analog=on","3006LGNH5FD"))*1</f>
        <v>#VALUE!</v>
      </c>
      <c r="B1600" s="1">
        <v>6994370</v>
      </c>
      <c r="C1600" t="s">
        <v>1721</v>
      </c>
      <c r="D1600" t="s">
        <v>1727</v>
      </c>
      <c r="E1600" t="s">
        <v>10</v>
      </c>
    </row>
    <row r="1601" spans="1:5" hidden="1" outlineLevel="2">
      <c r="A1601" s="3" t="e">
        <f>(HYPERLINK("http://www.autodoc.ru/Web/price/art/3006LGNH5FV?analog=on","3006LGNH5FV"))*1</f>
        <v>#VALUE!</v>
      </c>
      <c r="B1601" s="1">
        <v>6994371</v>
      </c>
      <c r="C1601" t="s">
        <v>1721</v>
      </c>
      <c r="D1601" t="s">
        <v>1728</v>
      </c>
      <c r="E1601" t="s">
        <v>10</v>
      </c>
    </row>
    <row r="1602" spans="1:5" hidden="1" outlineLevel="2">
      <c r="A1602" s="3" t="e">
        <f>(HYPERLINK("http://www.autodoc.ru/Web/price/art/3006LGNH5RD?analog=on","3006LGNH5RD"))*1</f>
        <v>#VALUE!</v>
      </c>
      <c r="B1602" s="1">
        <v>6994372</v>
      </c>
      <c r="C1602" t="s">
        <v>1721</v>
      </c>
      <c r="D1602" t="s">
        <v>1729</v>
      </c>
      <c r="E1602" t="s">
        <v>10</v>
      </c>
    </row>
    <row r="1603" spans="1:5" hidden="1" outlineLevel="2">
      <c r="A1603" s="3" t="e">
        <f>(HYPERLINK("http://www.autodoc.ru/Web/price/art/3006RCLH5FD?analog=on","3006RCLH5FD"))*1</f>
        <v>#VALUE!</v>
      </c>
      <c r="B1603" s="1">
        <v>6900031</v>
      </c>
      <c r="C1603" t="s">
        <v>1721</v>
      </c>
      <c r="D1603" t="s">
        <v>1730</v>
      </c>
      <c r="E1603" t="s">
        <v>10</v>
      </c>
    </row>
    <row r="1604" spans="1:5" hidden="1" outlineLevel="2">
      <c r="A1604" s="3" t="e">
        <f>(HYPERLINK("http://www.autodoc.ru/Web/price/art/3006RGNH5FD?analog=on","3006RGNH5FD"))*1</f>
        <v>#VALUE!</v>
      </c>
      <c r="B1604" s="1">
        <v>6994373</v>
      </c>
      <c r="C1604" t="s">
        <v>1721</v>
      </c>
      <c r="D1604" t="s">
        <v>1731</v>
      </c>
      <c r="E1604" t="s">
        <v>10</v>
      </c>
    </row>
    <row r="1605" spans="1:5" hidden="1" outlineLevel="2">
      <c r="A1605" s="3" t="e">
        <f>(HYPERLINK("http://www.autodoc.ru/Web/price/art/3006RGNH5FV?analog=on","3006RGNH5FV"))*1</f>
        <v>#VALUE!</v>
      </c>
      <c r="B1605" s="1">
        <v>6994374</v>
      </c>
      <c r="C1605" t="s">
        <v>1721</v>
      </c>
      <c r="D1605" t="s">
        <v>1732</v>
      </c>
      <c r="E1605" t="s">
        <v>10</v>
      </c>
    </row>
    <row r="1606" spans="1:5" hidden="1" outlineLevel="2">
      <c r="A1606" s="3" t="e">
        <f>(HYPERLINK("http://www.autodoc.ru/Web/price/art/3006RGNH5RD?analog=on","3006RGNH5RD"))*1</f>
        <v>#VALUE!</v>
      </c>
      <c r="B1606" s="1">
        <v>6994375</v>
      </c>
      <c r="C1606" t="s">
        <v>1721</v>
      </c>
      <c r="D1606" t="s">
        <v>1733</v>
      </c>
      <c r="E1606" t="s">
        <v>10</v>
      </c>
    </row>
    <row r="1607" spans="1:5" hidden="1" outlineLevel="1">
      <c r="A1607" s="2">
        <v>0</v>
      </c>
      <c r="B1607" s="26" t="s">
        <v>1734</v>
      </c>
      <c r="C1607" s="27">
        <v>0</v>
      </c>
      <c r="D1607" s="27">
        <v>0</v>
      </c>
      <c r="E1607" s="27">
        <v>0</v>
      </c>
    </row>
    <row r="1608" spans="1:5" hidden="1" outlineLevel="2">
      <c r="A1608" s="3" t="e">
        <f>(HYPERLINK("http://www.autodoc.ru/Web/price/art/3000AGN?analog=on","3000AGN"))*1</f>
        <v>#VALUE!</v>
      </c>
      <c r="B1608" s="1">
        <v>6963867</v>
      </c>
      <c r="C1608" t="s">
        <v>139</v>
      </c>
      <c r="D1608" t="s">
        <v>1735</v>
      </c>
      <c r="E1608" t="s">
        <v>8</v>
      </c>
    </row>
    <row r="1609" spans="1:5" hidden="1" outlineLevel="2">
      <c r="A1609" s="3" t="e">
        <f>(HYPERLINK("http://www.autodoc.ru/Web/price/art/3000AGNBL?analog=on","3000AGNBL"))*1</f>
        <v>#VALUE!</v>
      </c>
      <c r="B1609" s="1">
        <v>6969450</v>
      </c>
      <c r="C1609" t="s">
        <v>139</v>
      </c>
      <c r="D1609" t="s">
        <v>1736</v>
      </c>
      <c r="E1609" t="s">
        <v>8</v>
      </c>
    </row>
    <row r="1610" spans="1:5" hidden="1" outlineLevel="2">
      <c r="A1610" s="3" t="e">
        <f>(HYPERLINK("http://www.autodoc.ru/Web/price/art/3000AGNBLOES?analog=on","3000AGNBLOES"))*1</f>
        <v>#VALUE!</v>
      </c>
      <c r="B1610" s="1" t="s">
        <v>1737</v>
      </c>
      <c r="C1610" t="s">
        <v>139</v>
      </c>
      <c r="D1610" t="s">
        <v>1738</v>
      </c>
      <c r="E1610" t="s">
        <v>8</v>
      </c>
    </row>
    <row r="1611" spans="1:5" hidden="1" outlineLevel="2">
      <c r="A1611" s="3" t="e">
        <f>(HYPERLINK("http://www.autodoc.ru/Web/price/art/3000ASMH?analog=on","3000ASMH"))*1</f>
        <v>#VALUE!</v>
      </c>
      <c r="B1611" s="1">
        <v>6100272</v>
      </c>
      <c r="C1611" t="s">
        <v>19</v>
      </c>
      <c r="D1611" t="s">
        <v>1739</v>
      </c>
      <c r="E1611" t="s">
        <v>21</v>
      </c>
    </row>
    <row r="1612" spans="1:5" hidden="1" outlineLevel="2">
      <c r="A1612" s="3" t="e">
        <f>(HYPERLINK("http://www.autodoc.ru/Web/price/art/3000BGNS?analog=on","3000BGNS"))*1</f>
        <v>#VALUE!</v>
      </c>
      <c r="B1612" s="1">
        <v>6190316</v>
      </c>
      <c r="C1612" t="s">
        <v>139</v>
      </c>
      <c r="D1612" t="s">
        <v>1740</v>
      </c>
      <c r="E1612" t="s">
        <v>23</v>
      </c>
    </row>
    <row r="1613" spans="1:5" hidden="1" outlineLevel="2">
      <c r="A1613" s="3" t="e">
        <f>(HYPERLINK("http://www.autodoc.ru/Web/price/art/3000LCLH5FD?analog=on","3000LCLH5FD"))*1</f>
        <v>#VALUE!</v>
      </c>
      <c r="B1613" s="1">
        <v>6190317</v>
      </c>
      <c r="C1613" t="s">
        <v>139</v>
      </c>
      <c r="D1613" t="s">
        <v>1741</v>
      </c>
      <c r="E1613" t="s">
        <v>10</v>
      </c>
    </row>
    <row r="1614" spans="1:5" hidden="1" outlineLevel="2">
      <c r="A1614" s="3" t="e">
        <f>(HYPERLINK("http://www.autodoc.ru/Web/price/art/3000LCLH5RD?analog=on","3000LCLH5RD"))*1</f>
        <v>#VALUE!</v>
      </c>
      <c r="B1614" s="1">
        <v>6190318</v>
      </c>
      <c r="C1614" t="s">
        <v>139</v>
      </c>
      <c r="D1614" t="s">
        <v>1742</v>
      </c>
      <c r="E1614" t="s">
        <v>10</v>
      </c>
    </row>
    <row r="1615" spans="1:5" hidden="1" outlineLevel="2">
      <c r="A1615" s="3" t="e">
        <f>(HYPERLINK("http://www.autodoc.ru/Web/price/art/3000LCLH5RV?analog=on","3000LCLH5RV"))*1</f>
        <v>#VALUE!</v>
      </c>
      <c r="B1615" s="1">
        <v>6190319</v>
      </c>
      <c r="C1615" t="s">
        <v>139</v>
      </c>
      <c r="D1615" t="s">
        <v>1743</v>
      </c>
      <c r="E1615" t="s">
        <v>10</v>
      </c>
    </row>
    <row r="1616" spans="1:5" hidden="1" outlineLevel="2">
      <c r="A1616" s="3" t="e">
        <f>(HYPERLINK("http://www.autodoc.ru/Web/price/art/3000LGNH3FD?analog=on","3000LGNH3FD"))*1</f>
        <v>#VALUE!</v>
      </c>
      <c r="B1616" s="1">
        <v>6190320</v>
      </c>
      <c r="C1616" t="s">
        <v>139</v>
      </c>
      <c r="D1616" t="s">
        <v>1744</v>
      </c>
      <c r="E1616" t="s">
        <v>10</v>
      </c>
    </row>
    <row r="1617" spans="1:5" hidden="1" outlineLevel="2">
      <c r="A1617" s="3" t="e">
        <f>(HYPERLINK("http://www.autodoc.ru/Web/price/art/3000LGNH5FD?analog=on","3000LGNH5FD"))*1</f>
        <v>#VALUE!</v>
      </c>
      <c r="B1617" s="1">
        <v>6190322</v>
      </c>
      <c r="C1617" t="s">
        <v>139</v>
      </c>
      <c r="D1617" t="s">
        <v>1745</v>
      </c>
      <c r="E1617" t="s">
        <v>10</v>
      </c>
    </row>
    <row r="1618" spans="1:5" hidden="1" outlineLevel="2">
      <c r="A1618" s="3" t="e">
        <f>(HYPERLINK("http://www.autodoc.ru/Web/price/art/3000LGNH5RD?analog=on","3000LGNH5RD"))*1</f>
        <v>#VALUE!</v>
      </c>
      <c r="B1618" s="1">
        <v>6190323</v>
      </c>
      <c r="C1618" t="s">
        <v>139</v>
      </c>
      <c r="D1618" t="s">
        <v>1746</v>
      </c>
      <c r="E1618" t="s">
        <v>10</v>
      </c>
    </row>
    <row r="1619" spans="1:5" hidden="1" outlineLevel="2">
      <c r="A1619" s="3" t="e">
        <f>(HYPERLINK("http://www.autodoc.ru/Web/price/art/3000LGNH5RV?analog=on","3000LGNH5RV"))*1</f>
        <v>#VALUE!</v>
      </c>
      <c r="B1619" s="1">
        <v>6190324</v>
      </c>
      <c r="C1619" t="s">
        <v>139</v>
      </c>
      <c r="D1619" t="s">
        <v>1747</v>
      </c>
      <c r="E1619" t="s">
        <v>10</v>
      </c>
    </row>
    <row r="1620" spans="1:5" hidden="1" outlineLevel="2">
      <c r="A1620" s="3" t="e">
        <f>(HYPERLINK("http://www.autodoc.ru/Web/price/art/3000RCLH5FD?analog=on","3000RCLH5FD"))*1</f>
        <v>#VALUE!</v>
      </c>
      <c r="B1620" s="1">
        <v>6190325</v>
      </c>
      <c r="C1620" t="s">
        <v>139</v>
      </c>
      <c r="D1620" t="s">
        <v>1748</v>
      </c>
      <c r="E1620" t="s">
        <v>10</v>
      </c>
    </row>
    <row r="1621" spans="1:5" hidden="1" outlineLevel="2">
      <c r="A1621" s="3" t="e">
        <f>(HYPERLINK("http://www.autodoc.ru/Web/price/art/3000RCLH5RD?analog=on","3000RCLH5RD"))*1</f>
        <v>#VALUE!</v>
      </c>
      <c r="B1621" s="1">
        <v>6190326</v>
      </c>
      <c r="C1621" t="s">
        <v>139</v>
      </c>
      <c r="D1621" t="s">
        <v>1749</v>
      </c>
      <c r="E1621" t="s">
        <v>10</v>
      </c>
    </row>
    <row r="1622" spans="1:5" hidden="1" outlineLevel="2">
      <c r="A1622" s="3" t="e">
        <f>(HYPERLINK("http://www.autodoc.ru/Web/price/art/3000RCLH5RV?analog=on","3000RCLH5RV"))*1</f>
        <v>#VALUE!</v>
      </c>
      <c r="B1622" s="1">
        <v>6190327</v>
      </c>
      <c r="C1622" t="s">
        <v>139</v>
      </c>
      <c r="D1622" t="s">
        <v>1750</v>
      </c>
      <c r="E1622" t="s">
        <v>10</v>
      </c>
    </row>
    <row r="1623" spans="1:5" hidden="1" outlineLevel="2">
      <c r="A1623" s="3" t="e">
        <f>(HYPERLINK("http://www.autodoc.ru/Web/price/art/3000RGNH3FD?analog=on","3000RGNH3FD"))*1</f>
        <v>#VALUE!</v>
      </c>
      <c r="B1623" s="1">
        <v>6190328</v>
      </c>
      <c r="C1623" t="s">
        <v>139</v>
      </c>
      <c r="D1623" t="s">
        <v>1751</v>
      </c>
      <c r="E1623" t="s">
        <v>10</v>
      </c>
    </row>
    <row r="1624" spans="1:5" hidden="1" outlineLevel="2">
      <c r="A1624" s="3" t="e">
        <f>(HYPERLINK("http://www.autodoc.ru/Web/price/art/3000RGNH5FD?analog=on","3000RGNH5FD"))*1</f>
        <v>#VALUE!</v>
      </c>
      <c r="B1624" s="1">
        <v>6190330</v>
      </c>
      <c r="C1624" t="s">
        <v>139</v>
      </c>
      <c r="D1624" t="s">
        <v>1752</v>
      </c>
      <c r="E1624" t="s">
        <v>10</v>
      </c>
    </row>
    <row r="1625" spans="1:5" hidden="1" outlineLevel="2">
      <c r="A1625" s="3" t="e">
        <f>(HYPERLINK("http://www.autodoc.ru/Web/price/art/3000RGNH5RD?analog=on","3000RGNH5RD"))*1</f>
        <v>#VALUE!</v>
      </c>
      <c r="B1625" s="1">
        <v>6190331</v>
      </c>
      <c r="C1625" t="s">
        <v>139</v>
      </c>
      <c r="D1625" t="s">
        <v>1753</v>
      </c>
      <c r="E1625" t="s">
        <v>10</v>
      </c>
    </row>
    <row r="1626" spans="1:5" hidden="1" outlineLevel="2">
      <c r="A1626" s="3" t="e">
        <f>(HYPERLINK("http://www.autodoc.ru/Web/price/art/3000RGNH5RV?analog=on","3000RGNH5RV"))*1</f>
        <v>#VALUE!</v>
      </c>
      <c r="B1626" s="1">
        <v>6190332</v>
      </c>
      <c r="C1626" t="s">
        <v>139</v>
      </c>
      <c r="D1626" t="s">
        <v>1754</v>
      </c>
      <c r="E1626" t="s">
        <v>10</v>
      </c>
    </row>
    <row r="1627" spans="1:5" hidden="1" outlineLevel="1">
      <c r="A1627" s="2">
        <v>0</v>
      </c>
      <c r="B1627" s="26" t="s">
        <v>1755</v>
      </c>
      <c r="C1627" s="27">
        <v>0</v>
      </c>
      <c r="D1627" s="27">
        <v>0</v>
      </c>
      <c r="E1627" s="27">
        <v>0</v>
      </c>
    </row>
    <row r="1628" spans="1:5" hidden="1" outlineLevel="2">
      <c r="A1628" s="3" t="e">
        <f>(HYPERLINK("http://www.autodoc.ru/Web/price/art/3004AGNBL?analog=on","3004AGNBL"))*1</f>
        <v>#VALUE!</v>
      </c>
      <c r="B1628" s="1">
        <v>6961418</v>
      </c>
      <c r="C1628" t="s">
        <v>654</v>
      </c>
      <c r="D1628" t="s">
        <v>1756</v>
      </c>
      <c r="E1628" t="s">
        <v>8</v>
      </c>
    </row>
    <row r="1629" spans="1:5" hidden="1" outlineLevel="2">
      <c r="A1629" s="3" t="e">
        <f>(HYPERLINK("http://www.autodoc.ru/Web/price/art/3004AGNBL1C?analog=on","3004AGNBL1C"))*1</f>
        <v>#VALUE!</v>
      </c>
      <c r="B1629" s="1">
        <v>6961946</v>
      </c>
      <c r="C1629" t="s">
        <v>654</v>
      </c>
      <c r="D1629" t="s">
        <v>1757</v>
      </c>
      <c r="E1629" t="s">
        <v>8</v>
      </c>
    </row>
    <row r="1630" spans="1:5" hidden="1" outlineLevel="2">
      <c r="A1630" s="3" t="e">
        <f>(HYPERLINK("http://www.autodoc.ru/Web/price/art/3004ASMH?analog=on","3004ASMH"))*1</f>
        <v>#VALUE!</v>
      </c>
      <c r="B1630" s="1">
        <v>6100040</v>
      </c>
      <c r="C1630" t="s">
        <v>19</v>
      </c>
      <c r="D1630" t="s">
        <v>1758</v>
      </c>
      <c r="E1630" t="s">
        <v>21</v>
      </c>
    </row>
    <row r="1631" spans="1:5" hidden="1" outlineLevel="2">
      <c r="A1631" s="3" t="e">
        <f>(HYPERLINK("http://www.autodoc.ru/Web/price/art/3004BGNH?analog=on","3004BGNH"))*1</f>
        <v>#VALUE!</v>
      </c>
      <c r="B1631" s="1">
        <v>6991705</v>
      </c>
      <c r="C1631" t="s">
        <v>654</v>
      </c>
      <c r="D1631" t="s">
        <v>1759</v>
      </c>
      <c r="E1631" t="s">
        <v>23</v>
      </c>
    </row>
    <row r="1632" spans="1:5" hidden="1" outlineLevel="2">
      <c r="A1632" s="3" t="e">
        <f>(HYPERLINK("http://www.autodoc.ru/Web/price/art/3004BGNS?analog=on","3004BGNS"))*1</f>
        <v>#VALUE!</v>
      </c>
      <c r="B1632" s="1">
        <v>6998848</v>
      </c>
      <c r="C1632" t="s">
        <v>654</v>
      </c>
      <c r="D1632" t="s">
        <v>1760</v>
      </c>
      <c r="E1632" t="s">
        <v>23</v>
      </c>
    </row>
    <row r="1633" spans="1:5" hidden="1" outlineLevel="2">
      <c r="A1633" s="3" t="e">
        <f>(HYPERLINK("http://www.autodoc.ru/Web/price/art/3004LGNE5RD?analog=on","3004LGNE5RD"))*1</f>
        <v>#VALUE!</v>
      </c>
      <c r="B1633" s="1">
        <v>6994364</v>
      </c>
      <c r="C1633" t="s">
        <v>654</v>
      </c>
      <c r="D1633" t="s">
        <v>1761</v>
      </c>
      <c r="E1633" t="s">
        <v>10</v>
      </c>
    </row>
    <row r="1634" spans="1:5" hidden="1" outlineLevel="2">
      <c r="A1634" s="3" t="e">
        <f>(HYPERLINK("http://www.autodoc.ru/Web/price/art/3004LGNE5RQ?analog=on","3004LGNE5RQ"))*1</f>
        <v>#VALUE!</v>
      </c>
      <c r="B1634" s="1">
        <v>6994695</v>
      </c>
      <c r="C1634" t="s">
        <v>654</v>
      </c>
      <c r="D1634" t="s">
        <v>1762</v>
      </c>
      <c r="E1634" t="s">
        <v>10</v>
      </c>
    </row>
    <row r="1635" spans="1:5" hidden="1" outlineLevel="2">
      <c r="A1635" s="3" t="e">
        <f>(HYPERLINK("http://www.autodoc.ru/Web/price/art/3004LGNH5FD?analog=on","3004LGNH5FD"))*1</f>
        <v>#VALUE!</v>
      </c>
      <c r="B1635" s="1">
        <v>6995659</v>
      </c>
      <c r="C1635" t="s">
        <v>654</v>
      </c>
      <c r="D1635" t="s">
        <v>1763</v>
      </c>
      <c r="E1635" t="s">
        <v>10</v>
      </c>
    </row>
    <row r="1636" spans="1:5" hidden="1" outlineLevel="2">
      <c r="A1636" s="3" t="e">
        <f>(HYPERLINK("http://www.autodoc.ru/Web/price/art/3004LGNH5RD?analog=on","3004LGNH5RD"))*1</f>
        <v>#VALUE!</v>
      </c>
      <c r="B1636" s="1">
        <v>6995660</v>
      </c>
      <c r="C1636" t="s">
        <v>654</v>
      </c>
      <c r="D1636" t="s">
        <v>1764</v>
      </c>
      <c r="E1636" t="s">
        <v>10</v>
      </c>
    </row>
    <row r="1637" spans="1:5" hidden="1" outlineLevel="2">
      <c r="A1637" s="3" t="e">
        <f>(HYPERLINK("http://www.autodoc.ru/Web/price/art/3004RGNE5RD?analog=on","3004RGNE5RD"))*1</f>
        <v>#VALUE!</v>
      </c>
      <c r="B1637" s="1">
        <v>6994365</v>
      </c>
      <c r="C1637" t="s">
        <v>654</v>
      </c>
      <c r="D1637" t="s">
        <v>1765</v>
      </c>
      <c r="E1637" t="s">
        <v>10</v>
      </c>
    </row>
    <row r="1638" spans="1:5" hidden="1" outlineLevel="2">
      <c r="A1638" s="3" t="e">
        <f>(HYPERLINK("http://www.autodoc.ru/Web/price/art/3004RGNE5RQ?analog=on","3004RGNE5RQ"))*1</f>
        <v>#VALUE!</v>
      </c>
      <c r="B1638" s="1">
        <v>6994696</v>
      </c>
      <c r="C1638" t="s">
        <v>654</v>
      </c>
      <c r="D1638" t="s">
        <v>1766</v>
      </c>
      <c r="E1638" t="s">
        <v>10</v>
      </c>
    </row>
    <row r="1639" spans="1:5" hidden="1" outlineLevel="2">
      <c r="A1639" s="3" t="e">
        <f>(HYPERLINK("http://www.autodoc.ru/Web/price/art/3004RGNH5FD?analog=on","3004RGNH5FD"))*1</f>
        <v>#VALUE!</v>
      </c>
      <c r="B1639" s="1">
        <v>6995661</v>
      </c>
      <c r="C1639" t="s">
        <v>654</v>
      </c>
      <c r="D1639" t="s">
        <v>1767</v>
      </c>
      <c r="E1639" t="s">
        <v>10</v>
      </c>
    </row>
    <row r="1640" spans="1:5" hidden="1" outlineLevel="2">
      <c r="A1640" s="3" t="e">
        <f>(HYPERLINK("http://www.autodoc.ru/Web/price/art/3004RGNH5RD?analog=on","3004RGNH5RD"))*1</f>
        <v>#VALUE!</v>
      </c>
      <c r="B1640" s="1">
        <v>6995662</v>
      </c>
      <c r="C1640" t="s">
        <v>654</v>
      </c>
      <c r="D1640" t="s">
        <v>1768</v>
      </c>
      <c r="E1640" t="s">
        <v>10</v>
      </c>
    </row>
    <row r="1641" spans="1:5" hidden="1" outlineLevel="1">
      <c r="A1641" s="2">
        <v>0</v>
      </c>
      <c r="B1641" s="26" t="s">
        <v>1769</v>
      </c>
      <c r="C1641" s="27">
        <v>0</v>
      </c>
      <c r="D1641" s="27">
        <v>0</v>
      </c>
      <c r="E1641" s="27">
        <v>0</v>
      </c>
    </row>
    <row r="1642" spans="1:5" hidden="1" outlineLevel="2">
      <c r="A1642" s="3" t="e">
        <f>(HYPERLINK("http://www.autodoc.ru/Web/price/art/3002ACL?analog=on","3002ACL"))*1</f>
        <v>#VALUE!</v>
      </c>
      <c r="B1642" s="1">
        <v>6961897</v>
      </c>
      <c r="C1642" t="s">
        <v>1770</v>
      </c>
      <c r="D1642" t="s">
        <v>1771</v>
      </c>
      <c r="E1642" t="s">
        <v>8</v>
      </c>
    </row>
    <row r="1643" spans="1:5" hidden="1" outlineLevel="2">
      <c r="A1643" s="3" t="e">
        <f>(HYPERLINK("http://www.autodoc.ru/Web/price/art/3002AGNBL?analog=on","3002AGNBL"))*1</f>
        <v>#VALUE!</v>
      </c>
      <c r="B1643" s="1">
        <v>6950167</v>
      </c>
      <c r="C1643" t="s">
        <v>1770</v>
      </c>
      <c r="D1643" t="s">
        <v>1772</v>
      </c>
      <c r="E1643" t="s">
        <v>8</v>
      </c>
    </row>
    <row r="1644" spans="1:5" hidden="1" outlineLevel="2">
      <c r="A1644" s="3" t="e">
        <f>(HYPERLINK("http://www.autodoc.ru/Web/price/art/3002ASMHC?analog=on","3002ASMHC"))*1</f>
        <v>#VALUE!</v>
      </c>
      <c r="B1644" s="1">
        <v>6100973</v>
      </c>
      <c r="C1644" t="s">
        <v>19</v>
      </c>
      <c r="D1644" t="s">
        <v>1773</v>
      </c>
      <c r="E1644" t="s">
        <v>21</v>
      </c>
    </row>
    <row r="1645" spans="1:5" hidden="1" outlineLevel="2">
      <c r="A1645" s="3" t="e">
        <f>(HYPERLINK("http://www.autodoc.ru/Web/price/art/3002ASMHR?analog=on","3002ASMHR"))*1</f>
        <v>#VALUE!</v>
      </c>
      <c r="B1645" s="1">
        <v>6100984</v>
      </c>
      <c r="C1645" t="s">
        <v>19</v>
      </c>
      <c r="D1645" t="s">
        <v>1774</v>
      </c>
      <c r="E1645" t="s">
        <v>21</v>
      </c>
    </row>
    <row r="1646" spans="1:5" hidden="1" outlineLevel="2">
      <c r="A1646" s="3" t="e">
        <f>(HYPERLINK("http://www.autodoc.ru/Web/price/art/3002ASMHT?analog=on","3002ASMHT"))*1</f>
        <v>#VALUE!</v>
      </c>
      <c r="B1646" s="1">
        <v>6101766</v>
      </c>
      <c r="C1646" t="s">
        <v>19</v>
      </c>
      <c r="D1646" t="s">
        <v>1775</v>
      </c>
      <c r="E1646" t="s">
        <v>21</v>
      </c>
    </row>
    <row r="1647" spans="1:5" hidden="1" outlineLevel="2">
      <c r="A1647" s="3" t="e">
        <f>(HYPERLINK("http://www.autodoc.ru/Web/price/art/3002BCLH?analog=on","3002BCLH"))*1</f>
        <v>#VALUE!</v>
      </c>
      <c r="B1647" s="1">
        <v>6999500</v>
      </c>
      <c r="C1647" t="s">
        <v>1770</v>
      </c>
      <c r="D1647" t="s">
        <v>1776</v>
      </c>
      <c r="E1647" t="s">
        <v>23</v>
      </c>
    </row>
    <row r="1648" spans="1:5" hidden="1" outlineLevel="2">
      <c r="A1648" s="3" t="e">
        <f>(HYPERLINK("http://www.autodoc.ru/Web/price/art/3002BGNH?analog=on","3002BGNH"))*1</f>
        <v>#VALUE!</v>
      </c>
      <c r="B1648" s="1">
        <v>6998583</v>
      </c>
      <c r="C1648" t="s">
        <v>1770</v>
      </c>
      <c r="D1648" t="s">
        <v>1777</v>
      </c>
      <c r="E1648" t="s">
        <v>23</v>
      </c>
    </row>
    <row r="1649" spans="1:5" hidden="1" outlineLevel="2">
      <c r="A1649" s="3" t="e">
        <f>(HYPERLINK("http://www.autodoc.ru/Web/price/art/3002LCLH5FD?analog=on","3002LCLH5FD"))*1</f>
        <v>#VALUE!</v>
      </c>
      <c r="B1649" s="1">
        <v>6996165</v>
      </c>
      <c r="C1649" t="s">
        <v>1770</v>
      </c>
      <c r="D1649" t="s">
        <v>1778</v>
      </c>
      <c r="E1649" t="s">
        <v>10</v>
      </c>
    </row>
    <row r="1650" spans="1:5" hidden="1" outlineLevel="2">
      <c r="A1650" s="3" t="e">
        <f>(HYPERLINK("http://www.autodoc.ru/Web/price/art/3002RCLH5FD?analog=on","3002RCLH5FD"))*1</f>
        <v>#VALUE!</v>
      </c>
      <c r="B1650" s="1">
        <v>6900032</v>
      </c>
      <c r="C1650" t="s">
        <v>1770</v>
      </c>
      <c r="D1650" t="s">
        <v>1779</v>
      </c>
      <c r="E1650" t="s">
        <v>10</v>
      </c>
    </row>
    <row r="1651" spans="1:5" hidden="1" outlineLevel="2">
      <c r="A1651" s="3" t="e">
        <f>(HYPERLINK("http://www.autodoc.ru/Web/price/art/3002RCLH5RD?analog=on","3002RCLH5RD"))*1</f>
        <v>#VALUE!</v>
      </c>
      <c r="B1651" s="1">
        <v>6900217</v>
      </c>
      <c r="C1651" t="s">
        <v>1770</v>
      </c>
      <c r="D1651" t="s">
        <v>1780</v>
      </c>
      <c r="E1651" t="s">
        <v>10</v>
      </c>
    </row>
    <row r="1652" spans="1:5" collapsed="1">
      <c r="A1652" s="28" t="s">
        <v>1781</v>
      </c>
      <c r="B1652" s="28">
        <v>0</v>
      </c>
      <c r="C1652" s="28">
        <v>0</v>
      </c>
      <c r="D1652" s="28">
        <v>0</v>
      </c>
      <c r="E1652" s="28">
        <v>0</v>
      </c>
    </row>
    <row r="1653" spans="1:5" hidden="1" outlineLevel="1">
      <c r="A1653" s="2">
        <v>0</v>
      </c>
      <c r="B1653" s="26" t="s">
        <v>1782</v>
      </c>
      <c r="C1653" s="27">
        <v>0</v>
      </c>
      <c r="D1653" s="27">
        <v>0</v>
      </c>
      <c r="E1653" s="27">
        <v>0</v>
      </c>
    </row>
    <row r="1654" spans="1:5" hidden="1" outlineLevel="2">
      <c r="A1654" s="3" t="e">
        <f>(HYPERLINK("http://www.autodoc.ru/Web/price/art/4613ACL?analog=on","4613ACL"))*1</f>
        <v>#VALUE!</v>
      </c>
      <c r="B1654" s="1">
        <v>6963457</v>
      </c>
      <c r="C1654" t="s">
        <v>444</v>
      </c>
      <c r="D1654" t="s">
        <v>1783</v>
      </c>
      <c r="E1654" t="s">
        <v>8</v>
      </c>
    </row>
    <row r="1655" spans="1:5" hidden="1" outlineLevel="1">
      <c r="A1655" s="2">
        <v>0</v>
      </c>
      <c r="B1655" s="26" t="s">
        <v>1784</v>
      </c>
      <c r="C1655" s="27">
        <v>0</v>
      </c>
      <c r="D1655" s="27">
        <v>0</v>
      </c>
      <c r="E1655" s="27">
        <v>0</v>
      </c>
    </row>
    <row r="1656" spans="1:5" hidden="1" outlineLevel="2">
      <c r="A1656" s="3" t="e">
        <f>(HYPERLINK("http://www.autodoc.ru/Web/price/art/4625ACL1A?analog=on","4625ACL1A"))*1</f>
        <v>#VALUE!</v>
      </c>
      <c r="B1656" s="1">
        <v>6963788</v>
      </c>
      <c r="C1656" t="s">
        <v>1785</v>
      </c>
      <c r="D1656" t="s">
        <v>1786</v>
      </c>
      <c r="E1656" t="s">
        <v>8</v>
      </c>
    </row>
    <row r="1657" spans="1:5" hidden="1" outlineLevel="2">
      <c r="A1657" s="3" t="e">
        <f>(HYPERLINK("http://www.autodoc.ru/Web/price/art/4625AGN1A?analog=on","4625AGN1A"))*1</f>
        <v>#VALUE!</v>
      </c>
      <c r="B1657" s="1">
        <v>6963744</v>
      </c>
      <c r="C1657" t="s">
        <v>1785</v>
      </c>
      <c r="D1657" t="s">
        <v>1787</v>
      </c>
      <c r="E1657" t="s">
        <v>8</v>
      </c>
    </row>
    <row r="1658" spans="1:5" hidden="1" outlineLevel="2">
      <c r="A1658" s="3" t="e">
        <f>(HYPERLINK("http://www.autodoc.ru/Web/price/art/4625ASML?analog=on","4625ASML"))*1</f>
        <v>#VALUE!</v>
      </c>
      <c r="B1658" s="1">
        <v>6100612</v>
      </c>
      <c r="C1658" t="s">
        <v>19</v>
      </c>
      <c r="D1658" t="s">
        <v>1788</v>
      </c>
      <c r="E1658" t="s">
        <v>21</v>
      </c>
    </row>
    <row r="1659" spans="1:5" hidden="1" outlineLevel="2">
      <c r="A1659" s="3" t="e">
        <f>(HYPERLINK("http://www.autodoc.ru/Web/price/art/4625LCLL2FD?analog=on","4625LCLL2FD"))*1</f>
        <v>#VALUE!</v>
      </c>
      <c r="B1659" s="1">
        <v>6995363</v>
      </c>
      <c r="C1659" t="s">
        <v>1785</v>
      </c>
      <c r="D1659" t="s">
        <v>1789</v>
      </c>
      <c r="E1659" t="s">
        <v>10</v>
      </c>
    </row>
    <row r="1660" spans="1:5" hidden="1" outlineLevel="2">
      <c r="A1660" s="3" t="e">
        <f>(HYPERLINK("http://www.autodoc.ru/Web/price/art/4625LGNL2FD?analog=on","4625LGNL2FD"))*1</f>
        <v>#VALUE!</v>
      </c>
      <c r="B1660" s="1">
        <v>6900842</v>
      </c>
      <c r="C1660" t="s">
        <v>1785</v>
      </c>
      <c r="D1660" t="s">
        <v>1790</v>
      </c>
      <c r="E1660" t="s">
        <v>10</v>
      </c>
    </row>
    <row r="1661" spans="1:5" hidden="1" outlineLevel="2">
      <c r="A1661" s="3" t="e">
        <f>(HYPERLINK("http://www.autodoc.ru/Web/price/art/4625RCLL2FD?analog=on","4625RCLL2FD"))*1</f>
        <v>#VALUE!</v>
      </c>
      <c r="B1661" s="1">
        <v>6995365</v>
      </c>
      <c r="C1661" t="s">
        <v>1785</v>
      </c>
      <c r="D1661" t="s">
        <v>1791</v>
      </c>
      <c r="E1661" t="s">
        <v>10</v>
      </c>
    </row>
    <row r="1662" spans="1:5" hidden="1" outlineLevel="2">
      <c r="A1662" s="3" t="e">
        <f>(HYPERLINK("http://www.autodoc.ru/Web/price/art/4625RGNL2FD?analog=on","4625RGNL2FD"))*1</f>
        <v>#VALUE!</v>
      </c>
      <c r="B1662" s="1">
        <v>6900843</v>
      </c>
      <c r="C1662" t="s">
        <v>1785</v>
      </c>
      <c r="D1662" t="s">
        <v>1792</v>
      </c>
      <c r="E1662" t="s">
        <v>10</v>
      </c>
    </row>
    <row r="1663" spans="1:5" hidden="1" outlineLevel="1">
      <c r="A1663" s="2">
        <v>0</v>
      </c>
      <c r="B1663" s="26" t="s">
        <v>1793</v>
      </c>
      <c r="C1663" s="27">
        <v>0</v>
      </c>
      <c r="D1663" s="27">
        <v>0</v>
      </c>
      <c r="E1663" s="27">
        <v>0</v>
      </c>
    </row>
    <row r="1664" spans="1:5" hidden="1" outlineLevel="2">
      <c r="A1664" s="3" t="e">
        <f>(HYPERLINK("http://www.autodoc.ru/Web/price/art/4612ACL?analog=on","4612ACL"))*1</f>
        <v>#VALUE!</v>
      </c>
      <c r="B1664" s="1">
        <v>6963456</v>
      </c>
      <c r="C1664" t="s">
        <v>1794</v>
      </c>
      <c r="D1664" t="s">
        <v>1795</v>
      </c>
      <c r="E1664" t="s">
        <v>8</v>
      </c>
    </row>
    <row r="1665" spans="1:5" hidden="1" outlineLevel="1">
      <c r="A1665" s="2">
        <v>0</v>
      </c>
      <c r="B1665" s="26" t="s">
        <v>1796</v>
      </c>
      <c r="C1665" s="27">
        <v>0</v>
      </c>
      <c r="D1665" s="27">
        <v>0</v>
      </c>
      <c r="E1665" s="27">
        <v>0</v>
      </c>
    </row>
    <row r="1666" spans="1:5" hidden="1" outlineLevel="2">
      <c r="A1666" s="3" t="e">
        <f>(HYPERLINK("http://www.autodoc.ru/Web/price/art/4624ABZ?analog=on","4624ABZ"))*1</f>
        <v>#VALUE!</v>
      </c>
      <c r="B1666" s="1">
        <v>6963786</v>
      </c>
      <c r="C1666" t="s">
        <v>1189</v>
      </c>
      <c r="D1666" t="s">
        <v>1797</v>
      </c>
      <c r="E1666" t="s">
        <v>8</v>
      </c>
    </row>
    <row r="1667" spans="1:5" hidden="1" outlineLevel="2">
      <c r="A1667" s="3" t="e">
        <f>(HYPERLINK("http://www.autodoc.ru/Web/price/art/4624ACL?analog=on","4624ACL"))*1</f>
        <v>#VALUE!</v>
      </c>
      <c r="B1667" s="1">
        <v>6963787</v>
      </c>
      <c r="C1667" t="s">
        <v>1189</v>
      </c>
      <c r="D1667" t="s">
        <v>1798</v>
      </c>
      <c r="E1667" t="s">
        <v>8</v>
      </c>
    </row>
    <row r="1668" spans="1:5" hidden="1" outlineLevel="2">
      <c r="A1668" s="3" t="e">
        <f>(HYPERLINK("http://www.autodoc.ru/Web/price/art/4624AGN?analog=on","4624AGN"))*1</f>
        <v>#VALUE!</v>
      </c>
      <c r="B1668" s="1">
        <v>6963461</v>
      </c>
      <c r="C1668" t="s">
        <v>1189</v>
      </c>
      <c r="D1668" t="s">
        <v>1799</v>
      </c>
      <c r="E1668" t="s">
        <v>8</v>
      </c>
    </row>
    <row r="1669" spans="1:5" hidden="1" outlineLevel="2">
      <c r="A1669" s="3" t="e">
        <f>(HYPERLINK("http://www.autodoc.ru/Web/price/art/4624AGNGN?analog=on","4624AGNGN"))*1</f>
        <v>#VALUE!</v>
      </c>
      <c r="B1669" s="1">
        <v>6964010</v>
      </c>
      <c r="C1669" t="s">
        <v>1189</v>
      </c>
      <c r="D1669" t="s">
        <v>1800</v>
      </c>
      <c r="E1669" t="s">
        <v>8</v>
      </c>
    </row>
    <row r="1670" spans="1:5" hidden="1" outlineLevel="2">
      <c r="A1670" s="3" t="e">
        <f>(HYPERLINK("http://www.autodoc.ru/Web/price/art/4624ASRL?analog=on","4624ASRL"))*1</f>
        <v>#VALUE!</v>
      </c>
      <c r="B1670" s="1">
        <v>6100611</v>
      </c>
      <c r="C1670" t="s">
        <v>19</v>
      </c>
      <c r="D1670" t="s">
        <v>1801</v>
      </c>
      <c r="E1670" t="s">
        <v>21</v>
      </c>
    </row>
    <row r="1671" spans="1:5" hidden="1" outlineLevel="2">
      <c r="A1671" s="3" t="e">
        <f>(HYPERLINK("http://www.autodoc.ru/Web/price/art/4624FCLL2FD?analog=on","4624FCLL2FD"))*1</f>
        <v>#VALUE!</v>
      </c>
      <c r="B1671" s="1">
        <v>6998545</v>
      </c>
      <c r="C1671" t="s">
        <v>1189</v>
      </c>
      <c r="D1671" t="s">
        <v>1802</v>
      </c>
      <c r="E1671" t="s">
        <v>10</v>
      </c>
    </row>
    <row r="1672" spans="1:5" hidden="1" outlineLevel="2">
      <c r="A1672" s="3" t="e">
        <f>(HYPERLINK("http://www.autodoc.ru/Web/price/art/4624LBZL2FD?analog=on","4624LBZL2FD"))*1</f>
        <v>#VALUE!</v>
      </c>
      <c r="B1672" s="1">
        <v>6996991</v>
      </c>
      <c r="C1672" t="s">
        <v>1189</v>
      </c>
      <c r="D1672" t="s">
        <v>1803</v>
      </c>
      <c r="E1672" t="s">
        <v>10</v>
      </c>
    </row>
    <row r="1673" spans="1:5" hidden="1" outlineLevel="1">
      <c r="A1673" s="2">
        <v>0</v>
      </c>
      <c r="B1673" s="26" t="s">
        <v>1804</v>
      </c>
      <c r="C1673" s="27">
        <v>0</v>
      </c>
      <c r="D1673" s="27">
        <v>0</v>
      </c>
      <c r="E1673" s="27">
        <v>0</v>
      </c>
    </row>
    <row r="1674" spans="1:5" hidden="1" outlineLevel="2">
      <c r="A1674" s="3" t="e">
        <f>(HYPERLINK("http://www.autodoc.ru/Web/price/art/9247ACL?analog=on","9247ACL"))*1</f>
        <v>#VALUE!</v>
      </c>
      <c r="B1674" s="1">
        <v>6190200</v>
      </c>
      <c r="C1674" t="s">
        <v>1805</v>
      </c>
      <c r="D1674" t="s">
        <v>1806</v>
      </c>
      <c r="E1674" t="s">
        <v>8</v>
      </c>
    </row>
    <row r="1675" spans="1:5" hidden="1" outlineLevel="1">
      <c r="A1675" s="2">
        <v>0</v>
      </c>
      <c r="B1675" s="26" t="s">
        <v>1807</v>
      </c>
      <c r="C1675" s="27">
        <v>0</v>
      </c>
      <c r="D1675" s="27">
        <v>0</v>
      </c>
      <c r="E1675" s="27">
        <v>0</v>
      </c>
    </row>
    <row r="1676" spans="1:5" hidden="1" outlineLevel="2">
      <c r="A1676" s="3" t="e">
        <f>(HYPERLINK("http://www.autodoc.ru/Web/price/art/OLD-4633AGN?analog=on","OLD-4633AGN"))*1</f>
        <v>#VALUE!</v>
      </c>
      <c r="B1676" s="1">
        <v>6961061</v>
      </c>
      <c r="C1676" t="s">
        <v>790</v>
      </c>
      <c r="D1676" t="s">
        <v>1808</v>
      </c>
      <c r="E1676" t="s">
        <v>8</v>
      </c>
    </row>
    <row r="1677" spans="1:5" hidden="1" outlineLevel="2">
      <c r="A1677" s="3" t="e">
        <f>(HYPERLINK("http://www.autodoc.ru/Web/price/art/OLD-4633ASML?analog=on","OLD-4633ASML"))*1</f>
        <v>#VALUE!</v>
      </c>
      <c r="B1677" s="1">
        <v>6101191</v>
      </c>
      <c r="C1677" t="s">
        <v>19</v>
      </c>
      <c r="D1677" t="s">
        <v>1809</v>
      </c>
      <c r="E1677" t="s">
        <v>21</v>
      </c>
    </row>
    <row r="1678" spans="1:5" hidden="1" outlineLevel="1">
      <c r="A1678" s="2">
        <v>0</v>
      </c>
      <c r="B1678" s="26" t="s">
        <v>1810</v>
      </c>
      <c r="C1678" s="27">
        <v>0</v>
      </c>
      <c r="D1678" s="27">
        <v>0</v>
      </c>
      <c r="E1678" s="27">
        <v>0</v>
      </c>
    </row>
    <row r="1679" spans="1:5" hidden="1" outlineLevel="2">
      <c r="A1679" s="3" t="e">
        <f>(HYPERLINK("http://www.autodoc.ru/Web/price/art/4635AGN?analog=on","4635AGN"))*1</f>
        <v>#VALUE!</v>
      </c>
      <c r="B1679" s="1">
        <v>6962187</v>
      </c>
      <c r="C1679" t="s">
        <v>389</v>
      </c>
      <c r="D1679" t="s">
        <v>1811</v>
      </c>
      <c r="E1679" t="s">
        <v>8</v>
      </c>
    </row>
    <row r="1680" spans="1:5" hidden="1" outlineLevel="1">
      <c r="A1680" s="2">
        <v>0</v>
      </c>
      <c r="B1680" s="26" t="s">
        <v>1812</v>
      </c>
      <c r="C1680" s="27">
        <v>0</v>
      </c>
      <c r="D1680" s="27">
        <v>0</v>
      </c>
      <c r="E1680" s="27">
        <v>0</v>
      </c>
    </row>
    <row r="1681" spans="1:5" hidden="1" outlineLevel="2">
      <c r="A1681" s="3" t="e">
        <f>(HYPERLINK("http://www.autodoc.ru/Web/price/art/4616ACL?analog=on","4616ACL"))*1</f>
        <v>#VALUE!</v>
      </c>
      <c r="B1681" s="1">
        <v>6961016</v>
      </c>
      <c r="C1681" t="s">
        <v>1813</v>
      </c>
      <c r="D1681" t="s">
        <v>1814</v>
      </c>
      <c r="E1681" t="s">
        <v>8</v>
      </c>
    </row>
    <row r="1682" spans="1:5" collapsed="1">
      <c r="A1682" s="28" t="s">
        <v>1815</v>
      </c>
      <c r="B1682" s="28">
        <v>0</v>
      </c>
      <c r="C1682" s="28">
        <v>0</v>
      </c>
      <c r="D1682" s="28">
        <v>0</v>
      </c>
      <c r="E1682" s="28">
        <v>0</v>
      </c>
    </row>
    <row r="1683" spans="1:5" hidden="1" outlineLevel="1">
      <c r="A1683" s="2">
        <v>0</v>
      </c>
      <c r="B1683" s="26" t="s">
        <v>1816</v>
      </c>
      <c r="C1683" s="27">
        <v>0</v>
      </c>
      <c r="D1683" s="27">
        <v>0</v>
      </c>
      <c r="E1683" s="27">
        <v>0</v>
      </c>
    </row>
    <row r="1684" spans="1:5" hidden="1" outlineLevel="2">
      <c r="A1684" s="3" t="e">
        <f>(HYPERLINK("http://www.autodoc.ru/Web/price/art/3723ACL?analog=on","3723ACL"))*1</f>
        <v>#VALUE!</v>
      </c>
      <c r="B1684" s="1">
        <v>6961211</v>
      </c>
      <c r="C1684" t="s">
        <v>1817</v>
      </c>
      <c r="D1684" t="s">
        <v>1818</v>
      </c>
      <c r="E1684" t="s">
        <v>8</v>
      </c>
    </row>
    <row r="1685" spans="1:5" hidden="1" outlineLevel="1">
      <c r="A1685" s="2">
        <v>0</v>
      </c>
      <c r="B1685" s="26" t="s">
        <v>1819</v>
      </c>
      <c r="C1685" s="27">
        <v>0</v>
      </c>
      <c r="D1685" s="27">
        <v>0</v>
      </c>
      <c r="E1685" s="27">
        <v>0</v>
      </c>
    </row>
    <row r="1686" spans="1:5" hidden="1" outlineLevel="2">
      <c r="A1686" s="3" t="e">
        <f>(HYPERLINK("http://www.autodoc.ru/Web/price/art/3703ACL?analog=on","3703ACL"))*1</f>
        <v>#VALUE!</v>
      </c>
      <c r="B1686" s="1">
        <v>6960048</v>
      </c>
      <c r="C1686" t="s">
        <v>1820</v>
      </c>
      <c r="D1686" t="s">
        <v>1821</v>
      </c>
      <c r="E1686" t="s">
        <v>8</v>
      </c>
    </row>
    <row r="1687" spans="1:5" hidden="1" outlineLevel="1">
      <c r="A1687" s="2">
        <v>0</v>
      </c>
      <c r="B1687" s="26" t="s">
        <v>1822</v>
      </c>
      <c r="C1687" s="27">
        <v>0</v>
      </c>
      <c r="D1687" s="27">
        <v>0</v>
      </c>
      <c r="E1687" s="27">
        <v>0</v>
      </c>
    </row>
    <row r="1688" spans="1:5" hidden="1" outlineLevel="2">
      <c r="A1688" s="3" t="e">
        <f>(HYPERLINK("http://www.autodoc.ru/Web/price/art/3717ACL?analog=on","3717ACL"))*1</f>
        <v>#VALUE!</v>
      </c>
      <c r="B1688" s="1">
        <v>6961302</v>
      </c>
      <c r="C1688" t="s">
        <v>1823</v>
      </c>
      <c r="D1688" t="s">
        <v>1824</v>
      </c>
      <c r="E1688" t="s">
        <v>8</v>
      </c>
    </row>
    <row r="1689" spans="1:5" hidden="1" outlineLevel="1">
      <c r="A1689" s="2">
        <v>0</v>
      </c>
      <c r="B1689" s="26" t="s">
        <v>1825</v>
      </c>
      <c r="C1689" s="27">
        <v>0</v>
      </c>
      <c r="D1689" s="27">
        <v>0</v>
      </c>
      <c r="E1689" s="27">
        <v>0</v>
      </c>
    </row>
    <row r="1690" spans="1:5" hidden="1" outlineLevel="2">
      <c r="A1690" s="3" t="e">
        <f>(HYPERLINK("http://www.autodoc.ru/Web/price/art/3719ACL?analog=on","3719ACL"))*1</f>
        <v>#VALUE!</v>
      </c>
      <c r="B1690" s="1">
        <v>6961010</v>
      </c>
      <c r="C1690" t="s">
        <v>1826</v>
      </c>
      <c r="D1690" t="s">
        <v>1827</v>
      </c>
      <c r="E1690" t="s">
        <v>8</v>
      </c>
    </row>
    <row r="1691" spans="1:5" hidden="1" outlineLevel="1">
      <c r="A1691" s="2">
        <v>0</v>
      </c>
      <c r="B1691" s="26" t="s">
        <v>1828</v>
      </c>
      <c r="C1691" s="27">
        <v>0</v>
      </c>
      <c r="D1691" s="27">
        <v>0</v>
      </c>
      <c r="E1691" s="27">
        <v>0</v>
      </c>
    </row>
    <row r="1692" spans="1:5" hidden="1" outlineLevel="2">
      <c r="A1692" s="3" t="e">
        <f>(HYPERLINK("http://www.autodoc.ru/Web/price/art/3725ACL?analog=on","3725ACL"))*1</f>
        <v>#VALUE!</v>
      </c>
      <c r="B1692" s="1">
        <v>6961013</v>
      </c>
      <c r="C1692" t="s">
        <v>1829</v>
      </c>
      <c r="D1692" t="s">
        <v>1830</v>
      </c>
      <c r="E1692" t="s">
        <v>8</v>
      </c>
    </row>
    <row r="1693" spans="1:5" hidden="1" outlineLevel="2">
      <c r="A1693" s="3" t="e">
        <f>(HYPERLINK("http://www.autodoc.ru/Web/price/art/3725AGNGN?analog=on","3725AGNGN"))*1</f>
        <v>#VALUE!</v>
      </c>
      <c r="B1693" s="1">
        <v>6961015</v>
      </c>
      <c r="C1693" t="s">
        <v>1829</v>
      </c>
      <c r="D1693" t="s">
        <v>1831</v>
      </c>
      <c r="E1693" t="s">
        <v>8</v>
      </c>
    </row>
    <row r="1694" spans="1:5" hidden="1" outlineLevel="2">
      <c r="A1694" s="3" t="e">
        <f>(HYPERLINK("http://www.autodoc.ru/Web/price/art/3725ASRV?analog=on","3725ASRV"))*1</f>
        <v>#VALUE!</v>
      </c>
      <c r="B1694" s="1">
        <v>6100485</v>
      </c>
      <c r="C1694" t="s">
        <v>19</v>
      </c>
      <c r="D1694" t="s">
        <v>1832</v>
      </c>
      <c r="E1694" t="s">
        <v>21</v>
      </c>
    </row>
    <row r="1695" spans="1:5" hidden="1" outlineLevel="1">
      <c r="A1695" s="2">
        <v>0</v>
      </c>
      <c r="B1695" s="26" t="s">
        <v>1833</v>
      </c>
      <c r="C1695" s="27">
        <v>0</v>
      </c>
      <c r="D1695" s="27">
        <v>0</v>
      </c>
      <c r="E1695" s="27">
        <v>0</v>
      </c>
    </row>
    <row r="1696" spans="1:5" hidden="1" outlineLevel="2">
      <c r="A1696" s="3" t="e">
        <f>(HYPERLINK("http://www.autodoc.ru/Web/price/art/3724ACL?analog=on","3724ACL"))*1</f>
        <v>#VALUE!</v>
      </c>
      <c r="B1696" s="1">
        <v>6961303</v>
      </c>
      <c r="C1696" t="s">
        <v>1834</v>
      </c>
      <c r="D1696" t="s">
        <v>1835</v>
      </c>
      <c r="E1696" t="s">
        <v>8</v>
      </c>
    </row>
    <row r="1697" spans="1:5" hidden="1" outlineLevel="2">
      <c r="A1697" s="3" t="e">
        <f>(HYPERLINK("http://www.autodoc.ru/Web/price/art/3724AGN?analog=on","3724AGN"))*1</f>
        <v>#VALUE!</v>
      </c>
      <c r="B1697" s="1">
        <v>6961304</v>
      </c>
      <c r="C1697" t="s">
        <v>1834</v>
      </c>
      <c r="D1697" t="s">
        <v>1836</v>
      </c>
      <c r="E1697" t="s">
        <v>8</v>
      </c>
    </row>
    <row r="1698" spans="1:5" hidden="1" outlineLevel="1">
      <c r="A1698" s="2">
        <v>0</v>
      </c>
      <c r="B1698" s="26" t="s">
        <v>1837</v>
      </c>
      <c r="C1698" s="27">
        <v>0</v>
      </c>
      <c r="D1698" s="27">
        <v>0</v>
      </c>
      <c r="E1698" s="27">
        <v>0</v>
      </c>
    </row>
    <row r="1699" spans="1:5" hidden="1" outlineLevel="2">
      <c r="A1699" s="3" t="e">
        <f>(HYPERLINK("http://www.autodoc.ru/Web/price/art/3729AGN?analog=on","3729AGN"))*1</f>
        <v>#VALUE!</v>
      </c>
      <c r="B1699" s="1">
        <v>6961005</v>
      </c>
      <c r="C1699" t="s">
        <v>1838</v>
      </c>
      <c r="D1699" t="s">
        <v>1839</v>
      </c>
      <c r="E1699" t="s">
        <v>8</v>
      </c>
    </row>
    <row r="1700" spans="1:5" collapsed="1">
      <c r="A1700" s="28" t="s">
        <v>1840</v>
      </c>
      <c r="B1700" s="28">
        <v>0</v>
      </c>
      <c r="C1700" s="28">
        <v>0</v>
      </c>
      <c r="D1700" s="28">
        <v>0</v>
      </c>
      <c r="E1700" s="28">
        <v>0</v>
      </c>
    </row>
    <row r="1701" spans="1:5" hidden="1" outlineLevel="1">
      <c r="A1701" s="2">
        <v>0</v>
      </c>
      <c r="B1701" s="26" t="s">
        <v>1841</v>
      </c>
      <c r="C1701" s="27">
        <v>0</v>
      </c>
      <c r="D1701" s="27">
        <v>0</v>
      </c>
      <c r="E1701" s="27">
        <v>0</v>
      </c>
    </row>
    <row r="1702" spans="1:5" hidden="1" outlineLevel="2">
      <c r="A1702" s="3" t="e">
        <f>(HYPERLINK("http://www.autodoc.ru/Web/price/art/3726ACL?analog=on","3726ACL"))*1</f>
        <v>#VALUE!</v>
      </c>
      <c r="B1702" s="1">
        <v>6963615</v>
      </c>
      <c r="C1702" t="s">
        <v>1842</v>
      </c>
      <c r="D1702" t="s">
        <v>1843</v>
      </c>
      <c r="E1702" t="s">
        <v>8</v>
      </c>
    </row>
    <row r="1703" spans="1:5" hidden="1" outlineLevel="1">
      <c r="A1703" s="2">
        <v>0</v>
      </c>
      <c r="B1703" s="26" t="s">
        <v>1844</v>
      </c>
      <c r="C1703" s="27">
        <v>0</v>
      </c>
      <c r="D1703" s="27">
        <v>0</v>
      </c>
      <c r="E1703" s="27">
        <v>0</v>
      </c>
    </row>
    <row r="1704" spans="1:5" hidden="1" outlineLevel="2">
      <c r="A1704" s="3" t="e">
        <f>(HYPERLINK("http://www.autodoc.ru/Web/price/art/3730ACL?analog=on","3730ACL"))*1</f>
        <v>#VALUE!</v>
      </c>
      <c r="B1704" s="1">
        <v>6963450</v>
      </c>
      <c r="C1704" t="s">
        <v>1845</v>
      </c>
      <c r="D1704" t="s">
        <v>1846</v>
      </c>
      <c r="E1704" t="s">
        <v>8</v>
      </c>
    </row>
    <row r="1705" spans="1:5" hidden="1" outlineLevel="1">
      <c r="A1705" s="2">
        <v>0</v>
      </c>
      <c r="B1705" s="26" t="s">
        <v>1847</v>
      </c>
      <c r="C1705" s="27">
        <v>0</v>
      </c>
      <c r="D1705" s="27">
        <v>0</v>
      </c>
      <c r="E1705" s="27">
        <v>0</v>
      </c>
    </row>
    <row r="1706" spans="1:5" hidden="1" outlineLevel="2">
      <c r="A1706" s="3" t="e">
        <f>(HYPERLINK("http://www.autodoc.ru/Web/price/art/3732ACL?analog=on","3732ACL"))*1</f>
        <v>#VALUE!</v>
      </c>
      <c r="B1706" s="1">
        <v>6962107</v>
      </c>
      <c r="C1706" t="s">
        <v>1848</v>
      </c>
      <c r="D1706" t="s">
        <v>1849</v>
      </c>
      <c r="E1706" t="s">
        <v>8</v>
      </c>
    </row>
    <row r="1707" spans="1:5" hidden="1" outlineLevel="2">
      <c r="A1707" s="3" t="e">
        <f>(HYPERLINK("http://www.autodoc.ru/Web/price/art/3732AGN?analog=on","3732AGN"))*1</f>
        <v>#VALUE!</v>
      </c>
      <c r="B1707" s="1">
        <v>6962108</v>
      </c>
      <c r="C1707" t="s">
        <v>1848</v>
      </c>
      <c r="D1707" t="s">
        <v>1850</v>
      </c>
      <c r="E1707" t="s">
        <v>8</v>
      </c>
    </row>
    <row r="1708" spans="1:5" hidden="1" outlineLevel="2">
      <c r="A1708" s="3" t="e">
        <f>(HYPERLINK("http://www.autodoc.ru/Web/price/art/3732AGNGN?analog=on","3732AGNGN"))*1</f>
        <v>#VALUE!</v>
      </c>
      <c r="B1708" s="1">
        <v>6963785</v>
      </c>
      <c r="C1708" t="s">
        <v>1848</v>
      </c>
      <c r="D1708" t="s">
        <v>1851</v>
      </c>
      <c r="E1708" t="s">
        <v>8</v>
      </c>
    </row>
    <row r="1709" spans="1:5" hidden="1" outlineLevel="2">
      <c r="A1709" s="3" t="e">
        <f>(HYPERLINK("http://www.autodoc.ru/Web/price/art/3732ASRL?analog=on","3732ASRL"))*1</f>
        <v>#VALUE!</v>
      </c>
      <c r="B1709" s="1">
        <v>6100079</v>
      </c>
      <c r="C1709" t="s">
        <v>19</v>
      </c>
      <c r="D1709" t="s">
        <v>1852</v>
      </c>
      <c r="E1709" t="s">
        <v>21</v>
      </c>
    </row>
    <row r="1710" spans="1:5" hidden="1" outlineLevel="2">
      <c r="A1710" s="3" t="e">
        <f>(HYPERLINK("http://www.autodoc.ru/Web/price/art/3732LCLL2FD?analog=on","3732LCLL2FD"))*1</f>
        <v>#VALUE!</v>
      </c>
      <c r="B1710" s="1">
        <v>6994164</v>
      </c>
      <c r="C1710" t="s">
        <v>1848</v>
      </c>
      <c r="D1710" t="s">
        <v>1853</v>
      </c>
      <c r="E1710" t="s">
        <v>10</v>
      </c>
    </row>
    <row r="1711" spans="1:5" hidden="1" outlineLevel="2">
      <c r="A1711" s="3" t="e">
        <f>(HYPERLINK("http://www.autodoc.ru/Web/price/art/3732LGNL2FD?analog=on","3732LGNL2FD"))*1</f>
        <v>#VALUE!</v>
      </c>
      <c r="B1711" s="1">
        <v>6991858</v>
      </c>
      <c r="C1711" t="s">
        <v>1848</v>
      </c>
      <c r="D1711" t="s">
        <v>1854</v>
      </c>
      <c r="E1711" t="s">
        <v>10</v>
      </c>
    </row>
    <row r="1712" spans="1:5" hidden="1" outlineLevel="2">
      <c r="A1712" s="3" t="e">
        <f>(HYPERLINK("http://www.autodoc.ru/Web/price/art/3732LGNL2FV?analog=on","3732LGNL2FV"))*1</f>
        <v>#VALUE!</v>
      </c>
      <c r="B1712" s="1">
        <v>6991859</v>
      </c>
      <c r="C1712" t="s">
        <v>1848</v>
      </c>
      <c r="D1712" t="s">
        <v>1855</v>
      </c>
      <c r="E1712" t="s">
        <v>10</v>
      </c>
    </row>
    <row r="1713" spans="1:5" hidden="1" outlineLevel="2">
      <c r="A1713" s="3" t="e">
        <f>(HYPERLINK("http://www.autodoc.ru/Web/price/art/3732RCLL2FD?analog=on","3732RCLL2FD"))*1</f>
        <v>#VALUE!</v>
      </c>
      <c r="B1713" s="1">
        <v>6994165</v>
      </c>
      <c r="C1713" t="s">
        <v>1848</v>
      </c>
      <c r="D1713" t="s">
        <v>1856</v>
      </c>
      <c r="E1713" t="s">
        <v>10</v>
      </c>
    </row>
    <row r="1714" spans="1:5" hidden="1" outlineLevel="2">
      <c r="A1714" s="3" t="e">
        <f>(HYPERLINK("http://www.autodoc.ru/Web/price/art/3732RCLL2FV?analog=on","3732RCLL2FV"))*1</f>
        <v>#VALUE!</v>
      </c>
      <c r="B1714" s="1">
        <v>6991864</v>
      </c>
      <c r="C1714" t="s">
        <v>1848</v>
      </c>
      <c r="D1714" t="s">
        <v>1857</v>
      </c>
      <c r="E1714" t="s">
        <v>10</v>
      </c>
    </row>
    <row r="1715" spans="1:5" hidden="1" outlineLevel="2">
      <c r="A1715" s="3" t="e">
        <f>(HYPERLINK("http://www.autodoc.ru/Web/price/art/3732RGNL2FD?analog=on","3732RGNL2FD"))*1</f>
        <v>#VALUE!</v>
      </c>
      <c r="B1715" s="1">
        <v>6991862</v>
      </c>
      <c r="C1715" t="s">
        <v>1848</v>
      </c>
      <c r="D1715" t="s">
        <v>1858</v>
      </c>
      <c r="E1715" t="s">
        <v>10</v>
      </c>
    </row>
    <row r="1716" spans="1:5" hidden="1" outlineLevel="2">
      <c r="A1716" s="3" t="e">
        <f>(HYPERLINK("http://www.autodoc.ru/Web/price/art/3732RGNL2FV?analog=on","3732RGNL2FV"))*1</f>
        <v>#VALUE!</v>
      </c>
      <c r="B1716" s="1">
        <v>6991863</v>
      </c>
      <c r="C1716" t="s">
        <v>1848</v>
      </c>
      <c r="D1716" t="s">
        <v>1859</v>
      </c>
      <c r="E1716" t="s">
        <v>10</v>
      </c>
    </row>
    <row r="1717" spans="1:5" hidden="1" outlineLevel="1">
      <c r="A1717" s="2">
        <v>0</v>
      </c>
      <c r="B1717" s="26" t="s">
        <v>1860</v>
      </c>
      <c r="C1717" s="27">
        <v>0</v>
      </c>
      <c r="D1717" s="27">
        <v>0</v>
      </c>
      <c r="E1717" s="27">
        <v>0</v>
      </c>
    </row>
    <row r="1718" spans="1:5" hidden="1" outlineLevel="2">
      <c r="A1718" s="3" t="e">
        <f>(HYPERLINK("http://www.autodoc.ru/Web/price/art/3721ABZ?analog=on","3721ABZ"))*1</f>
        <v>#VALUE!</v>
      </c>
      <c r="B1718" s="1">
        <v>6963734</v>
      </c>
      <c r="C1718" t="s">
        <v>1861</v>
      </c>
      <c r="D1718" t="s">
        <v>1862</v>
      </c>
      <c r="E1718" t="s">
        <v>8</v>
      </c>
    </row>
    <row r="1719" spans="1:5" hidden="1" outlineLevel="2">
      <c r="A1719" s="3" t="e">
        <f>(HYPERLINK("http://www.autodoc.ru/Web/price/art/3721ACL?analog=on","3721ACL"))*1</f>
        <v>#VALUE!</v>
      </c>
      <c r="B1719" s="1">
        <v>6963735</v>
      </c>
      <c r="C1719" t="s">
        <v>1861</v>
      </c>
      <c r="D1719" t="s">
        <v>1863</v>
      </c>
      <c r="E1719" t="s">
        <v>8</v>
      </c>
    </row>
    <row r="1720" spans="1:5" collapsed="1">
      <c r="A1720" s="28" t="s">
        <v>1864</v>
      </c>
      <c r="B1720" s="28">
        <v>0</v>
      </c>
      <c r="C1720" s="28">
        <v>0</v>
      </c>
      <c r="D1720" s="28">
        <v>0</v>
      </c>
      <c r="E1720" s="28">
        <v>0</v>
      </c>
    </row>
    <row r="1721" spans="1:5" hidden="1" outlineLevel="1">
      <c r="A1721" s="2">
        <v>0</v>
      </c>
      <c r="B1721" s="26" t="s">
        <v>1865</v>
      </c>
      <c r="C1721" s="27">
        <v>0</v>
      </c>
      <c r="D1721" s="27">
        <v>0</v>
      </c>
      <c r="E1721" s="27">
        <v>0</v>
      </c>
    </row>
    <row r="1722" spans="1:5" hidden="1" outlineLevel="2">
      <c r="A1722" s="3" t="e">
        <f>(HYPERLINK("http://www.autodoc.ru/Web/price/art/3741AGN?analog=on","3741AGN"))*1</f>
        <v>#VALUE!</v>
      </c>
      <c r="B1722" s="1">
        <v>6962122</v>
      </c>
      <c r="C1722" t="s">
        <v>538</v>
      </c>
      <c r="D1722" t="s">
        <v>1866</v>
      </c>
      <c r="E1722" t="s">
        <v>8</v>
      </c>
    </row>
    <row r="1723" spans="1:5" hidden="1" outlineLevel="2">
      <c r="A1723" s="3" t="e">
        <f>(HYPERLINK("http://www.autodoc.ru/Web/price/art/3741AGN1B?analog=on","3741AGN1B"))*1</f>
        <v>#VALUE!</v>
      </c>
      <c r="B1723" s="1">
        <v>6190903</v>
      </c>
      <c r="C1723" t="s">
        <v>538</v>
      </c>
      <c r="D1723" t="s">
        <v>1867</v>
      </c>
      <c r="E1723" t="s">
        <v>8</v>
      </c>
    </row>
    <row r="1724" spans="1:5" hidden="1" outlineLevel="2">
      <c r="A1724" s="3" t="e">
        <f>(HYPERLINK("http://www.autodoc.ru/Web/price/art/3741AGNGN?analog=on","3741AGNGN"))*1</f>
        <v>#VALUE!</v>
      </c>
      <c r="B1724" s="1">
        <v>6962185</v>
      </c>
      <c r="C1724" t="s">
        <v>538</v>
      </c>
      <c r="D1724" t="s">
        <v>1868</v>
      </c>
      <c r="E1724" t="s">
        <v>8</v>
      </c>
    </row>
    <row r="1725" spans="1:5" hidden="1" outlineLevel="2">
      <c r="A1725" s="3" t="e">
        <f>(HYPERLINK("http://www.autodoc.ru/Web/price/art/3741AGNGN1B?analog=on","3741AGNGN1B"))*1</f>
        <v>#VALUE!</v>
      </c>
      <c r="B1725" s="1">
        <v>6190904</v>
      </c>
      <c r="C1725" t="s">
        <v>538</v>
      </c>
      <c r="D1725" t="s">
        <v>1868</v>
      </c>
      <c r="E1725" t="s">
        <v>8</v>
      </c>
    </row>
    <row r="1726" spans="1:5" hidden="1" outlineLevel="2">
      <c r="A1726" s="3" t="e">
        <f>(HYPERLINK("http://www.autodoc.ru/Web/price/art/3741AGNH?analog=on","3741AGNH"))*1</f>
        <v>#VALUE!</v>
      </c>
      <c r="B1726" s="1">
        <v>6962121</v>
      </c>
      <c r="C1726" t="s">
        <v>538</v>
      </c>
      <c r="D1726" t="s">
        <v>1869</v>
      </c>
      <c r="E1726" t="s">
        <v>8</v>
      </c>
    </row>
    <row r="1727" spans="1:5" hidden="1" outlineLevel="2">
      <c r="A1727" s="3" t="e">
        <f>(HYPERLINK("http://www.autodoc.ru/Web/price/art/3741ASMV?analog=on","3741ASMV"))*1</f>
        <v>#VALUE!</v>
      </c>
      <c r="B1727" s="1">
        <v>6101571</v>
      </c>
      <c r="C1727" t="s">
        <v>19</v>
      </c>
      <c r="D1727" t="s">
        <v>1870</v>
      </c>
      <c r="E1727" t="s">
        <v>21</v>
      </c>
    </row>
    <row r="1728" spans="1:5" hidden="1" outlineLevel="2">
      <c r="A1728" s="3" t="e">
        <f>(HYPERLINK("http://www.autodoc.ru/Web/price/art/3741BGSPU?analog=on","3741BGSPU"))*1</f>
        <v>#VALUE!</v>
      </c>
      <c r="B1728" s="1">
        <v>6990308</v>
      </c>
      <c r="C1728" t="s">
        <v>538</v>
      </c>
      <c r="D1728" t="s">
        <v>1871</v>
      </c>
      <c r="E1728" t="s">
        <v>23</v>
      </c>
    </row>
    <row r="1729" spans="1:5" hidden="1" outlineLevel="2">
      <c r="A1729" s="3" t="e">
        <f>(HYPERLINK("http://www.autodoc.ru/Web/price/art/3741BGSVLW?analog=on","3741BGSVLW"))*1</f>
        <v>#VALUE!</v>
      </c>
      <c r="B1729" s="1">
        <v>6990311</v>
      </c>
      <c r="C1729" t="s">
        <v>538</v>
      </c>
      <c r="D1729" t="s">
        <v>1872</v>
      </c>
      <c r="E1729" t="s">
        <v>23</v>
      </c>
    </row>
    <row r="1730" spans="1:5" hidden="1" outlineLevel="2">
      <c r="A1730" s="3" t="e">
        <f>(HYPERLINK("http://www.autodoc.ru/Web/price/art/3741BGSVRW?analog=on","3741BGSVRW"))*1</f>
        <v>#VALUE!</v>
      </c>
      <c r="B1730" s="1">
        <v>6990312</v>
      </c>
      <c r="C1730" t="s">
        <v>538</v>
      </c>
      <c r="D1730" t="s">
        <v>1873</v>
      </c>
      <c r="E1730" t="s">
        <v>23</v>
      </c>
    </row>
    <row r="1731" spans="1:5" hidden="1" outlineLevel="2">
      <c r="A1731" s="3" t="e">
        <f>(HYPERLINK("http://www.autodoc.ru/Web/price/art/3741LGSV4FDW?analog=on","3741LGSV4FDW"))*1</f>
        <v>#VALUE!</v>
      </c>
      <c r="B1731" s="1">
        <v>6990310</v>
      </c>
      <c r="C1731" t="s">
        <v>538</v>
      </c>
      <c r="D1731" t="s">
        <v>1874</v>
      </c>
      <c r="E1731" t="s">
        <v>10</v>
      </c>
    </row>
    <row r="1732" spans="1:5" hidden="1" outlineLevel="2">
      <c r="A1732" s="3" t="e">
        <f>(HYPERLINK("http://www.autodoc.ru/Web/price/art/3741LGSV4FV?analog=on","3741LGSV4FV"))*1</f>
        <v>#VALUE!</v>
      </c>
      <c r="B1732" s="1">
        <v>6992110</v>
      </c>
      <c r="C1732" t="s">
        <v>538</v>
      </c>
      <c r="D1732" t="s">
        <v>1875</v>
      </c>
      <c r="E1732" t="s">
        <v>10</v>
      </c>
    </row>
    <row r="1733" spans="1:5" hidden="1" outlineLevel="2">
      <c r="A1733" s="3" t="e">
        <f>(HYPERLINK("http://www.autodoc.ru/Web/price/art/3741RGSV4FDW?analog=on","3741RGSV4FDW"))*1</f>
        <v>#VALUE!</v>
      </c>
      <c r="B1733" s="1">
        <v>6990309</v>
      </c>
      <c r="C1733" t="s">
        <v>538</v>
      </c>
      <c r="D1733" t="s">
        <v>1876</v>
      </c>
      <c r="E1733" t="s">
        <v>10</v>
      </c>
    </row>
    <row r="1734" spans="1:5" hidden="1" outlineLevel="2">
      <c r="A1734" s="3" t="e">
        <f>(HYPERLINK("http://www.autodoc.ru/Web/price/art/3741RGSV4FV?analog=on","3741RGSV4FV"))*1</f>
        <v>#VALUE!</v>
      </c>
      <c r="B1734" s="1">
        <v>6992111</v>
      </c>
      <c r="C1734" t="s">
        <v>538</v>
      </c>
      <c r="D1734" t="s">
        <v>1877</v>
      </c>
      <c r="E1734" t="s">
        <v>10</v>
      </c>
    </row>
    <row r="1735" spans="1:5" hidden="1" outlineLevel="1">
      <c r="A1735" s="2">
        <v>0</v>
      </c>
      <c r="B1735" s="26" t="s">
        <v>1878</v>
      </c>
      <c r="C1735" s="27">
        <v>0</v>
      </c>
      <c r="D1735" s="27">
        <v>0</v>
      </c>
      <c r="E1735" s="27">
        <v>0</v>
      </c>
    </row>
    <row r="1736" spans="1:5" hidden="1" outlineLevel="2">
      <c r="A1736" s="3" t="e">
        <f>(HYPERLINK("http://www.autodoc.ru/Web/price/art/3734ACL?analog=on","3734ACL"))*1</f>
        <v>#VALUE!</v>
      </c>
      <c r="B1736" s="1">
        <v>6962113</v>
      </c>
      <c r="C1736" t="s">
        <v>1879</v>
      </c>
      <c r="D1736" t="s">
        <v>1880</v>
      </c>
      <c r="E1736" t="s">
        <v>8</v>
      </c>
    </row>
    <row r="1737" spans="1:5" hidden="1" outlineLevel="2">
      <c r="A1737" s="3" t="e">
        <f>(HYPERLINK("http://www.autodoc.ru/Web/price/art/3734AGN?analog=on","3734AGN"))*1</f>
        <v>#VALUE!</v>
      </c>
      <c r="B1737" s="1">
        <v>6962114</v>
      </c>
      <c r="C1737" t="s">
        <v>1879</v>
      </c>
      <c r="D1737" t="s">
        <v>1881</v>
      </c>
      <c r="E1737" t="s">
        <v>8</v>
      </c>
    </row>
    <row r="1738" spans="1:5" hidden="1" outlineLevel="2">
      <c r="A1738" s="3" t="e">
        <f>(HYPERLINK("http://www.autodoc.ru/Web/price/art/3734ASRL?analog=on","3734ASRL"))*1</f>
        <v>#VALUE!</v>
      </c>
      <c r="B1738" s="1">
        <v>6100081</v>
      </c>
      <c r="C1738" t="s">
        <v>19</v>
      </c>
      <c r="D1738" t="s">
        <v>1882</v>
      </c>
      <c r="E1738" t="s">
        <v>21</v>
      </c>
    </row>
    <row r="1739" spans="1:5" hidden="1" outlineLevel="2">
      <c r="A1739" s="3" t="e">
        <f>(HYPERLINK("http://www.autodoc.ru/Web/price/art/3734LCLL2FD?analog=on","3734LCLL2FD"))*1</f>
        <v>#VALUE!</v>
      </c>
      <c r="B1739" s="1">
        <v>6190174</v>
      </c>
      <c r="C1739" t="s">
        <v>1883</v>
      </c>
      <c r="D1739" t="s">
        <v>1884</v>
      </c>
      <c r="E1739" t="s">
        <v>10</v>
      </c>
    </row>
    <row r="1740" spans="1:5" hidden="1" outlineLevel="2">
      <c r="A1740" s="3" t="e">
        <f>(HYPERLINK("http://www.autodoc.ru/Web/price/art/3734RCLL2FD?analog=on","3734RCLL2FD"))*1</f>
        <v>#VALUE!</v>
      </c>
      <c r="B1740" s="1">
        <v>6190177</v>
      </c>
      <c r="C1740" t="s">
        <v>1883</v>
      </c>
      <c r="D1740" t="s">
        <v>1885</v>
      </c>
      <c r="E1740" t="s">
        <v>10</v>
      </c>
    </row>
    <row r="1741" spans="1:5" hidden="1" outlineLevel="2">
      <c r="A1741" s="3" t="e">
        <f>(HYPERLINK("http://www.autodoc.ru/Web/price/art/3734RCLL2FV?analog=on","3734RCLL2FV"))*1</f>
        <v>#VALUE!</v>
      </c>
      <c r="B1741" s="1">
        <v>6190178</v>
      </c>
      <c r="C1741" t="s">
        <v>1105</v>
      </c>
      <c r="D1741" t="s">
        <v>1886</v>
      </c>
      <c r="E1741" t="s">
        <v>10</v>
      </c>
    </row>
    <row r="1742" spans="1:5" hidden="1" outlineLevel="1">
      <c r="A1742" s="2">
        <v>0</v>
      </c>
      <c r="B1742" s="26" t="s">
        <v>1887</v>
      </c>
      <c r="C1742" s="27">
        <v>0</v>
      </c>
      <c r="D1742" s="27">
        <v>0</v>
      </c>
      <c r="E1742" s="27">
        <v>0</v>
      </c>
    </row>
    <row r="1743" spans="1:5" hidden="1" outlineLevel="2">
      <c r="A1743" s="3" t="e">
        <f>(HYPERLINK("http://www.autodoc.ru/Web/price/art/3744ACLW?analog=on","3744ACLW"))*1</f>
        <v>#VALUE!</v>
      </c>
      <c r="B1743" s="1">
        <v>6961533</v>
      </c>
      <c r="C1743" t="s">
        <v>755</v>
      </c>
      <c r="D1743" t="s">
        <v>1888</v>
      </c>
      <c r="E1743" t="s">
        <v>8</v>
      </c>
    </row>
    <row r="1744" spans="1:5" hidden="1" outlineLevel="2">
      <c r="A1744" s="3" t="e">
        <f>(HYPERLINK("http://www.autodoc.ru/Web/price/art/3744AGN?analog=on","3744AGN"))*1</f>
        <v>#VALUE!</v>
      </c>
      <c r="B1744" s="1">
        <v>6961247</v>
      </c>
      <c r="C1744" t="s">
        <v>755</v>
      </c>
      <c r="D1744" t="s">
        <v>1889</v>
      </c>
      <c r="E1744" t="s">
        <v>8</v>
      </c>
    </row>
    <row r="1745" spans="1:5" hidden="1" outlineLevel="2">
      <c r="A1745" s="3" t="e">
        <f>(HYPERLINK("http://www.autodoc.ru/Web/price/art/3744AGNW?analog=on","3744AGNW"))*1</f>
        <v>#VALUE!</v>
      </c>
      <c r="B1745" s="1">
        <v>6961534</v>
      </c>
      <c r="C1745" t="s">
        <v>755</v>
      </c>
      <c r="D1745" t="s">
        <v>1890</v>
      </c>
      <c r="E1745" t="s">
        <v>8</v>
      </c>
    </row>
    <row r="1746" spans="1:5" hidden="1" outlineLevel="2">
      <c r="A1746" s="3" t="e">
        <f>(HYPERLINK("http://www.autodoc.ru/Web/price/art/3744ASMLT?analog=on","3744ASMLT"))*1</f>
        <v>#VALUE!</v>
      </c>
      <c r="B1746" s="1">
        <v>6101572</v>
      </c>
      <c r="C1746" t="s">
        <v>19</v>
      </c>
      <c r="D1746" t="s">
        <v>1891</v>
      </c>
      <c r="E1746" t="s">
        <v>21</v>
      </c>
    </row>
    <row r="1747" spans="1:5" hidden="1" outlineLevel="1">
      <c r="A1747" s="2">
        <v>0</v>
      </c>
      <c r="B1747" s="26" t="s">
        <v>1892</v>
      </c>
      <c r="C1747" s="27">
        <v>0</v>
      </c>
      <c r="D1747" s="27">
        <v>0</v>
      </c>
      <c r="E1747" s="27">
        <v>0</v>
      </c>
    </row>
    <row r="1748" spans="1:5" hidden="1" outlineLevel="2">
      <c r="A1748" s="3" t="e">
        <f>(HYPERLINK("http://www.autodoc.ru/Web/price/art/3733AGN?analog=on","3733AGN"))*1</f>
        <v>#VALUE!</v>
      </c>
      <c r="B1748" s="1">
        <v>6962104</v>
      </c>
      <c r="C1748" t="s">
        <v>1893</v>
      </c>
      <c r="D1748" t="s">
        <v>1894</v>
      </c>
      <c r="E1748" t="s">
        <v>8</v>
      </c>
    </row>
    <row r="1749" spans="1:5" hidden="1" outlineLevel="2">
      <c r="A1749" s="3" t="e">
        <f>(HYPERLINK("http://www.autodoc.ru/Web/price/art/3733ASRL?analog=on","3733ASRL"))*1</f>
        <v>#VALUE!</v>
      </c>
      <c r="B1749" s="1">
        <v>6100080</v>
      </c>
      <c r="C1749" t="s">
        <v>19</v>
      </c>
      <c r="D1749" t="s">
        <v>1895</v>
      </c>
      <c r="E1749" t="s">
        <v>21</v>
      </c>
    </row>
    <row r="1750" spans="1:5" hidden="1" outlineLevel="2">
      <c r="A1750" s="3" t="e">
        <f>(HYPERLINK("http://www.autodoc.ru/Web/price/art/3733LGNL2FD?analog=on","3733LGNL2FD"))*1</f>
        <v>#VALUE!</v>
      </c>
      <c r="B1750" s="1">
        <v>6190176</v>
      </c>
      <c r="C1750" t="s">
        <v>1893</v>
      </c>
      <c r="D1750" t="s">
        <v>1896</v>
      </c>
      <c r="E1750" t="s">
        <v>10</v>
      </c>
    </row>
    <row r="1751" spans="1:5" hidden="1" outlineLevel="2">
      <c r="A1751" s="3" t="e">
        <f>(HYPERLINK("http://www.autodoc.ru/Web/price/art/3733RGNL2FD?analog=on","3733RGNL2FD"))*1</f>
        <v>#VALUE!</v>
      </c>
      <c r="B1751" s="1">
        <v>6190179</v>
      </c>
      <c r="C1751" t="s">
        <v>1893</v>
      </c>
      <c r="D1751" t="s">
        <v>1897</v>
      </c>
      <c r="E1751" t="s">
        <v>10</v>
      </c>
    </row>
    <row r="1752" spans="1:5" collapsed="1">
      <c r="A1752" s="28" t="s">
        <v>1898</v>
      </c>
      <c r="B1752" s="28">
        <v>0</v>
      </c>
      <c r="C1752" s="28">
        <v>0</v>
      </c>
      <c r="D1752" s="28">
        <v>0</v>
      </c>
      <c r="E1752" s="28">
        <v>0</v>
      </c>
    </row>
    <row r="1753" spans="1:5" hidden="1" outlineLevel="1">
      <c r="A1753" s="2">
        <v>0</v>
      </c>
      <c r="B1753" s="26" t="s">
        <v>1899</v>
      </c>
      <c r="C1753" s="27">
        <v>0</v>
      </c>
      <c r="D1753" s="27">
        <v>0</v>
      </c>
      <c r="E1753" s="27">
        <v>0</v>
      </c>
    </row>
    <row r="1754" spans="1:5" hidden="1" outlineLevel="2">
      <c r="A1754" s="3" t="e">
        <f>(HYPERLINK("http://www.autodoc.ru/Web/price/art/4629ACL?analog=on","4629ACL"))*1</f>
        <v>#VALUE!</v>
      </c>
      <c r="B1754" s="1">
        <v>6964031</v>
      </c>
      <c r="C1754" t="s">
        <v>1007</v>
      </c>
      <c r="D1754" t="s">
        <v>1900</v>
      </c>
      <c r="E1754" t="s">
        <v>8</v>
      </c>
    </row>
    <row r="1755" spans="1:5" hidden="1" outlineLevel="2">
      <c r="A1755" s="3" t="e">
        <f>(HYPERLINK("http://www.autodoc.ru/Web/price/art/4629LCLV2FD?analog=on","4629LCLV2FD"))*1</f>
        <v>#VALUE!</v>
      </c>
      <c r="B1755" s="1">
        <v>6190216</v>
      </c>
      <c r="C1755" t="s">
        <v>1007</v>
      </c>
      <c r="D1755" t="s">
        <v>1901</v>
      </c>
      <c r="E1755" t="s">
        <v>10</v>
      </c>
    </row>
    <row r="1756" spans="1:5" hidden="1" outlineLevel="2">
      <c r="A1756" s="3" t="e">
        <f>(HYPERLINK("http://www.autodoc.ru/Web/price/art/4629LCLV2FV?analog=on","4629LCLV2FV"))*1</f>
        <v>#VALUE!</v>
      </c>
      <c r="B1756" s="1">
        <v>6190217</v>
      </c>
      <c r="C1756" t="s">
        <v>1007</v>
      </c>
      <c r="D1756" t="s">
        <v>1902</v>
      </c>
      <c r="E1756" t="s">
        <v>10</v>
      </c>
    </row>
    <row r="1757" spans="1:5" hidden="1" outlineLevel="2">
      <c r="A1757" s="3" t="e">
        <f>(HYPERLINK("http://www.autodoc.ru/Web/price/art/4629RCLV2FD?analog=on","4629RCLV2FD"))*1</f>
        <v>#VALUE!</v>
      </c>
      <c r="B1757" s="1">
        <v>6190218</v>
      </c>
      <c r="C1757" t="s">
        <v>1007</v>
      </c>
      <c r="D1757" t="s">
        <v>1903</v>
      </c>
      <c r="E1757" t="s">
        <v>10</v>
      </c>
    </row>
    <row r="1758" spans="1:5" hidden="1" outlineLevel="2">
      <c r="A1758" s="3" t="e">
        <f>(HYPERLINK("http://www.autodoc.ru/Web/price/art/4629RCLV2FV?analog=on","4629RCLV2FV"))*1</f>
        <v>#VALUE!</v>
      </c>
      <c r="B1758" s="1">
        <v>6190219</v>
      </c>
      <c r="C1758" t="s">
        <v>1007</v>
      </c>
      <c r="D1758" t="s">
        <v>1904</v>
      </c>
      <c r="E1758" t="s">
        <v>10</v>
      </c>
    </row>
    <row r="1759" spans="1:5" hidden="1" outlineLevel="1">
      <c r="A1759" s="2">
        <v>0</v>
      </c>
      <c r="B1759" s="26" t="s">
        <v>1905</v>
      </c>
      <c r="C1759" s="27">
        <v>0</v>
      </c>
      <c r="D1759" s="27">
        <v>0</v>
      </c>
      <c r="E1759" s="27">
        <v>0</v>
      </c>
    </row>
    <row r="1760" spans="1:5" hidden="1" outlineLevel="2">
      <c r="A1760" s="3" t="e">
        <f>(HYPERLINK("http://www.autodoc.ru/Web/price/art/4628ACL?analog=on","4628ACL"))*1</f>
        <v>#VALUE!</v>
      </c>
      <c r="B1760" s="1">
        <v>6963462</v>
      </c>
      <c r="C1760" t="s">
        <v>1007</v>
      </c>
      <c r="D1760" t="s">
        <v>1906</v>
      </c>
      <c r="E1760" t="s">
        <v>8</v>
      </c>
    </row>
    <row r="1761" spans="1:5" hidden="1" outlineLevel="2">
      <c r="A1761" s="3" t="e">
        <f>(HYPERLINK("http://www.autodoc.ru/Web/price/art/4628ACL1C?analog=on","4628ACL1C"))*1</f>
        <v>#VALUE!</v>
      </c>
      <c r="B1761" s="1">
        <v>6964009</v>
      </c>
      <c r="C1761" t="s">
        <v>1007</v>
      </c>
      <c r="D1761" t="s">
        <v>1907</v>
      </c>
      <c r="E1761" t="s">
        <v>8</v>
      </c>
    </row>
    <row r="1762" spans="1:5" hidden="1" outlineLevel="2">
      <c r="A1762" s="3" t="e">
        <f>(HYPERLINK("http://www.autodoc.ru/Web/price/art/4628LCLV2FD?analog=on","4628LCLV2FD"))*1</f>
        <v>#VALUE!</v>
      </c>
      <c r="B1762" s="1">
        <v>6995553</v>
      </c>
      <c r="C1762" t="s">
        <v>1007</v>
      </c>
      <c r="D1762" t="s">
        <v>1908</v>
      </c>
      <c r="E1762" t="s">
        <v>10</v>
      </c>
    </row>
    <row r="1763" spans="1:5" hidden="1" outlineLevel="2">
      <c r="A1763" s="3" t="e">
        <f>(HYPERLINK("http://www.autodoc.ru/Web/price/art/4628LCLV2FV?analog=on","4628LCLV2FV"))*1</f>
        <v>#VALUE!</v>
      </c>
      <c r="B1763" s="1">
        <v>6995554</v>
      </c>
      <c r="C1763" t="s">
        <v>1007</v>
      </c>
      <c r="D1763" t="s">
        <v>1909</v>
      </c>
      <c r="E1763" t="s">
        <v>10</v>
      </c>
    </row>
    <row r="1764" spans="1:5" hidden="1" outlineLevel="2">
      <c r="A1764" s="3" t="e">
        <f>(HYPERLINK("http://www.autodoc.ru/Web/price/art/4628RCLV2FD?analog=on","4628RCLV2FD"))*1</f>
        <v>#VALUE!</v>
      </c>
      <c r="B1764" s="1">
        <v>6995555</v>
      </c>
      <c r="C1764" t="s">
        <v>1007</v>
      </c>
      <c r="D1764" t="s">
        <v>1910</v>
      </c>
      <c r="E1764" t="s">
        <v>10</v>
      </c>
    </row>
    <row r="1765" spans="1:5" hidden="1" outlineLevel="2">
      <c r="A1765" s="3" t="e">
        <f>(HYPERLINK("http://www.autodoc.ru/Web/price/art/4628RCLV2FV?analog=on","4628RCLV2FV"))*1</f>
        <v>#VALUE!</v>
      </c>
      <c r="B1765" s="1">
        <v>6995556</v>
      </c>
      <c r="C1765" t="s">
        <v>1007</v>
      </c>
      <c r="D1765" t="s">
        <v>1911</v>
      </c>
      <c r="E1765" t="s">
        <v>10</v>
      </c>
    </row>
    <row r="1766" spans="1:5" collapsed="1">
      <c r="A1766" s="28" t="s">
        <v>1912</v>
      </c>
      <c r="B1766" s="28">
        <v>0</v>
      </c>
      <c r="C1766" s="28">
        <v>0</v>
      </c>
      <c r="D1766" s="28">
        <v>0</v>
      </c>
      <c r="E1766" s="28">
        <v>0</v>
      </c>
    </row>
    <row r="1767" spans="1:5" hidden="1" outlineLevel="1">
      <c r="A1767" s="2">
        <v>0</v>
      </c>
      <c r="B1767" s="26" t="s">
        <v>1913</v>
      </c>
      <c r="C1767" s="27">
        <v>0</v>
      </c>
      <c r="D1767" s="27">
        <v>0</v>
      </c>
      <c r="E1767" s="27">
        <v>0</v>
      </c>
    </row>
    <row r="1768" spans="1:5" hidden="1" outlineLevel="2">
      <c r="A1768" s="3" t="e">
        <f>(HYPERLINK("http://www.autodoc.ru/Web/price/art/4621ACL?analog=on","4621ACL"))*1</f>
        <v>#VALUE!</v>
      </c>
      <c r="B1768" s="1">
        <v>6963459</v>
      </c>
      <c r="C1768" t="s">
        <v>1914</v>
      </c>
      <c r="D1768" t="s">
        <v>1915</v>
      </c>
      <c r="E1768" t="s">
        <v>8</v>
      </c>
    </row>
    <row r="1769" spans="1:5" hidden="1" outlineLevel="1">
      <c r="A1769" s="2">
        <v>0</v>
      </c>
      <c r="B1769" s="26" t="s">
        <v>1916</v>
      </c>
      <c r="C1769" s="27">
        <v>0</v>
      </c>
      <c r="D1769" s="27">
        <v>0</v>
      </c>
      <c r="E1769" s="27">
        <v>0</v>
      </c>
    </row>
    <row r="1770" spans="1:5" hidden="1" outlineLevel="2">
      <c r="A1770" s="3" t="e">
        <f>(HYPERLINK("http://www.autodoc.ru/Web/price/art/4615ACL?analog=on","4615ACL"))*1</f>
        <v>#VALUE!</v>
      </c>
      <c r="B1770" s="1">
        <v>6963556</v>
      </c>
      <c r="C1770" t="s">
        <v>1917</v>
      </c>
      <c r="D1770" t="s">
        <v>1918</v>
      </c>
      <c r="E1770" t="s">
        <v>8</v>
      </c>
    </row>
    <row r="1771" spans="1:5" hidden="1" outlineLevel="1">
      <c r="A1771" s="2">
        <v>0</v>
      </c>
      <c r="B1771" s="26" t="s">
        <v>1919</v>
      </c>
      <c r="C1771" s="27">
        <v>0</v>
      </c>
      <c r="D1771" s="27">
        <v>0</v>
      </c>
      <c r="E1771" s="27">
        <v>0</v>
      </c>
    </row>
    <row r="1772" spans="1:5" hidden="1" outlineLevel="2">
      <c r="A1772" s="3" t="e">
        <f>(HYPERLINK("http://www.autodoc.ru/Web/price/art/4622ACL?analog=on","4622ACL"))*1</f>
        <v>#VALUE!</v>
      </c>
      <c r="B1772" s="1">
        <v>6963460</v>
      </c>
      <c r="C1772" t="s">
        <v>1920</v>
      </c>
      <c r="D1772" t="s">
        <v>1921</v>
      </c>
      <c r="E1772" t="s">
        <v>8</v>
      </c>
    </row>
    <row r="1773" spans="1:5" hidden="1" outlineLevel="1">
      <c r="A1773" s="2">
        <v>0</v>
      </c>
      <c r="B1773" s="26" t="s">
        <v>1922</v>
      </c>
      <c r="C1773" s="27">
        <v>0</v>
      </c>
      <c r="D1773" s="27">
        <v>0</v>
      </c>
      <c r="E1773" s="27">
        <v>0</v>
      </c>
    </row>
    <row r="1774" spans="1:5" hidden="1" outlineLevel="2">
      <c r="A1774" s="3" t="e">
        <f>(HYPERLINK("http://www.autodoc.ru/Web/price/art/4620ACL?analog=on","4620ACL"))*1</f>
        <v>#VALUE!</v>
      </c>
      <c r="B1774" s="1">
        <v>6963458</v>
      </c>
      <c r="C1774" t="s">
        <v>1923</v>
      </c>
      <c r="D1774" t="s">
        <v>1924</v>
      </c>
      <c r="E1774" t="s">
        <v>8</v>
      </c>
    </row>
    <row r="1775" spans="1:5" collapsed="1">
      <c r="A1775" s="28" t="s">
        <v>1925</v>
      </c>
      <c r="B1775" s="28">
        <v>0</v>
      </c>
      <c r="C1775" s="28">
        <v>0</v>
      </c>
      <c r="D1775" s="28">
        <v>0</v>
      </c>
      <c r="E1775" s="28">
        <v>0</v>
      </c>
    </row>
    <row r="1776" spans="1:5" hidden="1" outlineLevel="1">
      <c r="A1776" s="2">
        <v>0</v>
      </c>
      <c r="B1776" s="26" t="s">
        <v>1926</v>
      </c>
      <c r="C1776" s="27">
        <v>0</v>
      </c>
      <c r="D1776" s="27">
        <v>0</v>
      </c>
      <c r="E1776" s="27">
        <v>0</v>
      </c>
    </row>
    <row r="1777" spans="1:5" hidden="1" outlineLevel="2">
      <c r="A1777" s="3" t="e">
        <f>(HYPERLINK("http://www.autodoc.ru/Web/price/art/2915ABL?analog=on","2915ABL"))*1</f>
        <v>#VALUE!</v>
      </c>
      <c r="B1777" s="1">
        <v>6963371</v>
      </c>
      <c r="C1777" t="s">
        <v>1589</v>
      </c>
      <c r="D1777" t="s">
        <v>1927</v>
      </c>
      <c r="E1777" t="s">
        <v>8</v>
      </c>
    </row>
    <row r="1778" spans="1:5" hidden="1" outlineLevel="1">
      <c r="A1778" s="2">
        <v>0</v>
      </c>
      <c r="B1778" s="26" t="s">
        <v>1928</v>
      </c>
      <c r="C1778" s="27">
        <v>0</v>
      </c>
      <c r="D1778" s="27">
        <v>0</v>
      </c>
      <c r="E1778" s="27">
        <v>0</v>
      </c>
    </row>
    <row r="1779" spans="1:5" hidden="1" outlineLevel="2">
      <c r="A1779" s="3" t="e">
        <f>(HYPERLINK("http://www.autodoc.ru/Web/price/art/2907ABL?analog=on","2907ABL"))*1</f>
        <v>#VALUE!</v>
      </c>
      <c r="B1779" s="1">
        <v>6963439</v>
      </c>
      <c r="C1779" t="s">
        <v>1929</v>
      </c>
      <c r="D1779" t="s">
        <v>1930</v>
      </c>
      <c r="E1779" t="s">
        <v>8</v>
      </c>
    </row>
    <row r="1780" spans="1:5" hidden="1" outlineLevel="1">
      <c r="A1780" s="2">
        <v>0</v>
      </c>
      <c r="B1780" s="26" t="s">
        <v>1931</v>
      </c>
      <c r="C1780" s="27">
        <v>0</v>
      </c>
      <c r="D1780" s="27">
        <v>0</v>
      </c>
      <c r="E1780" s="27">
        <v>0</v>
      </c>
    </row>
    <row r="1781" spans="1:5" hidden="1" outlineLevel="2">
      <c r="A1781" s="3" t="e">
        <f>(HYPERLINK("http://www.autodoc.ru/Web/price/art/2913ABL?analog=on","2913ABL"))*1</f>
        <v>#VALUE!</v>
      </c>
      <c r="B1781" s="1">
        <v>6963370</v>
      </c>
      <c r="C1781" t="s">
        <v>485</v>
      </c>
      <c r="D1781" t="s">
        <v>1932</v>
      </c>
      <c r="E1781" t="s">
        <v>8</v>
      </c>
    </row>
    <row r="1782" spans="1:5" hidden="1" outlineLevel="2">
      <c r="A1782" s="3" t="e">
        <f>(HYPERLINK("http://www.autodoc.ru/Web/price/art/2913ACL?analog=on","2913ACL"))*1</f>
        <v>#VALUE!</v>
      </c>
      <c r="B1782" s="1">
        <v>6964101</v>
      </c>
      <c r="C1782" t="s">
        <v>485</v>
      </c>
      <c r="D1782" t="s">
        <v>1933</v>
      </c>
      <c r="E1782" t="s">
        <v>8</v>
      </c>
    </row>
    <row r="1783" spans="1:5" hidden="1" outlineLevel="2">
      <c r="A1783" s="3" t="e">
        <f>(HYPERLINK("http://www.autodoc.ru/Web/price/art/2913AKMH?analog=on","2913AKMH"))*1</f>
        <v>#VALUE!</v>
      </c>
      <c r="B1783" s="1">
        <v>6101115</v>
      </c>
      <c r="C1783" t="s">
        <v>19</v>
      </c>
      <c r="D1783" t="s">
        <v>1934</v>
      </c>
      <c r="E1783" t="s">
        <v>21</v>
      </c>
    </row>
    <row r="1784" spans="1:5" hidden="1" outlineLevel="2">
      <c r="A1784" s="3" t="e">
        <f>(HYPERLINK("http://www.autodoc.ru/Web/price/art/2913LBLH3FD?analog=on","2913LBLH3FD"))*1</f>
        <v>#VALUE!</v>
      </c>
      <c r="B1784" s="1">
        <v>6999341</v>
      </c>
      <c r="C1784" t="s">
        <v>485</v>
      </c>
      <c r="D1784" t="s">
        <v>1935</v>
      </c>
      <c r="E1784" t="s">
        <v>10</v>
      </c>
    </row>
    <row r="1785" spans="1:5" hidden="1" outlineLevel="2">
      <c r="A1785" s="3" t="e">
        <f>(HYPERLINK("http://www.autodoc.ru/Web/price/art/2913RBLH3FD?analog=on","2913RBLH3FD"))*1</f>
        <v>#VALUE!</v>
      </c>
      <c r="B1785" s="1">
        <v>6999346</v>
      </c>
      <c r="C1785" t="s">
        <v>485</v>
      </c>
      <c r="D1785" t="s">
        <v>1936</v>
      </c>
      <c r="E1785" t="s">
        <v>10</v>
      </c>
    </row>
    <row r="1786" spans="1:5" hidden="1" outlineLevel="1">
      <c r="A1786" s="2">
        <v>0</v>
      </c>
      <c r="B1786" s="26" t="s">
        <v>1937</v>
      </c>
      <c r="C1786" s="27">
        <v>0</v>
      </c>
      <c r="D1786" s="27">
        <v>0</v>
      </c>
      <c r="E1786" s="27">
        <v>0</v>
      </c>
    </row>
    <row r="1787" spans="1:5" hidden="1" outlineLevel="2">
      <c r="A1787" s="3" t="e">
        <f>(HYPERLINK("http://www.autodoc.ru/Web/price/art/2918ABL?analog=on","2918ABL"))*1</f>
        <v>#VALUE!</v>
      </c>
      <c r="B1787" s="1">
        <v>6964102</v>
      </c>
      <c r="C1787" t="s">
        <v>1573</v>
      </c>
      <c r="D1787" t="s">
        <v>1938</v>
      </c>
      <c r="E1787" t="s">
        <v>8</v>
      </c>
    </row>
    <row r="1788" spans="1:5" hidden="1" outlineLevel="2">
      <c r="A1788" s="3" t="e">
        <f>(HYPERLINK("http://www.autodoc.ru/Web/price/art/2918ACL?analog=on","2918ACL"))*1</f>
        <v>#VALUE!</v>
      </c>
      <c r="B1788" s="1">
        <v>6964103</v>
      </c>
      <c r="C1788" t="s">
        <v>1573</v>
      </c>
      <c r="D1788" t="s">
        <v>1939</v>
      </c>
      <c r="E1788" t="s">
        <v>8</v>
      </c>
    </row>
    <row r="1789" spans="1:5" hidden="1" outlineLevel="2">
      <c r="A1789" s="3" t="e">
        <f>(HYPERLINK("http://www.autodoc.ru/Web/price/art/2918AGN?analog=on","2918AGN"))*1</f>
        <v>#VALUE!</v>
      </c>
      <c r="B1789" s="1">
        <v>6964315</v>
      </c>
      <c r="C1789" t="s">
        <v>1573</v>
      </c>
      <c r="D1789" t="s">
        <v>1940</v>
      </c>
      <c r="E1789" t="s">
        <v>8</v>
      </c>
    </row>
    <row r="1790" spans="1:5" hidden="1" outlineLevel="2">
      <c r="A1790" s="3" t="e">
        <f>(HYPERLINK("http://www.autodoc.ru/Web/price/art/2918RBLH5FDW?analog=on","2918RBLH5FDW"))*1</f>
        <v>#VALUE!</v>
      </c>
      <c r="B1790" s="1">
        <v>6992458</v>
      </c>
      <c r="C1790" t="s">
        <v>1573</v>
      </c>
      <c r="D1790" t="s">
        <v>1941</v>
      </c>
      <c r="E1790" t="s">
        <v>10</v>
      </c>
    </row>
    <row r="1791" spans="1:5" hidden="1" outlineLevel="2">
      <c r="A1791" s="3" t="e">
        <f>(HYPERLINK("http://www.autodoc.ru/Web/price/art/2918RBLS4RDW?analog=on","2918RBLS4RDW"))*1</f>
        <v>#VALUE!</v>
      </c>
      <c r="B1791" s="1">
        <v>6992453</v>
      </c>
      <c r="C1791" t="s">
        <v>1573</v>
      </c>
      <c r="D1791" t="s">
        <v>1942</v>
      </c>
      <c r="E1791" t="s">
        <v>10</v>
      </c>
    </row>
    <row r="1792" spans="1:5" hidden="1" outlineLevel="1">
      <c r="A1792" s="2">
        <v>0</v>
      </c>
      <c r="B1792" s="26" t="s">
        <v>1943</v>
      </c>
      <c r="C1792" s="27">
        <v>0</v>
      </c>
      <c r="D1792" s="27">
        <v>0</v>
      </c>
      <c r="E1792" s="27">
        <v>0</v>
      </c>
    </row>
    <row r="1793" spans="1:5" hidden="1" outlineLevel="2">
      <c r="A1793" s="3" t="e">
        <f>(HYPERLINK("http://www.autodoc.ru/Web/price/art/2927AGN?analog=on","2927AGN"))*1</f>
        <v>#VALUE!</v>
      </c>
      <c r="B1793" s="1">
        <v>6950051</v>
      </c>
      <c r="C1793" t="s">
        <v>782</v>
      </c>
      <c r="D1793" t="s">
        <v>1944</v>
      </c>
      <c r="E1793" t="s">
        <v>8</v>
      </c>
    </row>
    <row r="1794" spans="1:5" hidden="1" outlineLevel="1">
      <c r="A1794" s="2">
        <v>0</v>
      </c>
      <c r="B1794" s="26" t="s">
        <v>1945</v>
      </c>
      <c r="C1794" s="27">
        <v>0</v>
      </c>
      <c r="D1794" s="27">
        <v>0</v>
      </c>
      <c r="E1794" s="27">
        <v>0</v>
      </c>
    </row>
    <row r="1795" spans="1:5" hidden="1" outlineLevel="2">
      <c r="A1795" s="3" t="e">
        <f>(HYPERLINK("http://www.autodoc.ru/Web/price/art/2934AGN?analog=on","2934AGN"))*1</f>
        <v>#VALUE!</v>
      </c>
      <c r="B1795" s="1">
        <v>6962754</v>
      </c>
      <c r="C1795" t="s">
        <v>366</v>
      </c>
      <c r="D1795" t="s">
        <v>1946</v>
      </c>
      <c r="E1795" t="s">
        <v>8</v>
      </c>
    </row>
    <row r="1796" spans="1:5" hidden="1" outlineLevel="1">
      <c r="A1796" s="2">
        <v>0</v>
      </c>
      <c r="B1796" s="26" t="s">
        <v>1947</v>
      </c>
      <c r="C1796" s="27">
        <v>0</v>
      </c>
      <c r="D1796" s="27">
        <v>0</v>
      </c>
      <c r="E1796" s="27">
        <v>0</v>
      </c>
    </row>
    <row r="1797" spans="1:5" hidden="1" outlineLevel="2">
      <c r="A1797" s="3" t="e">
        <f>(HYPERLINK("http://www.autodoc.ru/Web/price/art/2919AGN?analog=on","2919AGN"))*1</f>
        <v>#VALUE!</v>
      </c>
      <c r="B1797" s="1">
        <v>6963547</v>
      </c>
      <c r="C1797" t="s">
        <v>522</v>
      </c>
      <c r="D1797" t="s">
        <v>1948</v>
      </c>
      <c r="E1797" t="s">
        <v>8</v>
      </c>
    </row>
    <row r="1798" spans="1:5" hidden="1" outlineLevel="2">
      <c r="A1798" s="3" t="e">
        <f>(HYPERLINK("http://www.autodoc.ru/Web/price/art/2919ASRH?analog=on","2919ASRH"))*1</f>
        <v>#VALUE!</v>
      </c>
      <c r="B1798" s="1">
        <v>6101347</v>
      </c>
      <c r="C1798" t="s">
        <v>19</v>
      </c>
      <c r="D1798" t="s">
        <v>1949</v>
      </c>
      <c r="E1798" t="s">
        <v>21</v>
      </c>
    </row>
    <row r="1799" spans="1:5" hidden="1" outlineLevel="1">
      <c r="A1799" s="2">
        <v>0</v>
      </c>
      <c r="B1799" s="26" t="s">
        <v>1950</v>
      </c>
      <c r="C1799" s="27">
        <v>0</v>
      </c>
      <c r="D1799" s="27">
        <v>0</v>
      </c>
      <c r="E1799" s="27">
        <v>0</v>
      </c>
    </row>
    <row r="1800" spans="1:5" hidden="1" outlineLevel="2">
      <c r="A1800" s="3" t="e">
        <f>(HYPERLINK("http://www.autodoc.ru/Web/price/art/2924AGN?analog=on","2924AGN"))*1</f>
        <v>#VALUE!</v>
      </c>
      <c r="B1800" s="1">
        <v>6960267</v>
      </c>
      <c r="C1800" t="s">
        <v>250</v>
      </c>
      <c r="D1800" t="s">
        <v>1951</v>
      </c>
      <c r="E1800" t="s">
        <v>8</v>
      </c>
    </row>
    <row r="1801" spans="1:5" hidden="1" outlineLevel="2">
      <c r="A1801" s="3" t="e">
        <f>(HYPERLINK("http://www.autodoc.ru/Web/price/art/2922ASMR?analog=on","2922ASMR"))*1</f>
        <v>#VALUE!</v>
      </c>
      <c r="B1801" s="1">
        <v>6100590</v>
      </c>
      <c r="C1801" t="s">
        <v>19</v>
      </c>
      <c r="D1801" t="s">
        <v>1952</v>
      </c>
      <c r="E1801" t="s">
        <v>21</v>
      </c>
    </row>
    <row r="1802" spans="1:5" hidden="1" outlineLevel="1">
      <c r="A1802" s="2">
        <v>0</v>
      </c>
      <c r="B1802" s="26" t="s">
        <v>1953</v>
      </c>
      <c r="C1802" s="27">
        <v>0</v>
      </c>
      <c r="D1802" s="27">
        <v>0</v>
      </c>
      <c r="E1802" s="27">
        <v>0</v>
      </c>
    </row>
    <row r="1803" spans="1:5" hidden="1" outlineLevel="2">
      <c r="A1803" s="3" t="e">
        <f>(HYPERLINK("http://www.autodoc.ru/Web/price/art/2930AGN?analog=on","2930AGN"))*1</f>
        <v>#VALUE!</v>
      </c>
      <c r="B1803" s="1">
        <v>6961776</v>
      </c>
      <c r="C1803" t="s">
        <v>890</v>
      </c>
      <c r="D1803" t="s">
        <v>1954</v>
      </c>
      <c r="E1803" t="s">
        <v>8</v>
      </c>
    </row>
    <row r="1804" spans="1:5" hidden="1" outlineLevel="2">
      <c r="A1804" s="3" t="e">
        <f>(HYPERLINK("http://www.autodoc.ru/Web/price/art/2930LGNH5FDW?analog=on","2930LGNH5FDW"))*1</f>
        <v>#VALUE!</v>
      </c>
      <c r="B1804" s="1">
        <v>6999939</v>
      </c>
      <c r="C1804" t="s">
        <v>890</v>
      </c>
      <c r="D1804" t="s">
        <v>1955</v>
      </c>
      <c r="E1804" t="s">
        <v>10</v>
      </c>
    </row>
    <row r="1805" spans="1:5" hidden="1" outlineLevel="2">
      <c r="A1805" s="3" t="e">
        <f>(HYPERLINK("http://www.autodoc.ru/Web/price/art/2930RGNH5FDW?analog=on","2930RGNH5FDW"))*1</f>
        <v>#VALUE!</v>
      </c>
      <c r="B1805" s="1">
        <v>6900029</v>
      </c>
      <c r="C1805" t="s">
        <v>890</v>
      </c>
      <c r="D1805" t="s">
        <v>1956</v>
      </c>
      <c r="E1805" t="s">
        <v>10</v>
      </c>
    </row>
    <row r="1806" spans="1:5" hidden="1" outlineLevel="1">
      <c r="A1806" s="2">
        <v>0</v>
      </c>
      <c r="B1806" s="26" t="s">
        <v>1957</v>
      </c>
      <c r="C1806" s="27">
        <v>0</v>
      </c>
      <c r="D1806" s="27">
        <v>0</v>
      </c>
      <c r="E1806" s="27">
        <v>0</v>
      </c>
    </row>
    <row r="1807" spans="1:5" hidden="1" outlineLevel="2">
      <c r="A1807" s="3" t="e">
        <f>(HYPERLINK("http://www.autodoc.ru/Web/price/art/2931AGN?analog=on","2931AGN"))*1</f>
        <v>#VALUE!</v>
      </c>
      <c r="B1807" s="1">
        <v>6962363</v>
      </c>
      <c r="C1807" t="s">
        <v>389</v>
      </c>
      <c r="D1807" t="s">
        <v>1958</v>
      </c>
      <c r="E1807" t="s">
        <v>8</v>
      </c>
    </row>
    <row r="1808" spans="1:5" hidden="1" outlineLevel="2">
      <c r="A1808" s="3" t="e">
        <f>(HYPERLINK("http://www.autodoc.ru/Web/price/art/2931AGNH?analog=on","2931AGNH"))*1</f>
        <v>#VALUE!</v>
      </c>
      <c r="B1808" s="1">
        <v>6962364</v>
      </c>
      <c r="C1808" t="s">
        <v>389</v>
      </c>
      <c r="D1808" t="s">
        <v>1959</v>
      </c>
      <c r="E1808" t="s">
        <v>8</v>
      </c>
    </row>
    <row r="1809" spans="1:5" hidden="1" outlineLevel="1">
      <c r="A1809" s="2">
        <v>0</v>
      </c>
      <c r="B1809" s="26" t="s">
        <v>1960</v>
      </c>
      <c r="C1809" s="27">
        <v>0</v>
      </c>
      <c r="D1809" s="27">
        <v>0</v>
      </c>
      <c r="E1809" s="27">
        <v>0</v>
      </c>
    </row>
    <row r="1810" spans="1:5" hidden="1" outlineLevel="2">
      <c r="A1810" s="3" t="e">
        <f>(HYPERLINK("http://www.autodoc.ru/Web/price/art/2908ABL?analog=on","2908ABL"))*1</f>
        <v>#VALUE!</v>
      </c>
      <c r="B1810" s="1">
        <v>6963541</v>
      </c>
      <c r="C1810" t="s">
        <v>1961</v>
      </c>
      <c r="D1810" t="s">
        <v>1962</v>
      </c>
      <c r="E1810" t="s">
        <v>8</v>
      </c>
    </row>
    <row r="1811" spans="1:5" hidden="1" outlineLevel="2">
      <c r="A1811" s="3" t="e">
        <f>(HYPERLINK("http://www.autodoc.ru/Web/price/art/2908ACL?analog=on","2908ACL"))*1</f>
        <v>#VALUE!</v>
      </c>
      <c r="B1811" s="1">
        <v>6963440</v>
      </c>
      <c r="C1811" t="s">
        <v>1961</v>
      </c>
      <c r="D1811" t="s">
        <v>1963</v>
      </c>
      <c r="E1811" t="s">
        <v>8</v>
      </c>
    </row>
    <row r="1812" spans="1:5" hidden="1" outlineLevel="2">
      <c r="A1812" s="3" t="e">
        <f>(HYPERLINK("http://www.autodoc.ru/Web/price/art/2908AGNBL?analog=on","2908AGNBL"))*1</f>
        <v>#VALUE!</v>
      </c>
      <c r="B1812" s="1">
        <v>6963542</v>
      </c>
      <c r="C1812" t="s">
        <v>1961</v>
      </c>
      <c r="D1812" t="s">
        <v>1964</v>
      </c>
      <c r="E1812" t="s">
        <v>8</v>
      </c>
    </row>
    <row r="1813" spans="1:5" hidden="1" outlineLevel="1">
      <c r="A1813" s="2">
        <v>0</v>
      </c>
      <c r="B1813" s="26" t="s">
        <v>1965</v>
      </c>
      <c r="C1813" s="27">
        <v>0</v>
      </c>
      <c r="D1813" s="27">
        <v>0</v>
      </c>
      <c r="E1813" s="27">
        <v>0</v>
      </c>
    </row>
    <row r="1814" spans="1:5" hidden="1" outlineLevel="2">
      <c r="A1814" s="3" t="e">
        <f>(HYPERLINK("http://www.autodoc.ru/Web/price/art/2921AGN?analog=on","2921AGN"))*1</f>
        <v>#VALUE!</v>
      </c>
      <c r="B1814" s="1">
        <v>6963611</v>
      </c>
      <c r="C1814" t="s">
        <v>654</v>
      </c>
      <c r="D1814" t="s">
        <v>1966</v>
      </c>
      <c r="E1814" t="s">
        <v>8</v>
      </c>
    </row>
    <row r="1815" spans="1:5" hidden="1" outlineLevel="2">
      <c r="A1815" s="3" t="e">
        <f>(HYPERLINK("http://www.autodoc.ru/Web/price/art/2921ASMV?analog=on","2921ASMV"))*1</f>
        <v>#VALUE!</v>
      </c>
      <c r="B1815" s="1">
        <v>6100997</v>
      </c>
      <c r="C1815" t="s">
        <v>19</v>
      </c>
      <c r="D1815" t="s">
        <v>1967</v>
      </c>
      <c r="E1815" t="s">
        <v>21</v>
      </c>
    </row>
    <row r="1816" spans="1:5" hidden="1" outlineLevel="1">
      <c r="A1816" s="2">
        <v>0</v>
      </c>
      <c r="B1816" s="26" t="s">
        <v>1968</v>
      </c>
      <c r="C1816" s="27">
        <v>0</v>
      </c>
      <c r="D1816" s="27">
        <v>0</v>
      </c>
      <c r="E1816" s="27">
        <v>0</v>
      </c>
    </row>
    <row r="1817" spans="1:5" hidden="1" outlineLevel="2">
      <c r="A1817" s="3" t="e">
        <f>(HYPERLINK("http://www.autodoc.ru/Web/price/art/2920AGNGN?analog=on","2920AGNGN"))*1</f>
        <v>#VALUE!</v>
      </c>
      <c r="B1817" s="1">
        <v>6963549</v>
      </c>
      <c r="C1817" t="s">
        <v>1969</v>
      </c>
      <c r="D1817" t="s">
        <v>1970</v>
      </c>
      <c r="E1817" t="s">
        <v>8</v>
      </c>
    </row>
    <row r="1818" spans="1:5" hidden="1" outlineLevel="2">
      <c r="A1818" s="3" t="e">
        <f>(HYPERLINK("http://www.autodoc.ru/Web/price/art/2920ASRV?analog=on","2920ASRV"))*1</f>
        <v>#VALUE!</v>
      </c>
      <c r="B1818" s="1">
        <v>6101099</v>
      </c>
      <c r="C1818" t="s">
        <v>19</v>
      </c>
      <c r="D1818" t="s">
        <v>1971</v>
      </c>
      <c r="E1818" t="s">
        <v>21</v>
      </c>
    </row>
    <row r="1819" spans="1:5" hidden="1" outlineLevel="2">
      <c r="A1819" s="3" t="e">
        <f>(HYPERLINK("http://www.autodoc.ru/Web/price/art/2920BGNV?analog=on","2920BGNV"))*1</f>
        <v>#VALUE!</v>
      </c>
      <c r="B1819" s="1">
        <v>6991704</v>
      </c>
      <c r="C1819" t="s">
        <v>1969</v>
      </c>
      <c r="D1819" t="s">
        <v>1972</v>
      </c>
      <c r="E1819" t="s">
        <v>23</v>
      </c>
    </row>
    <row r="1820" spans="1:5" hidden="1" outlineLevel="1">
      <c r="A1820" s="2">
        <v>0</v>
      </c>
      <c r="B1820" s="26" t="s">
        <v>1973</v>
      </c>
      <c r="C1820" s="27">
        <v>0</v>
      </c>
      <c r="D1820" s="27">
        <v>0</v>
      </c>
      <c r="E1820" s="27">
        <v>0</v>
      </c>
    </row>
    <row r="1821" spans="1:5" hidden="1" outlineLevel="2">
      <c r="A1821" s="3" t="e">
        <f>(HYPERLINK("http://www.autodoc.ru/Web/price/art/2925AGN?analog=on","2925AGN"))*1</f>
        <v>#VALUE!</v>
      </c>
      <c r="B1821" s="1">
        <v>6960982</v>
      </c>
      <c r="C1821" t="s">
        <v>1974</v>
      </c>
      <c r="D1821" t="s">
        <v>1975</v>
      </c>
      <c r="E1821" t="s">
        <v>8</v>
      </c>
    </row>
    <row r="1822" spans="1:5" hidden="1" outlineLevel="2">
      <c r="A1822" s="3" t="e">
        <f>(HYPERLINK("http://www.autodoc.ru/Web/price/art/2925ASMV?analog=on","2925ASMV"))*1</f>
        <v>#VALUE!</v>
      </c>
      <c r="B1822" s="1">
        <v>6101183</v>
      </c>
      <c r="C1822" t="s">
        <v>19</v>
      </c>
      <c r="D1822" t="s">
        <v>1976</v>
      </c>
      <c r="E1822" t="s">
        <v>21</v>
      </c>
    </row>
    <row r="1823" spans="1:5" hidden="1" outlineLevel="1">
      <c r="A1823" s="2">
        <v>0</v>
      </c>
      <c r="B1823" s="26" t="s">
        <v>1977</v>
      </c>
      <c r="C1823" s="27">
        <v>0</v>
      </c>
      <c r="D1823" s="27">
        <v>0</v>
      </c>
      <c r="E1823" s="27">
        <v>0</v>
      </c>
    </row>
    <row r="1824" spans="1:5" hidden="1" outlineLevel="2">
      <c r="A1824" s="3" t="e">
        <f>(HYPERLINK("http://www.autodoc.ru/Web/price/art/2923AGN?analog=on","2923AGN"))*1</f>
        <v>#VALUE!</v>
      </c>
      <c r="B1824" s="1">
        <v>6960697</v>
      </c>
      <c r="C1824" t="s">
        <v>1134</v>
      </c>
      <c r="D1824" t="s">
        <v>1978</v>
      </c>
      <c r="E1824" t="s">
        <v>8</v>
      </c>
    </row>
    <row r="1825" spans="1:5" hidden="1" outlineLevel="2">
      <c r="A1825" s="3" t="e">
        <f>(HYPERLINK("http://www.autodoc.ru/Web/price/art/2923AGNBL?analog=on","2923AGNBL"))*1</f>
        <v>#VALUE!</v>
      </c>
      <c r="B1825" s="1">
        <v>6950052</v>
      </c>
      <c r="C1825" t="s">
        <v>1134</v>
      </c>
      <c r="D1825" t="s">
        <v>1979</v>
      </c>
      <c r="E1825" t="s">
        <v>8</v>
      </c>
    </row>
    <row r="1826" spans="1:5" hidden="1" outlineLevel="2">
      <c r="A1826" s="3" t="e">
        <f>(HYPERLINK("http://www.autodoc.ru/Web/price/art/2923ASMH?analog=on","2923ASMH"))*1</f>
        <v>#VALUE!</v>
      </c>
      <c r="B1826" s="1">
        <v>6100996</v>
      </c>
      <c r="C1826" t="s">
        <v>19</v>
      </c>
      <c r="D1826" t="s">
        <v>1980</v>
      </c>
      <c r="E1826" t="s">
        <v>21</v>
      </c>
    </row>
    <row r="1827" spans="1:5" hidden="1" outlineLevel="2">
      <c r="A1827" s="3" t="e">
        <f>(HYPERLINK("http://www.autodoc.ru/Web/price/art/2923LGNH5RDW?analog=on","2923LGNH5RDW"))*1</f>
        <v>#VALUE!</v>
      </c>
      <c r="B1827" s="1">
        <v>6992461</v>
      </c>
      <c r="C1827" t="s">
        <v>1134</v>
      </c>
      <c r="D1827" t="s">
        <v>1981</v>
      </c>
      <c r="E1827" t="s">
        <v>10</v>
      </c>
    </row>
    <row r="1828" spans="1:5" hidden="1" outlineLevel="2">
      <c r="A1828" s="3" t="e">
        <f>(HYPERLINK("http://www.autodoc.ru/Web/price/art/2923RGNH5FDW?analog=on","2923RGNH5FDW"))*1</f>
        <v>#VALUE!</v>
      </c>
      <c r="B1828" s="1">
        <v>6992460</v>
      </c>
      <c r="C1828" t="s">
        <v>1134</v>
      </c>
      <c r="D1828" t="s">
        <v>1982</v>
      </c>
      <c r="E1828" t="s">
        <v>10</v>
      </c>
    </row>
    <row r="1829" spans="1:5" hidden="1" outlineLevel="2">
      <c r="A1829" s="3" t="e">
        <f>(HYPERLINK("http://www.autodoc.ru/Web/price/art/2923RGNH5RDW?analog=on","2923RGNH5RDW"))*1</f>
        <v>#VALUE!</v>
      </c>
      <c r="B1829" s="1">
        <v>6992462</v>
      </c>
      <c r="C1829" t="s">
        <v>1134</v>
      </c>
      <c r="D1829" t="s">
        <v>1983</v>
      </c>
      <c r="E1829" t="s">
        <v>10</v>
      </c>
    </row>
    <row r="1830" spans="1:5" hidden="1" outlineLevel="1">
      <c r="A1830" s="2">
        <v>0</v>
      </c>
      <c r="B1830" s="26" t="s">
        <v>1984</v>
      </c>
      <c r="C1830" s="27">
        <v>0</v>
      </c>
      <c r="D1830" s="27">
        <v>0</v>
      </c>
      <c r="E1830" s="27">
        <v>0</v>
      </c>
    </row>
    <row r="1831" spans="1:5" hidden="1" outlineLevel="2">
      <c r="A1831" s="3" t="e">
        <f>(HYPERLINK("http://www.autodoc.ru/Web/price/art/2914ABL?analog=on","2914ABL"))*1</f>
        <v>#VALUE!</v>
      </c>
      <c r="B1831" s="1">
        <v>6963543</v>
      </c>
      <c r="C1831" t="s">
        <v>102</v>
      </c>
      <c r="D1831" t="s">
        <v>1985</v>
      </c>
      <c r="E1831" t="s">
        <v>8</v>
      </c>
    </row>
    <row r="1832" spans="1:5" hidden="1" outlineLevel="2">
      <c r="A1832" s="3" t="e">
        <f>(HYPERLINK("http://www.autodoc.ru/Web/price/art/2914ASRR?analog=on","2914ASRR"))*1</f>
        <v>#VALUE!</v>
      </c>
      <c r="B1832" s="1">
        <v>6101027</v>
      </c>
      <c r="C1832" t="s">
        <v>19</v>
      </c>
      <c r="D1832" t="s">
        <v>1986</v>
      </c>
      <c r="E1832" t="s">
        <v>21</v>
      </c>
    </row>
    <row r="1833" spans="1:5" hidden="1" outlineLevel="1">
      <c r="A1833" s="2">
        <v>0</v>
      </c>
      <c r="B1833" s="26" t="s">
        <v>1987</v>
      </c>
      <c r="C1833" s="27">
        <v>0</v>
      </c>
      <c r="D1833" s="27">
        <v>0</v>
      </c>
      <c r="E1833" s="27">
        <v>0</v>
      </c>
    </row>
    <row r="1834" spans="1:5" hidden="1" outlineLevel="2">
      <c r="A1834" s="3" t="e">
        <f>(HYPERLINK("http://www.autodoc.ru/Web/price/art/2922AGN?analog=on","2922AGN"))*1</f>
        <v>#VALUE!</v>
      </c>
      <c r="B1834" s="1">
        <v>6963208</v>
      </c>
      <c r="C1834" t="s">
        <v>1988</v>
      </c>
      <c r="D1834" t="s">
        <v>1989</v>
      </c>
      <c r="E1834" t="s">
        <v>8</v>
      </c>
    </row>
    <row r="1835" spans="1:5" hidden="1" outlineLevel="2">
      <c r="A1835" s="3" t="e">
        <f>(HYPERLINK("http://www.autodoc.ru/Web/price/art/2922AGNGN?analog=on","2922AGNGN"))*1</f>
        <v>#VALUE!</v>
      </c>
      <c r="B1835" s="1">
        <v>6960698</v>
      </c>
      <c r="C1835" t="s">
        <v>1988</v>
      </c>
      <c r="D1835" t="s">
        <v>1990</v>
      </c>
      <c r="E1835" t="s">
        <v>8</v>
      </c>
    </row>
    <row r="1836" spans="1:5" hidden="1" outlineLevel="2">
      <c r="A1836" s="3" t="e">
        <f>(HYPERLINK("http://www.autodoc.ru/Web/price/art/2922ASMR?analog=on","2922ASMR"))*1</f>
        <v>#VALUE!</v>
      </c>
      <c r="B1836" s="1">
        <v>6100590</v>
      </c>
      <c r="C1836" t="s">
        <v>19</v>
      </c>
      <c r="D1836" t="s">
        <v>1991</v>
      </c>
      <c r="E1836" t="s">
        <v>21</v>
      </c>
    </row>
    <row r="1837" spans="1:5" hidden="1" outlineLevel="2">
      <c r="A1837" s="3" t="e">
        <f>(HYPERLINK("http://www.autodoc.ru/Web/price/art/2922LGNR5FDW?analog=on","2922LGNR5FDW"))*1</f>
        <v>#VALUE!</v>
      </c>
      <c r="B1837" s="1">
        <v>6992463</v>
      </c>
      <c r="C1837" t="s">
        <v>1988</v>
      </c>
      <c r="D1837" t="s">
        <v>1992</v>
      </c>
      <c r="E1837" t="s">
        <v>10</v>
      </c>
    </row>
    <row r="1838" spans="1:5" hidden="1" outlineLevel="2">
      <c r="A1838" s="3" t="e">
        <f>(HYPERLINK("http://www.autodoc.ru/Web/price/art/2922RGNR5FDW?analog=on","2922RGNR5FDW"))*1</f>
        <v>#VALUE!</v>
      </c>
      <c r="B1838" s="1">
        <v>6992464</v>
      </c>
      <c r="C1838" t="s">
        <v>1988</v>
      </c>
      <c r="D1838" t="s">
        <v>1993</v>
      </c>
      <c r="E1838" t="s">
        <v>10</v>
      </c>
    </row>
    <row r="1839" spans="1:5" hidden="1" outlineLevel="2">
      <c r="A1839" s="3" t="e">
        <f>(HYPERLINK("http://www.autodoc.ru/Web/price/art/2922RGNR5RDW?analog=on","2922RGNR5RDW"))*1</f>
        <v>#VALUE!</v>
      </c>
      <c r="B1839" s="1">
        <v>6980407</v>
      </c>
      <c r="C1839" t="s">
        <v>1988</v>
      </c>
      <c r="D1839" t="s">
        <v>1994</v>
      </c>
      <c r="E1839" t="s">
        <v>10</v>
      </c>
    </row>
    <row r="1840" spans="1:5" hidden="1" outlineLevel="1">
      <c r="A1840" s="2">
        <v>0</v>
      </c>
      <c r="B1840" s="26" t="s">
        <v>1995</v>
      </c>
      <c r="C1840" s="27">
        <v>0</v>
      </c>
      <c r="D1840" s="27">
        <v>0</v>
      </c>
      <c r="E1840" s="27">
        <v>0</v>
      </c>
    </row>
    <row r="1841" spans="1:5" hidden="1" outlineLevel="2">
      <c r="A1841" s="3" t="e">
        <f>(HYPERLINK("http://www.autodoc.ru/Web/price/art/2926AGN?analog=on","2926AGN"))*1</f>
        <v>#VALUE!</v>
      </c>
      <c r="B1841" s="1">
        <v>6960848</v>
      </c>
      <c r="C1841" t="s">
        <v>554</v>
      </c>
      <c r="D1841" t="s">
        <v>1996</v>
      </c>
      <c r="E1841" t="s">
        <v>8</v>
      </c>
    </row>
    <row r="1842" spans="1:5" collapsed="1">
      <c r="A1842" s="28" t="s">
        <v>1997</v>
      </c>
      <c r="B1842" s="28">
        <v>0</v>
      </c>
      <c r="C1842" s="28">
        <v>0</v>
      </c>
      <c r="D1842" s="28">
        <v>0</v>
      </c>
      <c r="E1842" s="28">
        <v>0</v>
      </c>
    </row>
    <row r="1843" spans="1:5" hidden="1" outlineLevel="1">
      <c r="A1843" s="2">
        <v>0</v>
      </c>
      <c r="B1843" s="26" t="s">
        <v>1998</v>
      </c>
      <c r="C1843" s="27">
        <v>0</v>
      </c>
      <c r="D1843" s="27">
        <v>0</v>
      </c>
      <c r="E1843" s="27">
        <v>0</v>
      </c>
    </row>
    <row r="1844" spans="1:5" hidden="1" outlineLevel="2">
      <c r="A1844" s="3" t="e">
        <f>(HYPERLINK("http://www.autodoc.ru/Web/price/art/AD49AGNV?analog=on","AD49AGNV"))*1</f>
        <v>#VALUE!</v>
      </c>
      <c r="B1844" s="1">
        <v>6963044</v>
      </c>
      <c r="C1844" t="s">
        <v>290</v>
      </c>
      <c r="D1844" t="s">
        <v>1999</v>
      </c>
      <c r="E1844" t="s">
        <v>8</v>
      </c>
    </row>
    <row r="1845" spans="1:5" hidden="1" outlineLevel="1">
      <c r="A1845" s="2">
        <v>0</v>
      </c>
      <c r="B1845" s="26" t="s">
        <v>2000</v>
      </c>
      <c r="C1845" s="27">
        <v>0</v>
      </c>
      <c r="D1845" s="27">
        <v>0</v>
      </c>
      <c r="E1845" s="27">
        <v>0</v>
      </c>
    </row>
    <row r="1846" spans="1:5" hidden="1" outlineLevel="2">
      <c r="A1846" s="3" t="e">
        <f>(HYPERLINK("http://www.autodoc.ru/Web/price/art/AD47AGN?analog=on","AD47AGN"))*1</f>
        <v>#VALUE!</v>
      </c>
      <c r="B1846" s="1">
        <v>6962433</v>
      </c>
      <c r="C1846" t="s">
        <v>290</v>
      </c>
      <c r="D1846" t="s">
        <v>2001</v>
      </c>
      <c r="E1846" t="s">
        <v>8</v>
      </c>
    </row>
    <row r="1847" spans="1:5" hidden="1" outlineLevel="2">
      <c r="A1847" s="3" t="e">
        <f>(HYPERLINK("http://www.autodoc.ru/Web/price/art/AD47BGNM?analog=on","AD47BGNM"))*1</f>
        <v>#VALUE!</v>
      </c>
      <c r="B1847" s="1">
        <v>6999494</v>
      </c>
      <c r="C1847" t="s">
        <v>290</v>
      </c>
      <c r="D1847" t="s">
        <v>2002</v>
      </c>
      <c r="E1847" t="s">
        <v>23</v>
      </c>
    </row>
    <row r="1848" spans="1:5" hidden="1" outlineLevel="2">
      <c r="A1848" s="3" t="e">
        <f>(HYPERLINK("http://www.autodoc.ru/Web/price/art/AD47LGNM5FD?analog=on","AD47LGNM5FD"))*1</f>
        <v>#VALUE!</v>
      </c>
      <c r="B1848" s="1">
        <v>6999938</v>
      </c>
      <c r="C1848" t="s">
        <v>290</v>
      </c>
      <c r="D1848" t="s">
        <v>2003</v>
      </c>
      <c r="E1848" t="s">
        <v>10</v>
      </c>
    </row>
    <row r="1849" spans="1:5" hidden="1" outlineLevel="2">
      <c r="A1849" s="3" t="e">
        <f>(HYPERLINK("http://www.autodoc.ru/Web/price/art/AD47LGNM5RD?analog=on","AD47LGNM5RD"))*1</f>
        <v>#VALUE!</v>
      </c>
      <c r="B1849" s="1">
        <v>6900133</v>
      </c>
      <c r="C1849" t="s">
        <v>290</v>
      </c>
      <c r="D1849" t="s">
        <v>2004</v>
      </c>
      <c r="E1849" t="s">
        <v>10</v>
      </c>
    </row>
    <row r="1850" spans="1:5" hidden="1" outlineLevel="2">
      <c r="A1850" s="3" t="e">
        <f>(HYPERLINK("http://www.autodoc.ru/Web/price/art/AD47RGNM5FD?analog=on","AD47RGNM5FD"))*1</f>
        <v>#VALUE!</v>
      </c>
      <c r="B1850" s="1">
        <v>6900028</v>
      </c>
      <c r="C1850" t="s">
        <v>290</v>
      </c>
      <c r="D1850" t="s">
        <v>2005</v>
      </c>
      <c r="E1850" t="s">
        <v>10</v>
      </c>
    </row>
    <row r="1851" spans="1:5" hidden="1" outlineLevel="2">
      <c r="A1851" s="3" t="e">
        <f>(HYPERLINK("http://www.autodoc.ru/Web/price/art/AD47RGNM5RD?analog=on","AD47RGNM5RD"))*1</f>
        <v>#VALUE!</v>
      </c>
      <c r="B1851" s="1">
        <v>6900368</v>
      </c>
      <c r="C1851" t="s">
        <v>290</v>
      </c>
      <c r="D1851" t="s">
        <v>2006</v>
      </c>
      <c r="E1851" t="s">
        <v>10</v>
      </c>
    </row>
    <row r="1852" spans="1:5" hidden="1" outlineLevel="1">
      <c r="A1852" s="2">
        <v>0</v>
      </c>
      <c r="B1852" s="26" t="s">
        <v>2007</v>
      </c>
      <c r="C1852" s="27">
        <v>0</v>
      </c>
      <c r="D1852" s="27">
        <v>0</v>
      </c>
      <c r="E1852" s="27">
        <v>0</v>
      </c>
    </row>
    <row r="1853" spans="1:5" hidden="1" outlineLevel="2">
      <c r="A1853" s="3" t="e">
        <f>(HYPERLINK("http://www.autodoc.ru/Web/price/art/AD46AGSV?analog=on","AD46AGSV"))*1</f>
        <v>#VALUE!</v>
      </c>
      <c r="B1853" s="1">
        <v>6190929</v>
      </c>
      <c r="C1853" t="s">
        <v>366</v>
      </c>
      <c r="D1853" t="s">
        <v>2008</v>
      </c>
      <c r="E1853" t="s">
        <v>8</v>
      </c>
    </row>
    <row r="1854" spans="1:5" hidden="1" outlineLevel="1">
      <c r="A1854" s="2">
        <v>0</v>
      </c>
      <c r="B1854" s="26" t="s">
        <v>2009</v>
      </c>
      <c r="C1854" s="27">
        <v>0</v>
      </c>
      <c r="D1854" s="27">
        <v>0</v>
      </c>
      <c r="E1854" s="27">
        <v>0</v>
      </c>
    </row>
    <row r="1855" spans="1:5" hidden="1" outlineLevel="2">
      <c r="A1855" s="3" t="e">
        <f>(HYPERLINK("http://www.autodoc.ru/Web/price/art/AD48AGSV?analog=on","AD48AGSV"))*1</f>
        <v>#VALUE!</v>
      </c>
      <c r="B1855" s="1">
        <v>6963045</v>
      </c>
      <c r="C1855" t="s">
        <v>290</v>
      </c>
      <c r="D1855" t="s">
        <v>2010</v>
      </c>
      <c r="E1855" t="s">
        <v>8</v>
      </c>
    </row>
    <row r="1856" spans="1:5" hidden="1" outlineLevel="2">
      <c r="A1856" s="3" t="e">
        <f>(HYPERLINK("http://www.autodoc.ru/Web/price/art/AD48LGSR5FD?analog=on","AD48LGSR5FD"))*1</f>
        <v>#VALUE!</v>
      </c>
      <c r="B1856" s="1">
        <v>6900637</v>
      </c>
      <c r="C1856" t="s">
        <v>290</v>
      </c>
      <c r="D1856" t="s">
        <v>2011</v>
      </c>
      <c r="E1856" t="s">
        <v>10</v>
      </c>
    </row>
    <row r="1857" spans="1:5" hidden="1" outlineLevel="2">
      <c r="A1857" s="3" t="e">
        <f>(HYPERLINK("http://www.autodoc.ru/Web/price/art/AD48RGSR5FD?analog=on","AD48RGSR5FD"))*1</f>
        <v>#VALUE!</v>
      </c>
      <c r="B1857" s="1">
        <v>6900636</v>
      </c>
      <c r="C1857" t="s">
        <v>290</v>
      </c>
      <c r="D1857" t="s">
        <v>2012</v>
      </c>
      <c r="E1857" t="s">
        <v>10</v>
      </c>
    </row>
    <row r="1858" spans="1:5" collapsed="1">
      <c r="A1858" s="28" t="s">
        <v>2013</v>
      </c>
      <c r="B1858" s="28">
        <v>0</v>
      </c>
      <c r="C1858" s="28">
        <v>0</v>
      </c>
      <c r="D1858" s="28">
        <v>0</v>
      </c>
      <c r="E1858" s="28">
        <v>0</v>
      </c>
    </row>
    <row r="1859" spans="1:5" hidden="1" outlineLevel="1">
      <c r="A1859" s="2">
        <v>0</v>
      </c>
      <c r="B1859" s="26" t="s">
        <v>2014</v>
      </c>
      <c r="C1859" s="27">
        <v>0</v>
      </c>
      <c r="D1859" s="27">
        <v>0</v>
      </c>
      <c r="E1859" s="27">
        <v>0</v>
      </c>
    </row>
    <row r="1860" spans="1:5" hidden="1" outlineLevel="2">
      <c r="A1860" s="3" t="e">
        <f>(HYPERLINK("http://www.autodoc.ru/Web/price/art/9251ACL?analog=on","9251ACL"))*1</f>
        <v>#VALUE!</v>
      </c>
      <c r="B1860" s="1">
        <v>6190228</v>
      </c>
      <c r="C1860" t="s">
        <v>421</v>
      </c>
      <c r="D1860" t="s">
        <v>2015</v>
      </c>
      <c r="E1860" t="s">
        <v>8</v>
      </c>
    </row>
    <row r="1861" spans="1:5" collapsed="1">
      <c r="A1861" s="28" t="s">
        <v>2016</v>
      </c>
      <c r="B1861" s="28">
        <v>0</v>
      </c>
      <c r="C1861" s="28">
        <v>0</v>
      </c>
      <c r="D1861" s="28">
        <v>0</v>
      </c>
      <c r="E1861" s="28">
        <v>0</v>
      </c>
    </row>
    <row r="1862" spans="1:5" hidden="1" outlineLevel="1">
      <c r="A1862" s="2">
        <v>0</v>
      </c>
      <c r="B1862" s="26" t="s">
        <v>2017</v>
      </c>
      <c r="C1862" s="27">
        <v>0</v>
      </c>
      <c r="D1862" s="27">
        <v>0</v>
      </c>
      <c r="E1862" s="27">
        <v>0</v>
      </c>
    </row>
    <row r="1863" spans="1:5" hidden="1" outlineLevel="2">
      <c r="A1863" s="3" t="e">
        <f>(HYPERLINK("http://www.autodoc.ru/Web/price/art/3131AGSMVZ?analog=on","3131AGSMVZ"))*1</f>
        <v>#VALUE!</v>
      </c>
      <c r="B1863" s="1">
        <v>6960495</v>
      </c>
      <c r="C1863" t="s">
        <v>890</v>
      </c>
      <c r="D1863" t="s">
        <v>2018</v>
      </c>
      <c r="E1863" t="s">
        <v>8</v>
      </c>
    </row>
    <row r="1864" spans="1:5" collapsed="1">
      <c r="A1864" s="28" t="s">
        <v>1815</v>
      </c>
      <c r="B1864" s="28">
        <v>0</v>
      </c>
      <c r="C1864" s="28">
        <v>0</v>
      </c>
      <c r="D1864" s="28">
        <v>0</v>
      </c>
      <c r="E1864" s="28">
        <v>0</v>
      </c>
    </row>
    <row r="1865" spans="1:5" hidden="1" outlineLevel="1">
      <c r="A1865" s="2">
        <v>0</v>
      </c>
      <c r="B1865" s="26" t="s">
        <v>2019</v>
      </c>
      <c r="C1865" s="27">
        <v>0</v>
      </c>
      <c r="D1865" s="27">
        <v>0</v>
      </c>
      <c r="E1865" s="27">
        <v>0</v>
      </c>
    </row>
    <row r="1866" spans="1:5" hidden="1" outlineLevel="2">
      <c r="A1866" s="3" t="e">
        <f>(HYPERLINK("http://www.autodoc.ru/Web/price/art/3328ACL?analog=on","3328ACL"))*1</f>
        <v>#VALUE!</v>
      </c>
      <c r="B1866" s="1">
        <v>6960003</v>
      </c>
      <c r="C1866" t="s">
        <v>2020</v>
      </c>
      <c r="D1866" t="s">
        <v>2021</v>
      </c>
      <c r="E1866" t="s">
        <v>8</v>
      </c>
    </row>
    <row r="1867" spans="1:5" hidden="1" outlineLevel="1">
      <c r="A1867" s="2">
        <v>0</v>
      </c>
      <c r="B1867" s="26" t="s">
        <v>2022</v>
      </c>
      <c r="C1867" s="27">
        <v>0</v>
      </c>
      <c r="D1867" s="27">
        <v>0</v>
      </c>
      <c r="E1867" s="27">
        <v>0</v>
      </c>
    </row>
    <row r="1868" spans="1:5" hidden="1" outlineLevel="2">
      <c r="A1868" s="3" t="e">
        <f>(HYPERLINK("http://www.autodoc.ru/Web/price/art/3324ACL?analog=on","3324ACL"))*1</f>
        <v>#VALUE!</v>
      </c>
      <c r="B1868" s="1">
        <v>6960026</v>
      </c>
      <c r="C1868" t="s">
        <v>2023</v>
      </c>
      <c r="D1868" t="s">
        <v>2024</v>
      </c>
      <c r="E1868" t="s">
        <v>8</v>
      </c>
    </row>
    <row r="1869" spans="1:5" hidden="1" outlineLevel="1">
      <c r="A1869" s="2">
        <v>0</v>
      </c>
      <c r="B1869" s="26" t="s">
        <v>2025</v>
      </c>
      <c r="C1869" s="27">
        <v>0</v>
      </c>
      <c r="D1869" s="27">
        <v>0</v>
      </c>
      <c r="E1869" s="27">
        <v>0</v>
      </c>
    </row>
    <row r="1870" spans="1:5" hidden="1" outlineLevel="2">
      <c r="A1870" s="3" t="e">
        <f>(HYPERLINK("http://www.autodoc.ru/Web/price/art/3366AGSZ?analog=on","3366AGSZ"))*1</f>
        <v>#VALUE!</v>
      </c>
      <c r="B1870" s="1">
        <v>6962543</v>
      </c>
      <c r="C1870" t="s">
        <v>290</v>
      </c>
      <c r="D1870" t="s">
        <v>2026</v>
      </c>
      <c r="E1870" t="s">
        <v>8</v>
      </c>
    </row>
    <row r="1871" spans="1:5" hidden="1" outlineLevel="2">
      <c r="A1871" s="3" t="e">
        <f>(HYPERLINK("http://www.autodoc.ru/Web/price/art/3366AGSZ1V?analog=on","3366AGSZ1V"))*1</f>
        <v>#VALUE!</v>
      </c>
      <c r="B1871" s="1">
        <v>6962544</v>
      </c>
      <c r="C1871" t="s">
        <v>290</v>
      </c>
      <c r="D1871" t="s">
        <v>2027</v>
      </c>
      <c r="E1871" t="s">
        <v>8</v>
      </c>
    </row>
    <row r="1872" spans="1:5" hidden="1" outlineLevel="2">
      <c r="A1872" s="3" t="e">
        <f>(HYPERLINK("http://www.autodoc.ru/Web/price/art/3366BGSHB?analog=on","3366BGSHB"))*1</f>
        <v>#VALUE!</v>
      </c>
      <c r="B1872" s="1">
        <v>6900814</v>
      </c>
      <c r="C1872" t="s">
        <v>290</v>
      </c>
      <c r="D1872" t="s">
        <v>2028</v>
      </c>
      <c r="E1872" t="s">
        <v>23</v>
      </c>
    </row>
    <row r="1873" spans="1:5" hidden="1" outlineLevel="2">
      <c r="A1873" s="3" t="e">
        <f>(HYPERLINK("http://www.autodoc.ru/Web/price/art/3366LGSH3FDW?analog=on","3366LGSH3FDW"))*1</f>
        <v>#VALUE!</v>
      </c>
      <c r="B1873" s="1">
        <v>6900602</v>
      </c>
      <c r="C1873" t="s">
        <v>290</v>
      </c>
      <c r="D1873" t="s">
        <v>2029</v>
      </c>
      <c r="E1873" t="s">
        <v>10</v>
      </c>
    </row>
    <row r="1874" spans="1:5" hidden="1" outlineLevel="2">
      <c r="A1874" s="3" t="e">
        <f>(HYPERLINK("http://www.autodoc.ru/Web/price/art/3366RGSH3FDW?analog=on","3366RGSH3FDW"))*1</f>
        <v>#VALUE!</v>
      </c>
      <c r="B1874" s="1">
        <v>6900601</v>
      </c>
      <c r="C1874" t="s">
        <v>290</v>
      </c>
      <c r="D1874" t="s">
        <v>2030</v>
      </c>
      <c r="E1874" t="s">
        <v>10</v>
      </c>
    </row>
    <row r="1875" spans="1:5" hidden="1" outlineLevel="1">
      <c r="A1875" s="2">
        <v>0</v>
      </c>
      <c r="B1875" s="26" t="s">
        <v>2031</v>
      </c>
      <c r="C1875" s="27">
        <v>0</v>
      </c>
      <c r="D1875" s="27">
        <v>0</v>
      </c>
      <c r="E1875" s="27">
        <v>0</v>
      </c>
    </row>
    <row r="1876" spans="1:5" hidden="1" outlineLevel="2">
      <c r="A1876" s="3" t="e">
        <f>(HYPERLINK("http://www.autodoc.ru/Web/price/art/3349AGN6Z?analog=on","3349AGN6Z"))*1</f>
        <v>#VALUE!</v>
      </c>
      <c r="B1876" s="1">
        <v>6961677</v>
      </c>
      <c r="C1876" t="s">
        <v>782</v>
      </c>
      <c r="D1876" t="s">
        <v>2032</v>
      </c>
      <c r="E1876" t="s">
        <v>8</v>
      </c>
    </row>
    <row r="1877" spans="1:5" hidden="1" outlineLevel="2">
      <c r="A1877" s="3" t="e">
        <f>(HYPERLINK("http://www.autodoc.ru/Web/price/art/3349AGSBL?analog=on","3349AGSBL"))*1</f>
        <v>#VALUE!</v>
      </c>
      <c r="B1877" s="1">
        <v>6963259</v>
      </c>
      <c r="C1877" t="s">
        <v>782</v>
      </c>
      <c r="D1877" t="s">
        <v>2033</v>
      </c>
      <c r="E1877" t="s">
        <v>8</v>
      </c>
    </row>
    <row r="1878" spans="1:5" hidden="1" outlineLevel="2">
      <c r="A1878" s="3" t="e">
        <f>(HYPERLINK("http://www.autodoc.ru/Web/price/art/3349ASME?analog=on","3349ASME"))*1</f>
        <v>#VALUE!</v>
      </c>
      <c r="B1878" s="1">
        <v>6100279</v>
      </c>
      <c r="C1878" t="s">
        <v>19</v>
      </c>
      <c r="D1878" t="s">
        <v>2034</v>
      </c>
      <c r="E1878" t="s">
        <v>21</v>
      </c>
    </row>
    <row r="1879" spans="1:5" hidden="1" outlineLevel="2">
      <c r="A1879" s="3" t="e">
        <f>(HYPERLINK("http://www.autodoc.ru/Web/price/art/3349RGSS4FD?analog=on","3349RGSS4FD"))*1</f>
        <v>#VALUE!</v>
      </c>
      <c r="B1879" s="1">
        <v>6994967</v>
      </c>
      <c r="C1879" t="s">
        <v>782</v>
      </c>
      <c r="D1879" t="s">
        <v>2035</v>
      </c>
      <c r="E1879" t="s">
        <v>10</v>
      </c>
    </row>
    <row r="1880" spans="1:5" hidden="1" outlineLevel="2">
      <c r="A1880" s="3" t="e">
        <f>(HYPERLINK("http://www.autodoc.ru/Web/price/art/3349LGSS4FD?analog=on","3349LGSS4FD"))*1</f>
        <v>#VALUE!</v>
      </c>
      <c r="B1880" s="1">
        <v>6994968</v>
      </c>
      <c r="C1880" t="s">
        <v>782</v>
      </c>
      <c r="D1880" t="s">
        <v>2036</v>
      </c>
      <c r="E1880" t="s">
        <v>10</v>
      </c>
    </row>
    <row r="1881" spans="1:5" hidden="1" outlineLevel="2">
      <c r="A1881" s="3" t="e">
        <f>(HYPERLINK("http://www.autodoc.ru/Web/price/art/3349RGSS4RD?analog=on","3349RGSS4RD"))*1</f>
        <v>#VALUE!</v>
      </c>
      <c r="B1881" s="1">
        <v>6994969</v>
      </c>
      <c r="C1881" t="s">
        <v>782</v>
      </c>
      <c r="D1881" t="s">
        <v>2037</v>
      </c>
      <c r="E1881" t="s">
        <v>10</v>
      </c>
    </row>
    <row r="1882" spans="1:5" hidden="1" outlineLevel="2">
      <c r="A1882" s="3" t="e">
        <f>(HYPERLINK("http://www.autodoc.ru/Web/price/art/3349LGSS4RD?analog=on","3349LGSS4RD"))*1</f>
        <v>#VALUE!</v>
      </c>
      <c r="B1882" s="1">
        <v>6994970</v>
      </c>
      <c r="C1882" t="s">
        <v>782</v>
      </c>
      <c r="D1882" t="s">
        <v>2038</v>
      </c>
      <c r="E1882" t="s">
        <v>10</v>
      </c>
    </row>
    <row r="1883" spans="1:5" hidden="1" outlineLevel="2">
      <c r="A1883" s="3" t="e">
        <f>(HYPERLINK("http://www.autodoc.ru/Web/price/art/3349BGNS1J?analog=on","3349BGNS1J"))*1</f>
        <v>#VALUE!</v>
      </c>
      <c r="B1883" s="1">
        <v>6994964</v>
      </c>
      <c r="C1883" t="s">
        <v>782</v>
      </c>
      <c r="D1883" t="s">
        <v>2039</v>
      </c>
      <c r="E1883" t="s">
        <v>23</v>
      </c>
    </row>
    <row r="1884" spans="1:5" hidden="1" outlineLevel="1">
      <c r="A1884" s="2">
        <v>0</v>
      </c>
      <c r="B1884" s="26" t="s">
        <v>2040</v>
      </c>
      <c r="C1884" s="27">
        <v>0</v>
      </c>
      <c r="D1884" s="27">
        <v>0</v>
      </c>
      <c r="E1884" s="27">
        <v>0</v>
      </c>
    </row>
    <row r="1885" spans="1:5" hidden="1" outlineLevel="2">
      <c r="A1885" s="3" t="e">
        <f>(HYPERLINK("http://www.autodoc.ru/Web/price/art/3347AGS?analog=on","3347AGS"))*1</f>
        <v>#VALUE!</v>
      </c>
      <c r="B1885" s="1">
        <v>6961220</v>
      </c>
      <c r="C1885" t="s">
        <v>901</v>
      </c>
      <c r="D1885" t="s">
        <v>2041</v>
      </c>
      <c r="E1885" t="s">
        <v>8</v>
      </c>
    </row>
    <row r="1886" spans="1:5" hidden="1" outlineLevel="2">
      <c r="A1886" s="3" t="e">
        <f>(HYPERLINK("http://www.autodoc.ru/Web/price/art/3347ASMT?analog=on","3347ASMT"))*1</f>
        <v>#VALUE!</v>
      </c>
      <c r="B1886" s="1">
        <v>6100058</v>
      </c>
      <c r="C1886" t="s">
        <v>19</v>
      </c>
      <c r="D1886" t="s">
        <v>2042</v>
      </c>
      <c r="E1886" t="s">
        <v>21</v>
      </c>
    </row>
    <row r="1887" spans="1:5" hidden="1" outlineLevel="2">
      <c r="A1887" s="3" t="e">
        <f>(HYPERLINK("http://www.autodoc.ru/Web/price/art/3347LGST2FD?analog=on","3347LGST2FD"))*1</f>
        <v>#VALUE!</v>
      </c>
      <c r="B1887" s="1">
        <v>6991117</v>
      </c>
      <c r="C1887" t="s">
        <v>901</v>
      </c>
      <c r="D1887" t="s">
        <v>2043</v>
      </c>
      <c r="E1887" t="s">
        <v>10</v>
      </c>
    </row>
    <row r="1888" spans="1:5" hidden="1" outlineLevel="2">
      <c r="A1888" s="3" t="e">
        <f>(HYPERLINK("http://www.autodoc.ru/Web/price/art/3347RGST2FD?analog=on","3347RGST2FD"))*1</f>
        <v>#VALUE!</v>
      </c>
      <c r="B1888" s="1">
        <v>6991116</v>
      </c>
      <c r="C1888" t="s">
        <v>901</v>
      </c>
      <c r="D1888" t="s">
        <v>2044</v>
      </c>
      <c r="E1888" t="s">
        <v>10</v>
      </c>
    </row>
    <row r="1889" spans="1:5" hidden="1" outlineLevel="1">
      <c r="A1889" s="2">
        <v>0</v>
      </c>
      <c r="B1889" s="26" t="s">
        <v>2045</v>
      </c>
      <c r="C1889" s="27">
        <v>0</v>
      </c>
      <c r="D1889" s="27">
        <v>0</v>
      </c>
      <c r="E1889" s="27">
        <v>0</v>
      </c>
    </row>
    <row r="1890" spans="1:5" hidden="1" outlineLevel="2">
      <c r="A1890" s="3" t="e">
        <f>(HYPERLINK("http://www.autodoc.ru/Web/price/art/3348AGNBL1B?analog=on","3348AGNBL1B"))*1</f>
        <v>#VALUE!</v>
      </c>
      <c r="B1890" s="1">
        <v>6963781</v>
      </c>
      <c r="C1890" t="s">
        <v>36</v>
      </c>
      <c r="D1890" t="s">
        <v>2046</v>
      </c>
      <c r="E1890" t="s">
        <v>8</v>
      </c>
    </row>
    <row r="1891" spans="1:5" hidden="1" outlineLevel="2">
      <c r="A1891" s="3" t="e">
        <f>(HYPERLINK("http://www.autodoc.ru/Web/price/art/3348AGNGN?analog=on","3348AGNGN"))*1</f>
        <v>#VALUE!</v>
      </c>
      <c r="B1891" s="1">
        <v>6963782</v>
      </c>
      <c r="C1891" t="s">
        <v>36</v>
      </c>
      <c r="D1891" t="s">
        <v>2047</v>
      </c>
      <c r="E1891" t="s">
        <v>8</v>
      </c>
    </row>
    <row r="1892" spans="1:5" hidden="1" outlineLevel="2">
      <c r="A1892" s="3" t="e">
        <f>(HYPERLINK("http://www.autodoc.ru/Web/price/art/3348AGS1B?analog=on","3348AGS1B"))*1</f>
        <v>#VALUE!</v>
      </c>
      <c r="B1892" s="1">
        <v>6960049</v>
      </c>
      <c r="C1892" t="s">
        <v>36</v>
      </c>
      <c r="D1892" t="s">
        <v>2048</v>
      </c>
      <c r="E1892" t="s">
        <v>8</v>
      </c>
    </row>
    <row r="1893" spans="1:5" hidden="1" outlineLevel="2">
      <c r="A1893" s="3" t="e">
        <f>(HYPERLINK("http://www.autodoc.ru/Web/price/art/3348ASMH?analog=on","3348ASMH"))*1</f>
        <v>#VALUE!</v>
      </c>
      <c r="B1893" s="1">
        <v>6100059</v>
      </c>
      <c r="C1893" t="s">
        <v>19</v>
      </c>
      <c r="D1893" t="s">
        <v>2049</v>
      </c>
      <c r="E1893" t="s">
        <v>21</v>
      </c>
    </row>
    <row r="1894" spans="1:5" hidden="1" outlineLevel="2">
      <c r="A1894" s="3" t="e">
        <f>(HYPERLINK("http://www.autodoc.ru/Web/price/art/3348BGSEBW1J?analog=on","3348BGSEBW1J"))*1</f>
        <v>#VALUE!</v>
      </c>
      <c r="B1894" s="1">
        <v>6996166</v>
      </c>
      <c r="C1894" t="s">
        <v>36</v>
      </c>
      <c r="D1894" t="s">
        <v>2050</v>
      </c>
      <c r="E1894" t="s">
        <v>23</v>
      </c>
    </row>
    <row r="1895" spans="1:5" hidden="1" outlineLevel="2">
      <c r="A1895" s="3" t="e">
        <f>(HYPERLINK("http://www.autodoc.ru/Web/price/art/3348BGSEBZ?analog=on","3348BGSEBZ"))*1</f>
        <v>#VALUE!</v>
      </c>
      <c r="B1895" s="1">
        <v>6998885</v>
      </c>
      <c r="C1895" t="s">
        <v>36</v>
      </c>
      <c r="D1895" t="s">
        <v>2051</v>
      </c>
      <c r="E1895" t="s">
        <v>23</v>
      </c>
    </row>
    <row r="1896" spans="1:5" hidden="1" outlineLevel="2">
      <c r="A1896" s="3" t="e">
        <f>(HYPERLINK("http://www.autodoc.ru/Web/price/art/3348BGSH1J?analog=on","3348BGSH1J"))*1</f>
        <v>#VALUE!</v>
      </c>
      <c r="B1896" s="1">
        <v>6998723</v>
      </c>
      <c r="C1896" t="s">
        <v>36</v>
      </c>
      <c r="D1896" t="s">
        <v>2052</v>
      </c>
      <c r="E1896" t="s">
        <v>23</v>
      </c>
    </row>
    <row r="1897" spans="1:5" hidden="1" outlineLevel="2">
      <c r="A1897" s="3" t="e">
        <f>(HYPERLINK("http://www.autodoc.ru/Web/price/art/3348BGSHBZ?analog=on","3348BGSHBZ"))*1</f>
        <v>#VALUE!</v>
      </c>
      <c r="B1897" s="1">
        <v>6998724</v>
      </c>
      <c r="C1897" t="s">
        <v>36</v>
      </c>
      <c r="D1897" t="s">
        <v>2053</v>
      </c>
      <c r="E1897" t="s">
        <v>23</v>
      </c>
    </row>
    <row r="1898" spans="1:5" hidden="1" outlineLevel="2">
      <c r="A1898" s="3" t="e">
        <f>(HYPERLINK("http://www.autodoc.ru/Web/price/art/3348LGSE5RDW?analog=on","3348LGSE5RDW"))*1</f>
        <v>#VALUE!</v>
      </c>
      <c r="B1898" s="1">
        <v>6993622</v>
      </c>
      <c r="C1898" t="s">
        <v>36</v>
      </c>
      <c r="D1898" t="s">
        <v>2054</v>
      </c>
      <c r="E1898" t="s">
        <v>10</v>
      </c>
    </row>
    <row r="1899" spans="1:5" hidden="1" outlineLevel="2">
      <c r="A1899" s="3" t="e">
        <f>(HYPERLINK("http://www.autodoc.ru/Web/price/art/3348LGSH3FDW?analog=on","3348LGSH3FDW"))*1</f>
        <v>#VALUE!</v>
      </c>
      <c r="B1899" s="1">
        <v>6993631</v>
      </c>
      <c r="C1899" t="s">
        <v>36</v>
      </c>
      <c r="D1899" t="s">
        <v>2055</v>
      </c>
      <c r="E1899" t="s">
        <v>10</v>
      </c>
    </row>
    <row r="1900" spans="1:5" hidden="1" outlineLevel="2">
      <c r="A1900" s="3" t="e">
        <f>(HYPERLINK("http://www.autodoc.ru/Web/price/art/3348LGSH5FDW?analog=on","3348LGSH5FDW"))*1</f>
        <v>#VALUE!</v>
      </c>
      <c r="B1900" s="1">
        <v>6993618</v>
      </c>
      <c r="C1900" t="s">
        <v>36</v>
      </c>
      <c r="D1900" t="s">
        <v>2056</v>
      </c>
      <c r="E1900" t="s">
        <v>10</v>
      </c>
    </row>
    <row r="1901" spans="1:5" hidden="1" outlineLevel="2">
      <c r="A1901" s="3" t="e">
        <f>(HYPERLINK("http://www.autodoc.ru/Web/price/art/3348LGSH5RDW?analog=on","3348LGSH5RDW"))*1</f>
        <v>#VALUE!</v>
      </c>
      <c r="B1901" s="1">
        <v>6994377</v>
      </c>
      <c r="C1901" t="s">
        <v>36</v>
      </c>
      <c r="D1901" t="s">
        <v>2057</v>
      </c>
      <c r="E1901" t="s">
        <v>10</v>
      </c>
    </row>
    <row r="1902" spans="1:5" hidden="1" outlineLevel="2">
      <c r="A1902" s="3" t="e">
        <f>(HYPERLINK("http://www.autodoc.ru/Web/price/art/3348LGSS4RDW?analog=on","3348LGSS4RDW"))*1</f>
        <v>#VALUE!</v>
      </c>
      <c r="B1902" s="1">
        <v>6993620</v>
      </c>
      <c r="C1902" t="s">
        <v>36</v>
      </c>
      <c r="D1902" t="s">
        <v>2058</v>
      </c>
      <c r="E1902" t="s">
        <v>10</v>
      </c>
    </row>
    <row r="1903" spans="1:5" hidden="1" outlineLevel="2">
      <c r="A1903" s="3" t="e">
        <f>(HYPERLINK("http://www.autodoc.ru/Web/price/art/3348LGSS4RV?analog=on","3348LGSS4RV"))*1</f>
        <v>#VALUE!</v>
      </c>
      <c r="B1903" s="1">
        <v>6994378</v>
      </c>
      <c r="C1903" t="s">
        <v>36</v>
      </c>
      <c r="D1903" t="s">
        <v>2059</v>
      </c>
      <c r="E1903" t="s">
        <v>10</v>
      </c>
    </row>
    <row r="1904" spans="1:5" hidden="1" outlineLevel="2">
      <c r="A1904" s="3" t="e">
        <f>(HYPERLINK("http://www.autodoc.ru/Web/price/art/3348RGSE5RDW?analog=on","3348RGSE5RDW"))*1</f>
        <v>#VALUE!</v>
      </c>
      <c r="B1904" s="1">
        <v>6993621</v>
      </c>
      <c r="C1904" t="s">
        <v>36</v>
      </c>
      <c r="D1904" t="s">
        <v>2060</v>
      </c>
      <c r="E1904" t="s">
        <v>10</v>
      </c>
    </row>
    <row r="1905" spans="1:5" hidden="1" outlineLevel="2">
      <c r="A1905" s="3" t="e">
        <f>(HYPERLINK("http://www.autodoc.ru/Web/price/art/3348RGSH3FDW?analog=on","3348RGSH3FDW"))*1</f>
        <v>#VALUE!</v>
      </c>
      <c r="B1905" s="1">
        <v>6993630</v>
      </c>
      <c r="C1905" t="s">
        <v>36</v>
      </c>
      <c r="D1905" t="s">
        <v>2061</v>
      </c>
      <c r="E1905" t="s">
        <v>10</v>
      </c>
    </row>
    <row r="1906" spans="1:5" hidden="1" outlineLevel="2">
      <c r="A1906" s="3" t="e">
        <f>(HYPERLINK("http://www.autodoc.ru/Web/price/art/3348RGSH5FDW?analog=on","3348RGSH5FDW"))*1</f>
        <v>#VALUE!</v>
      </c>
      <c r="B1906" s="1">
        <v>6993617</v>
      </c>
      <c r="C1906" t="s">
        <v>36</v>
      </c>
      <c r="D1906" t="s">
        <v>2062</v>
      </c>
      <c r="E1906" t="s">
        <v>10</v>
      </c>
    </row>
    <row r="1907" spans="1:5" hidden="1" outlineLevel="2">
      <c r="A1907" s="3" t="e">
        <f>(HYPERLINK("http://www.autodoc.ru/Web/price/art/3348RGSH5RDW?analog=on","3348RGSH5RDW"))*1</f>
        <v>#VALUE!</v>
      </c>
      <c r="B1907" s="1">
        <v>6994379</v>
      </c>
      <c r="C1907" t="s">
        <v>36</v>
      </c>
      <c r="D1907" t="s">
        <v>2063</v>
      </c>
      <c r="E1907" t="s">
        <v>10</v>
      </c>
    </row>
    <row r="1908" spans="1:5" hidden="1" outlineLevel="2">
      <c r="A1908" s="3" t="e">
        <f>(HYPERLINK("http://www.autodoc.ru/Web/price/art/3348RGSS4RDW?analog=on","3348RGSS4RDW"))*1</f>
        <v>#VALUE!</v>
      </c>
      <c r="B1908" s="1">
        <v>6993619</v>
      </c>
      <c r="C1908" t="s">
        <v>36</v>
      </c>
      <c r="D1908" t="s">
        <v>2064</v>
      </c>
      <c r="E1908" t="s">
        <v>10</v>
      </c>
    </row>
    <row r="1909" spans="1:5" hidden="1" outlineLevel="2">
      <c r="A1909" s="3" t="e">
        <f>(HYPERLINK("http://www.autodoc.ru/Web/price/art/3348RGSS4RV?analog=on","3348RGSS4RV"))*1</f>
        <v>#VALUE!</v>
      </c>
      <c r="B1909" s="1">
        <v>6994380</v>
      </c>
      <c r="C1909" t="s">
        <v>36</v>
      </c>
      <c r="D1909" t="s">
        <v>2065</v>
      </c>
      <c r="E1909" t="s">
        <v>10</v>
      </c>
    </row>
    <row r="1910" spans="1:5" hidden="1" outlineLevel="1">
      <c r="A1910" s="2">
        <v>0</v>
      </c>
      <c r="B1910" s="26" t="s">
        <v>2066</v>
      </c>
      <c r="C1910" s="27">
        <v>0</v>
      </c>
      <c r="D1910" s="27">
        <v>0</v>
      </c>
      <c r="E1910" s="27">
        <v>0</v>
      </c>
    </row>
    <row r="1911" spans="1:5" hidden="1" outlineLevel="2">
      <c r="A1911" s="3" t="e">
        <f>(HYPERLINK("http://www.autodoc.ru/Web/price/art/3365AGSMZ1B?analog=on","3365AGSMZ1B"))*1</f>
        <v>#VALUE!</v>
      </c>
      <c r="B1911" s="1">
        <v>6962235</v>
      </c>
      <c r="C1911" t="s">
        <v>290</v>
      </c>
      <c r="D1911" t="s">
        <v>2067</v>
      </c>
      <c r="E1911" t="s">
        <v>8</v>
      </c>
    </row>
    <row r="1912" spans="1:5" hidden="1" outlineLevel="2">
      <c r="A1912" s="3" t="e">
        <f>(HYPERLINK("http://www.autodoc.ru/Web/price/art/3365AGSZ?analog=on","3365AGSZ"))*1</f>
        <v>#VALUE!</v>
      </c>
      <c r="B1912" s="1">
        <v>6962234</v>
      </c>
      <c r="C1912" t="s">
        <v>290</v>
      </c>
      <c r="D1912" t="s">
        <v>2068</v>
      </c>
      <c r="E1912" t="s">
        <v>8</v>
      </c>
    </row>
    <row r="1913" spans="1:5" hidden="1" outlineLevel="2">
      <c r="A1913" s="3" t="e">
        <f>(HYPERLINK("http://www.autodoc.ru/Web/price/art/3365BGSHZ?analog=on","3365BGSHZ"))*1</f>
        <v>#VALUE!</v>
      </c>
      <c r="B1913" s="1">
        <v>6900854</v>
      </c>
      <c r="C1913" t="s">
        <v>290</v>
      </c>
      <c r="D1913" t="s">
        <v>2069</v>
      </c>
      <c r="E1913" t="s">
        <v>23</v>
      </c>
    </row>
    <row r="1914" spans="1:5" hidden="1" outlineLevel="2">
      <c r="A1914" s="3" t="e">
        <f>(HYPERLINK("http://www.autodoc.ru/Web/price/art/3365LGSH5FDW?analog=on","3365LGSH5FDW"))*1</f>
        <v>#VALUE!</v>
      </c>
      <c r="B1914" s="1">
        <v>6900855</v>
      </c>
      <c r="C1914" t="s">
        <v>290</v>
      </c>
      <c r="D1914" t="s">
        <v>2070</v>
      </c>
      <c r="E1914" t="s">
        <v>10</v>
      </c>
    </row>
    <row r="1915" spans="1:5" hidden="1" outlineLevel="2">
      <c r="A1915" s="3" t="e">
        <f>(HYPERLINK("http://www.autodoc.ru/Web/price/art/3365LGSH5FDW1A?analog=on","3365LGSH5FDW1A"))*1</f>
        <v>#VALUE!</v>
      </c>
      <c r="B1915" s="1">
        <v>6900815</v>
      </c>
      <c r="C1915" t="s">
        <v>290</v>
      </c>
      <c r="D1915" t="s">
        <v>2071</v>
      </c>
      <c r="E1915" t="s">
        <v>10</v>
      </c>
    </row>
    <row r="1916" spans="1:5" hidden="1" outlineLevel="2">
      <c r="A1916" s="3" t="e">
        <f>(HYPERLINK("http://www.autodoc.ru/Web/price/art/3365RGSH5FDW1A?analog=on","3365RGSH5FDW1A"))*1</f>
        <v>#VALUE!</v>
      </c>
      <c r="B1916" s="1">
        <v>6900816</v>
      </c>
      <c r="C1916" t="s">
        <v>290</v>
      </c>
      <c r="D1916" t="s">
        <v>2072</v>
      </c>
      <c r="E1916" t="s">
        <v>10</v>
      </c>
    </row>
    <row r="1917" spans="1:5" hidden="1" outlineLevel="2">
      <c r="A1917" s="3" t="e">
        <f>(HYPERLINK("http://www.autodoc.ru/Web/price/art/3365RGSH5RDW?analog=on","3365RGSH5RDW"))*1</f>
        <v>#VALUE!</v>
      </c>
      <c r="B1917" s="1">
        <v>6900856</v>
      </c>
      <c r="C1917" t="s">
        <v>290</v>
      </c>
      <c r="D1917" t="s">
        <v>2073</v>
      </c>
      <c r="E1917" t="s">
        <v>10</v>
      </c>
    </row>
    <row r="1918" spans="1:5" hidden="1" outlineLevel="1">
      <c r="A1918" s="2">
        <v>0</v>
      </c>
      <c r="B1918" s="26" t="s">
        <v>2074</v>
      </c>
      <c r="C1918" s="27">
        <v>0</v>
      </c>
      <c r="D1918" s="27">
        <v>0</v>
      </c>
      <c r="E1918" s="27">
        <v>0</v>
      </c>
    </row>
    <row r="1919" spans="1:5" hidden="1" outlineLevel="2">
      <c r="A1919" s="3" t="e">
        <f>(HYPERLINK("http://www.autodoc.ru/Web/price/art/3340ACL?analog=on","3340ACL"))*1</f>
        <v>#VALUE!</v>
      </c>
      <c r="B1919" s="1">
        <v>6960010</v>
      </c>
      <c r="C1919" t="s">
        <v>58</v>
      </c>
      <c r="D1919" t="s">
        <v>2075</v>
      </c>
      <c r="E1919" t="s">
        <v>8</v>
      </c>
    </row>
    <row r="1920" spans="1:5" hidden="1" outlineLevel="2">
      <c r="A1920" s="3" t="e">
        <f>(HYPERLINK("http://www.autodoc.ru/Web/price/art/3340AGN?analog=on","3340AGN"))*1</f>
        <v>#VALUE!</v>
      </c>
      <c r="B1920" s="1">
        <v>6960012</v>
      </c>
      <c r="C1920" t="s">
        <v>58</v>
      </c>
      <c r="D1920" t="s">
        <v>2076</v>
      </c>
      <c r="E1920" t="s">
        <v>8</v>
      </c>
    </row>
    <row r="1921" spans="1:5" hidden="1" outlineLevel="2">
      <c r="A1921" s="3" t="e">
        <f>(HYPERLINK("http://www.autodoc.ru/Web/price/art/3340AGNGN?analog=on","3340AGNGN"))*1</f>
        <v>#VALUE!</v>
      </c>
      <c r="B1921" s="1">
        <v>6950054</v>
      </c>
      <c r="C1921" t="s">
        <v>58</v>
      </c>
      <c r="D1921" t="s">
        <v>2077</v>
      </c>
      <c r="E1921" t="s">
        <v>8</v>
      </c>
    </row>
    <row r="1922" spans="1:5" hidden="1" outlineLevel="2">
      <c r="A1922" s="3" t="e">
        <f>(HYPERLINK("http://www.autodoc.ru/Web/price/art/3340ASRH?analog=on","3340ASRH"))*1</f>
        <v>#VALUE!</v>
      </c>
      <c r="B1922" s="1">
        <v>6100277</v>
      </c>
      <c r="C1922" t="s">
        <v>19</v>
      </c>
      <c r="D1922" t="s">
        <v>2078</v>
      </c>
      <c r="E1922" t="s">
        <v>21</v>
      </c>
    </row>
    <row r="1923" spans="1:5" hidden="1" outlineLevel="2">
      <c r="A1923" s="3" t="e">
        <f>(HYPERLINK("http://www.autodoc.ru/Web/price/art/3340BGNH?analog=on","3340BGNH"))*1</f>
        <v>#VALUE!</v>
      </c>
      <c r="B1923" s="1">
        <v>6990240</v>
      </c>
      <c r="C1923" t="s">
        <v>58</v>
      </c>
      <c r="D1923" t="s">
        <v>2079</v>
      </c>
      <c r="E1923" t="s">
        <v>23</v>
      </c>
    </row>
    <row r="1924" spans="1:5" hidden="1" outlineLevel="2">
      <c r="A1924" s="3" t="e">
        <f>(HYPERLINK("http://www.autodoc.ru/Web/price/art/3340BSRH?analog=on","3340BSRH"))*1</f>
        <v>#VALUE!</v>
      </c>
      <c r="B1924" s="1">
        <v>6100416</v>
      </c>
      <c r="C1924" t="s">
        <v>19</v>
      </c>
      <c r="D1924" t="s">
        <v>2080</v>
      </c>
      <c r="E1924" t="s">
        <v>21</v>
      </c>
    </row>
    <row r="1925" spans="1:5" hidden="1" outlineLevel="2">
      <c r="A1925" s="3" t="e">
        <f>(HYPERLINK("http://www.autodoc.ru/Web/price/art/3340LGNH3FD?analog=on","3340LGNH3FD"))*1</f>
        <v>#VALUE!</v>
      </c>
      <c r="B1925" s="1">
        <v>6990242</v>
      </c>
      <c r="C1925" t="s">
        <v>58</v>
      </c>
      <c r="D1925" t="s">
        <v>2081</v>
      </c>
      <c r="E1925" t="s">
        <v>10</v>
      </c>
    </row>
    <row r="1926" spans="1:5" hidden="1" outlineLevel="2">
      <c r="A1926" s="3" t="e">
        <f>(HYPERLINK("http://www.autodoc.ru/Web/price/art/3340LGNH3RQO?analog=on","3340LGNH3RQO"))*1</f>
        <v>#VALUE!</v>
      </c>
      <c r="B1926" s="1">
        <v>6990249</v>
      </c>
      <c r="C1926" t="s">
        <v>58</v>
      </c>
      <c r="D1926" t="s">
        <v>2082</v>
      </c>
      <c r="E1926" t="s">
        <v>10</v>
      </c>
    </row>
    <row r="1927" spans="1:5" hidden="1" outlineLevel="2">
      <c r="A1927" s="3" t="e">
        <f>(HYPERLINK("http://www.autodoc.ru/Web/price/art/3340RGNH3FD?analog=on","3340RGNH3FD"))*1</f>
        <v>#VALUE!</v>
      </c>
      <c r="B1927" s="1">
        <v>6990241</v>
      </c>
      <c r="C1927" t="s">
        <v>58</v>
      </c>
      <c r="D1927" t="s">
        <v>2083</v>
      </c>
      <c r="E1927" t="s">
        <v>10</v>
      </c>
    </row>
    <row r="1928" spans="1:5" hidden="1" outlineLevel="2">
      <c r="A1928" s="3" t="e">
        <f>(HYPERLINK("http://www.autodoc.ru/Web/price/art/3340RGNH3RQO?analog=on","3340RGNH3RQO"))*1</f>
        <v>#VALUE!</v>
      </c>
      <c r="B1928" s="1">
        <v>6990248</v>
      </c>
      <c r="C1928" t="s">
        <v>58</v>
      </c>
      <c r="D1928" t="s">
        <v>2084</v>
      </c>
      <c r="E1928" t="s">
        <v>10</v>
      </c>
    </row>
    <row r="1929" spans="1:5" hidden="1" outlineLevel="1">
      <c r="A1929" s="2">
        <v>0</v>
      </c>
      <c r="B1929" s="26" t="s">
        <v>2085</v>
      </c>
      <c r="C1929" s="27">
        <v>0</v>
      </c>
      <c r="D1929" s="27">
        <v>0</v>
      </c>
      <c r="E1929" s="27">
        <v>0</v>
      </c>
    </row>
    <row r="1930" spans="1:5" hidden="1" outlineLevel="2">
      <c r="A1930" s="3" t="e">
        <f>(HYPERLINK("http://www.autodoc.ru/Web/price/art/3336ABS?analog=on","3336ABS"))*1</f>
        <v>#VALUE!</v>
      </c>
      <c r="B1930" s="1">
        <v>6960169</v>
      </c>
      <c r="C1930" t="s">
        <v>2086</v>
      </c>
      <c r="D1930" t="s">
        <v>2087</v>
      </c>
      <c r="E1930" t="s">
        <v>8</v>
      </c>
    </row>
    <row r="1931" spans="1:5" hidden="1" outlineLevel="2">
      <c r="A1931" s="3" t="e">
        <f>(HYPERLINK("http://www.autodoc.ru/Web/price/art/3336ABZ?analog=on","3336ABZ"))*1</f>
        <v>#VALUE!</v>
      </c>
      <c r="B1931" s="1">
        <v>6960066</v>
      </c>
      <c r="C1931" t="s">
        <v>2086</v>
      </c>
      <c r="D1931" t="s">
        <v>2088</v>
      </c>
      <c r="E1931" t="s">
        <v>8</v>
      </c>
    </row>
    <row r="1932" spans="1:5" hidden="1" outlineLevel="2">
      <c r="A1932" s="3" t="e">
        <f>(HYPERLINK("http://www.autodoc.ru/Web/price/art/3336AGN?analog=on","3336AGN"))*1</f>
        <v>#VALUE!</v>
      </c>
      <c r="B1932" s="1">
        <v>6960068</v>
      </c>
      <c r="C1932" t="s">
        <v>2086</v>
      </c>
      <c r="D1932" t="s">
        <v>2089</v>
      </c>
      <c r="E1932" t="s">
        <v>8</v>
      </c>
    </row>
    <row r="1933" spans="1:5" hidden="1" outlineLevel="2">
      <c r="A1933" s="3" t="e">
        <f>(HYPERLINK("http://www.autodoc.ru/Web/price/art/3336ASMH?analog=on","3336ASMH"))*1</f>
        <v>#VALUE!</v>
      </c>
      <c r="B1933" s="1">
        <v>6100046</v>
      </c>
      <c r="C1933" t="s">
        <v>19</v>
      </c>
      <c r="D1933" t="s">
        <v>2090</v>
      </c>
      <c r="E1933" t="s">
        <v>21</v>
      </c>
    </row>
    <row r="1934" spans="1:5" hidden="1" outlineLevel="2">
      <c r="A1934" s="3" t="e">
        <f>(HYPERLINK("http://www.autodoc.ru/Web/price/art/3336LBSH5RDW?analog=on","3336LBSH5RDW"))*1</f>
        <v>#VALUE!</v>
      </c>
      <c r="B1934" s="1">
        <v>6990079</v>
      </c>
      <c r="C1934" t="s">
        <v>2086</v>
      </c>
      <c r="D1934" t="s">
        <v>2091</v>
      </c>
      <c r="E1934" t="s">
        <v>10</v>
      </c>
    </row>
    <row r="1935" spans="1:5" hidden="1" outlineLevel="2">
      <c r="A1935" s="3" t="e">
        <f>(HYPERLINK("http://www.autodoc.ru/Web/price/art/3336LGNH5FDW?analog=on","3336LGNH5FDW"))*1</f>
        <v>#VALUE!</v>
      </c>
      <c r="B1935" s="1">
        <v>6990177</v>
      </c>
      <c r="C1935" t="s">
        <v>2086</v>
      </c>
      <c r="D1935" t="s">
        <v>2092</v>
      </c>
      <c r="E1935" t="s">
        <v>10</v>
      </c>
    </row>
    <row r="1936" spans="1:5" hidden="1" outlineLevel="2">
      <c r="A1936" s="3" t="e">
        <f>(HYPERLINK("http://www.autodoc.ru/Web/price/art/3336RBSH5RDW?analog=on","3336RBSH5RDW"))*1</f>
        <v>#VALUE!</v>
      </c>
      <c r="B1936" s="1">
        <v>6990170</v>
      </c>
      <c r="C1936" t="s">
        <v>2086</v>
      </c>
      <c r="D1936" t="s">
        <v>2093</v>
      </c>
      <c r="E1936" t="s">
        <v>10</v>
      </c>
    </row>
    <row r="1937" spans="1:5" hidden="1" outlineLevel="2">
      <c r="A1937" s="3" t="e">
        <f>(HYPERLINK("http://www.autodoc.ru/Web/price/art/3336RGNH5FDW?analog=on","3336RGNH5FDW"))*1</f>
        <v>#VALUE!</v>
      </c>
      <c r="B1937" s="1">
        <v>6990176</v>
      </c>
      <c r="C1937" t="s">
        <v>2086</v>
      </c>
      <c r="D1937" t="s">
        <v>2094</v>
      </c>
      <c r="E1937" t="s">
        <v>10</v>
      </c>
    </row>
    <row r="1938" spans="1:5" hidden="1" outlineLevel="1">
      <c r="A1938" s="2">
        <v>0</v>
      </c>
      <c r="B1938" s="26" t="s">
        <v>2095</v>
      </c>
      <c r="C1938" s="27">
        <v>0</v>
      </c>
      <c r="D1938" s="27">
        <v>0</v>
      </c>
      <c r="E1938" s="27">
        <v>0</v>
      </c>
    </row>
    <row r="1939" spans="1:5" hidden="1" outlineLevel="2">
      <c r="A1939" s="3" t="e">
        <f>(HYPERLINK("http://www.autodoc.ru/Web/price/art/3361AGAMZ1R?analog=on","3361AGAMZ1R"))*1</f>
        <v>#VALUE!</v>
      </c>
      <c r="B1939" s="1">
        <v>6961410</v>
      </c>
      <c r="C1939" t="s">
        <v>584</v>
      </c>
      <c r="D1939" t="s">
        <v>2096</v>
      </c>
      <c r="E1939" t="s">
        <v>8</v>
      </c>
    </row>
    <row r="1940" spans="1:5" hidden="1" outlineLevel="2">
      <c r="A1940" s="3" t="e">
        <f>(HYPERLINK("http://www.autodoc.ru/Web/price/art/3361AGAZ1M?analog=on","3361AGAZ1M"))*1</f>
        <v>#VALUE!</v>
      </c>
      <c r="B1940" s="1">
        <v>6961405</v>
      </c>
      <c r="C1940" t="s">
        <v>584</v>
      </c>
      <c r="D1940" t="s">
        <v>2097</v>
      </c>
      <c r="E1940" t="s">
        <v>8</v>
      </c>
    </row>
    <row r="1941" spans="1:5" hidden="1" outlineLevel="2">
      <c r="A1941" s="3" t="e">
        <f>(HYPERLINK("http://www.autodoc.ru/Web/price/art/3361BGDHBZ?analog=on","3361BGDHBZ"))*1</f>
        <v>#VALUE!</v>
      </c>
      <c r="B1941" s="1">
        <v>6996488</v>
      </c>
      <c r="C1941" t="s">
        <v>584</v>
      </c>
      <c r="D1941" t="s">
        <v>2098</v>
      </c>
      <c r="E1941" t="s">
        <v>23</v>
      </c>
    </row>
    <row r="1942" spans="1:5" hidden="1" outlineLevel="2">
      <c r="A1942" s="3" t="e">
        <f>(HYPERLINK("http://www.autodoc.ru/Web/price/art/3361BGSHBZ?analog=on","3361BGSHBZ"))*1</f>
        <v>#VALUE!</v>
      </c>
      <c r="B1942" s="1">
        <v>6992174</v>
      </c>
      <c r="C1942" t="s">
        <v>584</v>
      </c>
      <c r="D1942" t="s">
        <v>2098</v>
      </c>
      <c r="E1942" t="s">
        <v>23</v>
      </c>
    </row>
    <row r="1943" spans="1:5" hidden="1" outlineLevel="2">
      <c r="A1943" s="3" t="e">
        <f>(HYPERLINK("http://www.autodoc.ru/Web/price/art/3361LGPH5RDW?analog=on","3361LGPH5RDW"))*1</f>
        <v>#VALUE!</v>
      </c>
      <c r="B1943" s="1">
        <v>6993342</v>
      </c>
      <c r="C1943" t="s">
        <v>584</v>
      </c>
      <c r="D1943" t="s">
        <v>2099</v>
      </c>
      <c r="E1943" t="s">
        <v>10</v>
      </c>
    </row>
    <row r="1944" spans="1:5" hidden="1" outlineLevel="2">
      <c r="A1944" s="3" t="e">
        <f>(HYPERLINK("http://www.autodoc.ru/Web/price/art/3361LGSH5FD?analog=on","3361LGSH5FD"))*1</f>
        <v>#VALUE!</v>
      </c>
      <c r="B1944" s="1">
        <v>6992169</v>
      </c>
      <c r="C1944" t="s">
        <v>584</v>
      </c>
      <c r="D1944" t="s">
        <v>2100</v>
      </c>
      <c r="E1944" t="s">
        <v>10</v>
      </c>
    </row>
    <row r="1945" spans="1:5" hidden="1" outlineLevel="2">
      <c r="A1945" s="3" t="e">
        <f>(HYPERLINK("http://www.autodoc.ru/Web/price/art/3361LGSH5RDW?analog=on","3361LGSH5RDW"))*1</f>
        <v>#VALUE!</v>
      </c>
      <c r="B1945" s="1">
        <v>6992171</v>
      </c>
      <c r="C1945" t="s">
        <v>584</v>
      </c>
      <c r="D1945" t="s">
        <v>2101</v>
      </c>
      <c r="E1945" t="s">
        <v>10</v>
      </c>
    </row>
    <row r="1946" spans="1:5" hidden="1" outlineLevel="2">
      <c r="A1946" s="3" t="e">
        <f>(HYPERLINK("http://www.autodoc.ru/Web/price/art/3361RGPH5RDW?analog=on","3361RGPH5RDW"))*1</f>
        <v>#VALUE!</v>
      </c>
      <c r="B1946" s="1">
        <v>6993341</v>
      </c>
      <c r="C1946" t="s">
        <v>584</v>
      </c>
      <c r="D1946" t="s">
        <v>2102</v>
      </c>
      <c r="E1946" t="s">
        <v>10</v>
      </c>
    </row>
    <row r="1947" spans="1:5" hidden="1" outlineLevel="2">
      <c r="A1947" s="3" t="e">
        <f>(HYPERLINK("http://www.autodoc.ru/Web/price/art/3361RGSH5FD?analog=on","3361RGSH5FD"))*1</f>
        <v>#VALUE!</v>
      </c>
      <c r="B1947" s="1">
        <v>6992168</v>
      </c>
      <c r="C1947" t="s">
        <v>584</v>
      </c>
      <c r="D1947" t="s">
        <v>2103</v>
      </c>
      <c r="E1947" t="s">
        <v>10</v>
      </c>
    </row>
    <row r="1948" spans="1:5" hidden="1" outlineLevel="2">
      <c r="A1948" s="3" t="e">
        <f>(HYPERLINK("http://www.autodoc.ru/Web/price/art/3361RGSH5RDW?analog=on","3361RGSH5RDW"))*1</f>
        <v>#VALUE!</v>
      </c>
      <c r="B1948" s="1">
        <v>6992170</v>
      </c>
      <c r="C1948" t="s">
        <v>584</v>
      </c>
      <c r="D1948" t="s">
        <v>2104</v>
      </c>
      <c r="E1948" t="s">
        <v>10</v>
      </c>
    </row>
    <row r="1949" spans="1:5" hidden="1" outlineLevel="1">
      <c r="A1949" s="2">
        <v>0</v>
      </c>
      <c r="B1949" s="26" t="s">
        <v>2105</v>
      </c>
      <c r="C1949" s="27">
        <v>0</v>
      </c>
      <c r="D1949" s="27">
        <v>0</v>
      </c>
      <c r="E1949" s="27">
        <v>0</v>
      </c>
    </row>
    <row r="1950" spans="1:5" hidden="1" outlineLevel="2">
      <c r="A1950" s="3" t="e">
        <f>(HYPERLINK("http://www.autodoc.ru/Web/price/art/3354AGS?analog=on","3354AGS"))*1</f>
        <v>#VALUE!</v>
      </c>
      <c r="B1950" s="1">
        <v>6960531</v>
      </c>
      <c r="C1950" t="s">
        <v>790</v>
      </c>
      <c r="D1950" t="s">
        <v>2106</v>
      </c>
      <c r="E1950" t="s">
        <v>8</v>
      </c>
    </row>
    <row r="1951" spans="1:5" hidden="1" outlineLevel="2">
      <c r="A1951" s="3" t="e">
        <f>(HYPERLINK("http://www.autodoc.ru/Web/price/art/3354AGSBL?analog=on","3354AGSBL"))*1</f>
        <v>#VALUE!</v>
      </c>
      <c r="B1951" s="1">
        <v>6961948</v>
      </c>
      <c r="C1951" t="s">
        <v>790</v>
      </c>
      <c r="D1951" t="s">
        <v>2107</v>
      </c>
      <c r="E1951" t="s">
        <v>8</v>
      </c>
    </row>
    <row r="1952" spans="1:5" hidden="1" outlineLevel="2">
      <c r="A1952" s="3" t="e">
        <f>(HYPERLINK("http://www.autodoc.ru/Web/price/art/3354AGNGN?analog=on","3354AGNGN"))*1</f>
        <v>#VALUE!</v>
      </c>
      <c r="B1952" s="1">
        <v>6950055</v>
      </c>
      <c r="C1952" t="s">
        <v>790</v>
      </c>
      <c r="D1952" t="s">
        <v>2108</v>
      </c>
      <c r="E1952" t="s">
        <v>8</v>
      </c>
    </row>
    <row r="1953" spans="1:5" hidden="1" outlineLevel="2">
      <c r="A1953" s="3" t="e">
        <f>(HYPERLINK("http://www.autodoc.ru/Web/price/art/3354ASMVT?analog=on","3354ASMVT"))*1</f>
        <v>#VALUE!</v>
      </c>
      <c r="B1953" s="1">
        <v>6100278</v>
      </c>
      <c r="C1953" t="s">
        <v>19</v>
      </c>
      <c r="D1953" t="s">
        <v>2109</v>
      </c>
      <c r="E1953" t="s">
        <v>21</v>
      </c>
    </row>
    <row r="1954" spans="1:5" hidden="1" outlineLevel="2">
      <c r="A1954" s="3" t="e">
        <f>(HYPERLINK("http://www.autodoc.ru/Web/price/art/3354RGSV5RQO?analog=on","3354RGSV5RQO"))*1</f>
        <v>#VALUE!</v>
      </c>
      <c r="B1954" s="1">
        <v>6995236</v>
      </c>
      <c r="C1954" t="s">
        <v>790</v>
      </c>
      <c r="D1954" t="s">
        <v>2110</v>
      </c>
      <c r="E1954" t="s">
        <v>10</v>
      </c>
    </row>
    <row r="1955" spans="1:5" hidden="1" outlineLevel="1">
      <c r="A1955" s="2">
        <v>0</v>
      </c>
      <c r="B1955" s="26" t="s">
        <v>2111</v>
      </c>
      <c r="C1955" s="27">
        <v>0</v>
      </c>
      <c r="D1955" s="27">
        <v>0</v>
      </c>
      <c r="E1955" s="27">
        <v>0</v>
      </c>
    </row>
    <row r="1956" spans="1:5" hidden="1" outlineLevel="2">
      <c r="A1956" s="3" t="e">
        <f>(HYPERLINK("http://www.autodoc.ru/Web/price/art/3369AGSV?analog=on","3369AGSV"))*1</f>
        <v>#VALUE!</v>
      </c>
      <c r="B1956" s="1">
        <v>6965123</v>
      </c>
      <c r="C1956" t="s">
        <v>341</v>
      </c>
      <c r="D1956" t="s">
        <v>2112</v>
      </c>
      <c r="E1956" t="s">
        <v>8</v>
      </c>
    </row>
    <row r="1957" spans="1:5" hidden="1" outlineLevel="1">
      <c r="A1957" s="2">
        <v>0</v>
      </c>
      <c r="B1957" s="26" t="s">
        <v>2113</v>
      </c>
      <c r="C1957" s="27">
        <v>0</v>
      </c>
      <c r="D1957" s="27">
        <v>0</v>
      </c>
      <c r="E1957" s="27">
        <v>0</v>
      </c>
    </row>
    <row r="1958" spans="1:5" hidden="1" outlineLevel="2">
      <c r="A1958" s="3" t="e">
        <f>(HYPERLINK("http://www.autodoc.ru/Web/price/art/3727ABZ?analog=on","3727ABZ"))*1</f>
        <v>#VALUE!</v>
      </c>
      <c r="B1958" s="1">
        <v>6961215</v>
      </c>
      <c r="C1958" t="s">
        <v>1443</v>
      </c>
      <c r="D1958" t="s">
        <v>2114</v>
      </c>
      <c r="E1958" t="s">
        <v>8</v>
      </c>
    </row>
    <row r="1959" spans="1:5" hidden="1" outlineLevel="2">
      <c r="A1959" s="3" t="e">
        <f>(HYPERLINK("http://www.autodoc.ru/Web/price/art/3727ACL?analog=on","3727ACL"))*1</f>
        <v>#VALUE!</v>
      </c>
      <c r="B1959" s="1">
        <v>6961213</v>
      </c>
      <c r="C1959" t="s">
        <v>1443</v>
      </c>
      <c r="D1959" t="s">
        <v>2115</v>
      </c>
      <c r="E1959" t="s">
        <v>8</v>
      </c>
    </row>
    <row r="1960" spans="1:5" hidden="1" outlineLevel="2">
      <c r="A1960" s="3" t="e">
        <f>(HYPERLINK("http://www.autodoc.ru/Web/price/art/3727AGN?analog=on","3727AGN"))*1</f>
        <v>#VALUE!</v>
      </c>
      <c r="B1960" s="1">
        <v>6963449</v>
      </c>
      <c r="C1960" t="s">
        <v>1443</v>
      </c>
      <c r="D1960" t="s">
        <v>2116</v>
      </c>
      <c r="E1960" t="s">
        <v>8</v>
      </c>
    </row>
    <row r="1961" spans="1:5" hidden="1" outlineLevel="2">
      <c r="A1961" s="3" t="e">
        <f>(HYPERLINK("http://www.autodoc.ru/Web/price/art/3727AGNBL?analog=on","3727AGNBL"))*1</f>
        <v>#VALUE!</v>
      </c>
      <c r="B1961" s="1">
        <v>6964584</v>
      </c>
      <c r="C1961" t="s">
        <v>1443</v>
      </c>
      <c r="D1961" t="s">
        <v>2117</v>
      </c>
      <c r="E1961" t="s">
        <v>8</v>
      </c>
    </row>
    <row r="1962" spans="1:5" hidden="1" outlineLevel="2">
      <c r="A1962" s="3" t="e">
        <f>(HYPERLINK("http://www.autodoc.ru/Web/price/art/3727AGNGN?analog=on","3727AGNGN"))*1</f>
        <v>#VALUE!</v>
      </c>
      <c r="B1962" s="1">
        <v>6961214</v>
      </c>
      <c r="C1962" t="s">
        <v>1443</v>
      </c>
      <c r="D1962" t="s">
        <v>2118</v>
      </c>
      <c r="E1962" t="s">
        <v>8</v>
      </c>
    </row>
    <row r="1963" spans="1:5" hidden="1" outlineLevel="2">
      <c r="A1963" s="3" t="e">
        <f>(HYPERLINK("http://www.autodoc.ru/Web/price/art/3727ASRV?analog=on","3727ASRV"))*1</f>
        <v>#VALUE!</v>
      </c>
      <c r="B1963" s="1">
        <v>6100075</v>
      </c>
      <c r="C1963" t="s">
        <v>19</v>
      </c>
      <c r="D1963" t="s">
        <v>2119</v>
      </c>
      <c r="E1963" t="s">
        <v>21</v>
      </c>
    </row>
    <row r="1964" spans="1:5" hidden="1" outlineLevel="2">
      <c r="A1964" s="3" t="e">
        <f>(HYPERLINK("http://www.autodoc.ru/Web/price/art/3727LCLV2FD?analog=on","3727LCLV2FD"))*1</f>
        <v>#VALUE!</v>
      </c>
      <c r="B1964" s="1">
        <v>6994433</v>
      </c>
      <c r="C1964" t="s">
        <v>1443</v>
      </c>
      <c r="D1964" t="s">
        <v>2120</v>
      </c>
      <c r="E1964" t="s">
        <v>10</v>
      </c>
    </row>
    <row r="1965" spans="1:5" hidden="1" outlineLevel="2">
      <c r="A1965" s="3" t="e">
        <f>(HYPERLINK("http://www.autodoc.ru/Web/price/art/3727RCLV2FD?analog=on","3727RCLV2FD"))*1</f>
        <v>#VALUE!</v>
      </c>
      <c r="B1965" s="1">
        <v>6994435</v>
      </c>
      <c r="C1965" t="s">
        <v>1443</v>
      </c>
      <c r="D1965" t="s">
        <v>2121</v>
      </c>
      <c r="E1965" t="s">
        <v>10</v>
      </c>
    </row>
    <row r="1966" spans="1:5" hidden="1" outlineLevel="1">
      <c r="A1966" s="2">
        <v>0</v>
      </c>
      <c r="B1966" s="26" t="s">
        <v>2122</v>
      </c>
      <c r="C1966" s="27">
        <v>0</v>
      </c>
      <c r="D1966" s="27">
        <v>0</v>
      </c>
      <c r="E1966" s="27">
        <v>0</v>
      </c>
    </row>
    <row r="1967" spans="1:5" hidden="1" outlineLevel="2">
      <c r="A1967" s="3" t="e">
        <f>(HYPERLINK("http://www.autodoc.ru/Web/price/art/3735ACL1B?analog=on","3735ACL1B"))*1</f>
        <v>#VALUE!</v>
      </c>
      <c r="B1967" s="1">
        <v>6190043</v>
      </c>
      <c r="C1967" t="s">
        <v>1471</v>
      </c>
      <c r="D1967" t="s">
        <v>2123</v>
      </c>
      <c r="E1967" t="s">
        <v>8</v>
      </c>
    </row>
    <row r="1968" spans="1:5" hidden="1" outlineLevel="2">
      <c r="A1968" s="3" t="e">
        <f>(HYPERLINK("http://www.autodoc.ru/Web/price/art/3735AGN1B?analog=on","3735AGN1B"))*1</f>
        <v>#VALUE!</v>
      </c>
      <c r="B1968" s="1">
        <v>6190044</v>
      </c>
      <c r="C1968" t="s">
        <v>1471</v>
      </c>
      <c r="D1968" t="s">
        <v>2124</v>
      </c>
      <c r="E1968" t="s">
        <v>8</v>
      </c>
    </row>
    <row r="1969" spans="1:5" hidden="1" outlineLevel="2">
      <c r="A1969" s="3" t="e">
        <f>(HYPERLINK("http://www.autodoc.ru/Web/price/art/3735AGNBL1B?analog=on","3735AGNBL1B"))*1</f>
        <v>#VALUE!</v>
      </c>
      <c r="B1969" s="1">
        <v>6190653</v>
      </c>
      <c r="C1969" t="s">
        <v>1471</v>
      </c>
      <c r="D1969" t="s">
        <v>2125</v>
      </c>
      <c r="E1969" t="s">
        <v>8</v>
      </c>
    </row>
    <row r="1970" spans="1:5" hidden="1" outlineLevel="2">
      <c r="A1970" s="3" t="e">
        <f>(HYPERLINK("http://www.autodoc.ru/Web/price/art/3735AGNGN1B?analog=on","3735AGNGN1B"))*1</f>
        <v>#VALUE!</v>
      </c>
      <c r="B1970" s="1">
        <v>6190046</v>
      </c>
      <c r="C1970" t="s">
        <v>1471</v>
      </c>
      <c r="D1970" t="s">
        <v>2126</v>
      </c>
      <c r="E1970" t="s">
        <v>8</v>
      </c>
    </row>
    <row r="1971" spans="1:5" hidden="1" outlineLevel="2">
      <c r="A1971" s="3" t="e">
        <f>(HYPERLINK("http://www.autodoc.ru/Web/price/art/3735AGS1B?analog=on","3735AGS1B"))*1</f>
        <v>#VALUE!</v>
      </c>
      <c r="B1971" s="1">
        <v>6962386</v>
      </c>
      <c r="C1971" t="s">
        <v>1471</v>
      </c>
      <c r="D1971" t="s">
        <v>2127</v>
      </c>
      <c r="E1971" t="s">
        <v>8</v>
      </c>
    </row>
    <row r="1972" spans="1:5" hidden="1" outlineLevel="2">
      <c r="A1972" s="3" t="e">
        <f>(HYPERLINK("http://www.autodoc.ru/Web/price/art/3735ASMV?analog=on","3735ASMV"))*1</f>
        <v>#VALUE!</v>
      </c>
      <c r="B1972" s="1">
        <v>6100082</v>
      </c>
      <c r="C1972" t="s">
        <v>19</v>
      </c>
      <c r="D1972" t="s">
        <v>2128</v>
      </c>
      <c r="E1972" t="s">
        <v>21</v>
      </c>
    </row>
    <row r="1973" spans="1:5" hidden="1" outlineLevel="2">
      <c r="A1973" s="3" t="e">
        <f>(HYPERLINK("http://www.autodoc.ru/Web/price/art/3735BGNVRU?analog=on","3735BGNVRU"))*1</f>
        <v>#VALUE!</v>
      </c>
      <c r="B1973" s="1">
        <v>6901011</v>
      </c>
      <c r="C1973" t="s">
        <v>1471</v>
      </c>
      <c r="D1973" t="s">
        <v>2129</v>
      </c>
      <c r="E1973" t="s">
        <v>23</v>
      </c>
    </row>
    <row r="1974" spans="1:5" hidden="1" outlineLevel="2">
      <c r="A1974" s="3" t="e">
        <f>(HYPERLINK("http://www.autodoc.ru/Web/price/art/3735BGNVLU?analog=on","3735BGNVLU"))*1</f>
        <v>#VALUE!</v>
      </c>
      <c r="B1974" s="1">
        <v>6901012</v>
      </c>
      <c r="C1974" t="s">
        <v>1471</v>
      </c>
      <c r="D1974" t="s">
        <v>2130</v>
      </c>
      <c r="E1974" t="s">
        <v>23</v>
      </c>
    </row>
    <row r="1975" spans="1:5" hidden="1" outlineLevel="2">
      <c r="A1975" s="3" t="e">
        <f>(HYPERLINK("http://www.autodoc.ru/Web/price/art/3735BCLVRU1J?analog=on","3735BCLVRU1J"))*1</f>
        <v>#VALUE!</v>
      </c>
      <c r="B1975" s="1">
        <v>6995234</v>
      </c>
      <c r="C1975" t="s">
        <v>1471</v>
      </c>
      <c r="D1975" t="s">
        <v>2131</v>
      </c>
      <c r="E1975" t="s">
        <v>23</v>
      </c>
    </row>
    <row r="1976" spans="1:5" hidden="1" outlineLevel="2">
      <c r="A1976" s="3" t="e">
        <f>(HYPERLINK("http://www.autodoc.ru/Web/price/art/3735LCLV2FD?analog=on","3735LCLV2FD"))*1</f>
        <v>#VALUE!</v>
      </c>
      <c r="B1976" s="1">
        <v>6190047</v>
      </c>
      <c r="C1976" t="s">
        <v>1471</v>
      </c>
      <c r="D1976" t="s">
        <v>2132</v>
      </c>
      <c r="E1976" t="s">
        <v>10</v>
      </c>
    </row>
    <row r="1977" spans="1:5" hidden="1" outlineLevel="2">
      <c r="A1977" s="3" t="e">
        <f>(HYPERLINK("http://www.autodoc.ru/Web/price/art/3735LCLV2FV?analog=on","3735LCLV2FV"))*1</f>
        <v>#VALUE!</v>
      </c>
      <c r="B1977" s="1">
        <v>6190048</v>
      </c>
      <c r="C1977" t="s">
        <v>1471</v>
      </c>
      <c r="D1977" t="s">
        <v>2133</v>
      </c>
      <c r="E1977" t="s">
        <v>10</v>
      </c>
    </row>
    <row r="1978" spans="1:5" hidden="1" outlineLevel="2">
      <c r="A1978" s="3" t="e">
        <f>(HYPERLINK("http://www.autodoc.ru/Web/price/art/3735LGNV2FD?analog=on","3735LGNV2FD"))*1</f>
        <v>#VALUE!</v>
      </c>
      <c r="B1978" s="1">
        <v>6190049</v>
      </c>
      <c r="C1978" t="s">
        <v>1471</v>
      </c>
      <c r="D1978" t="s">
        <v>2134</v>
      </c>
      <c r="E1978" t="s">
        <v>10</v>
      </c>
    </row>
    <row r="1979" spans="1:5" hidden="1" outlineLevel="2">
      <c r="A1979" s="3" t="e">
        <f>(HYPERLINK("http://www.autodoc.ru/Web/price/art/3735RCLV2FD?analog=on","3735RCLV2FD"))*1</f>
        <v>#VALUE!</v>
      </c>
      <c r="B1979" s="1">
        <v>6190051</v>
      </c>
      <c r="C1979" t="s">
        <v>1471</v>
      </c>
      <c r="D1979" t="s">
        <v>2135</v>
      </c>
      <c r="E1979" t="s">
        <v>10</v>
      </c>
    </row>
    <row r="1980" spans="1:5" hidden="1" outlineLevel="2">
      <c r="A1980" s="3" t="e">
        <f>(HYPERLINK("http://www.autodoc.ru/Web/price/art/3735RGNV2FD?analog=on","3735RGNV2FD"))*1</f>
        <v>#VALUE!</v>
      </c>
      <c r="B1980" s="1">
        <v>6190053</v>
      </c>
      <c r="C1980" t="s">
        <v>1471</v>
      </c>
      <c r="D1980" t="s">
        <v>2136</v>
      </c>
      <c r="E1980" t="s">
        <v>10</v>
      </c>
    </row>
    <row r="1981" spans="1:5" hidden="1" outlineLevel="2">
      <c r="A1981" s="3" t="e">
        <f>(HYPERLINK("http://www.autodoc.ru/Web/price/art/3735LGSV3FD?analog=on","3735LGSV3FD"))*1</f>
        <v>#VALUE!</v>
      </c>
      <c r="B1981" s="1">
        <v>6997763</v>
      </c>
      <c r="C1981" t="s">
        <v>1471</v>
      </c>
      <c r="D1981" t="s">
        <v>2137</v>
      </c>
      <c r="E1981" t="s">
        <v>10</v>
      </c>
    </row>
    <row r="1982" spans="1:5" hidden="1" outlineLevel="2">
      <c r="A1982" s="3" t="e">
        <f>(HYPERLINK("http://www.autodoc.ru/Web/price/art/3735RGNV3FV?analog=on","3735RGNV3FV"))*1</f>
        <v>#VALUE!</v>
      </c>
      <c r="B1982" s="1">
        <v>6997764</v>
      </c>
      <c r="C1982" t="s">
        <v>1471</v>
      </c>
      <c r="D1982" t="s">
        <v>2138</v>
      </c>
      <c r="E1982" t="s">
        <v>10</v>
      </c>
    </row>
    <row r="1983" spans="1:5" hidden="1" outlineLevel="2">
      <c r="A1983" s="3" t="e">
        <f>(HYPERLINK("http://www.autodoc.ru/Web/price/art/3735RGSV3FD?analog=on","3735RGSV3FD"))*1</f>
        <v>#VALUE!</v>
      </c>
      <c r="B1983" s="1">
        <v>6997762</v>
      </c>
      <c r="C1983" t="s">
        <v>1471</v>
      </c>
      <c r="D1983" t="s">
        <v>2139</v>
      </c>
      <c r="E1983" t="s">
        <v>10</v>
      </c>
    </row>
    <row r="1984" spans="1:5" hidden="1" outlineLevel="2">
      <c r="A1984" s="3" t="e">
        <f>(HYPERLINK("http://www.autodoc.ru/Web/price/art/3735LGNV3FV?analog=on","3735LGNV3FV"))*1</f>
        <v>#VALUE!</v>
      </c>
      <c r="B1984" s="1">
        <v>6997765</v>
      </c>
      <c r="C1984" t="s">
        <v>1471</v>
      </c>
      <c r="D1984" t="s">
        <v>2140</v>
      </c>
      <c r="E1984" t="s">
        <v>10</v>
      </c>
    </row>
    <row r="1985" spans="1:5" hidden="1" outlineLevel="1">
      <c r="A1985" s="2">
        <v>0</v>
      </c>
      <c r="B1985" s="26" t="s">
        <v>2141</v>
      </c>
      <c r="C1985" s="27">
        <v>0</v>
      </c>
      <c r="D1985" s="27">
        <v>0</v>
      </c>
      <c r="E1985" s="27">
        <v>0</v>
      </c>
    </row>
    <row r="1986" spans="1:5" hidden="1" outlineLevel="2">
      <c r="A1986" s="3" t="e">
        <f>(HYPERLINK("http://www.autodoc.ru/Web/price/art/3750ACCVZ?analog=on","3750ACCVZ"))*1</f>
        <v>#VALUE!</v>
      </c>
      <c r="B1986" s="1">
        <v>6190879</v>
      </c>
      <c r="C1986" t="s">
        <v>389</v>
      </c>
      <c r="D1986" t="s">
        <v>2142</v>
      </c>
      <c r="E1986" t="s">
        <v>8</v>
      </c>
    </row>
    <row r="1987" spans="1:5" hidden="1" outlineLevel="2">
      <c r="A1987" s="3" t="e">
        <f>(HYPERLINK("http://www.autodoc.ru/Web/price/art/3750AGSMVZ1B?analog=on","3750AGSMVZ1B"))*1</f>
        <v>#VALUE!</v>
      </c>
      <c r="B1987" s="1">
        <v>6190834</v>
      </c>
      <c r="C1987" t="s">
        <v>389</v>
      </c>
      <c r="D1987" t="s">
        <v>2143</v>
      </c>
      <c r="E1987" t="s">
        <v>8</v>
      </c>
    </row>
    <row r="1988" spans="1:5" hidden="1" outlineLevel="2">
      <c r="A1988" s="3" t="e">
        <f>(HYPERLINK("http://www.autodoc.ru/Web/price/art/3750AGSVZ?analog=on","3750AGSVZ"))*1</f>
        <v>#VALUE!</v>
      </c>
      <c r="B1988" s="1">
        <v>6190730</v>
      </c>
      <c r="C1988" t="s">
        <v>389</v>
      </c>
      <c r="D1988" t="s">
        <v>2144</v>
      </c>
      <c r="E1988" t="s">
        <v>8</v>
      </c>
    </row>
    <row r="1989" spans="1:5" hidden="1" outlineLevel="1">
      <c r="A1989" s="2">
        <v>0</v>
      </c>
      <c r="B1989" s="26" t="s">
        <v>2145</v>
      </c>
      <c r="C1989" s="27">
        <v>0</v>
      </c>
      <c r="D1989" s="27">
        <v>0</v>
      </c>
      <c r="E1989" s="27">
        <v>0</v>
      </c>
    </row>
    <row r="1990" spans="1:5" hidden="1" outlineLevel="2">
      <c r="A1990" s="3" t="e">
        <f>(HYPERLINK("http://www.autodoc.ru/Web/price/art/3358AGS?analog=on","3358AGS"))*1</f>
        <v>#VALUE!</v>
      </c>
      <c r="B1990" s="1">
        <v>6960445</v>
      </c>
      <c r="C1990" t="s">
        <v>425</v>
      </c>
      <c r="D1990" t="s">
        <v>2146</v>
      </c>
      <c r="E1990" t="s">
        <v>8</v>
      </c>
    </row>
    <row r="1991" spans="1:5" hidden="1" outlineLevel="2">
      <c r="A1991" s="3" t="e">
        <f>(HYPERLINK("http://www.autodoc.ru/Web/price/art/3358AGSGN?analog=on","3358AGSGN"))*1</f>
        <v>#VALUE!</v>
      </c>
      <c r="B1991" s="1">
        <v>6962225</v>
      </c>
      <c r="C1991" t="s">
        <v>425</v>
      </c>
      <c r="D1991" t="s">
        <v>2147</v>
      </c>
      <c r="E1991" t="s">
        <v>8</v>
      </c>
    </row>
    <row r="1992" spans="1:5" hidden="1" outlineLevel="2">
      <c r="A1992" s="3" t="e">
        <f>(HYPERLINK("http://www.autodoc.ru/Web/price/art/3358AGSM1B?analog=on","3358AGSM1B"))*1</f>
        <v>#VALUE!</v>
      </c>
      <c r="B1992" s="1">
        <v>6960713</v>
      </c>
      <c r="C1992" t="s">
        <v>425</v>
      </c>
      <c r="D1992" t="s">
        <v>2148</v>
      </c>
      <c r="E1992" t="s">
        <v>8</v>
      </c>
    </row>
    <row r="1993" spans="1:5" hidden="1" outlineLevel="2">
      <c r="A1993" s="3" t="e">
        <f>(HYPERLINK("http://www.autodoc.ru/Web/price/art/3358AGSV?analog=on","3358AGSV"))*1</f>
        <v>#VALUE!</v>
      </c>
      <c r="B1993" s="1">
        <v>6961675</v>
      </c>
      <c r="C1993" t="s">
        <v>425</v>
      </c>
      <c r="D1993" t="s">
        <v>2149</v>
      </c>
      <c r="E1993" t="s">
        <v>8</v>
      </c>
    </row>
    <row r="1994" spans="1:5" hidden="1" outlineLevel="2">
      <c r="A1994" s="3" t="e">
        <f>(HYPERLINK("http://www.autodoc.ru/Web/price/art/3358BGDVB?analog=on","3358BGDVB"))*1</f>
        <v>#VALUE!</v>
      </c>
      <c r="B1994" s="1">
        <v>6992529</v>
      </c>
      <c r="C1994" t="s">
        <v>425</v>
      </c>
      <c r="D1994" t="s">
        <v>2150</v>
      </c>
      <c r="E1994" t="s">
        <v>23</v>
      </c>
    </row>
    <row r="1995" spans="1:5" hidden="1" outlineLevel="2">
      <c r="A1995" s="3" t="e">
        <f>(HYPERLINK("http://www.autodoc.ru/Web/price/art/3358BGSVB?analog=on","3358BGSVB"))*1</f>
        <v>#VALUE!</v>
      </c>
      <c r="B1995" s="1">
        <v>6992021</v>
      </c>
      <c r="C1995" t="s">
        <v>425</v>
      </c>
      <c r="D1995" t="s">
        <v>2151</v>
      </c>
      <c r="E1995" t="s">
        <v>23</v>
      </c>
    </row>
    <row r="1996" spans="1:5" hidden="1" outlineLevel="2">
      <c r="A1996" s="3" t="e">
        <f>(HYPERLINK("http://www.autodoc.ru/Web/price/art/3358LGDV5RDW?analog=on","3358LGDV5RDW"))*1</f>
        <v>#VALUE!</v>
      </c>
      <c r="B1996" s="1">
        <v>6992527</v>
      </c>
      <c r="C1996" t="s">
        <v>425</v>
      </c>
      <c r="D1996" t="s">
        <v>2152</v>
      </c>
      <c r="E1996" t="s">
        <v>10</v>
      </c>
    </row>
    <row r="1997" spans="1:5" hidden="1" outlineLevel="2">
      <c r="A1997" s="3" t="e">
        <f>(HYPERLINK("http://www.autodoc.ru/Web/price/art/3358LGDV5RQZ?analog=on","3358LGDV5RQZ"))*1</f>
        <v>#VALUE!</v>
      </c>
      <c r="B1997" s="1">
        <v>6992582</v>
      </c>
      <c r="C1997" t="s">
        <v>425</v>
      </c>
      <c r="D1997" t="s">
        <v>2153</v>
      </c>
      <c r="E1997" t="s">
        <v>10</v>
      </c>
    </row>
    <row r="1998" spans="1:5" hidden="1" outlineLevel="2">
      <c r="A1998" s="3" t="e">
        <f>(HYPERLINK("http://www.autodoc.ru/Web/price/art/3358LGSV5FDW?analog=on","3358LGSV5FDW"))*1</f>
        <v>#VALUE!</v>
      </c>
      <c r="B1998" s="1">
        <v>6992011</v>
      </c>
      <c r="C1998" t="s">
        <v>425</v>
      </c>
      <c r="D1998" t="s">
        <v>2154</v>
      </c>
      <c r="E1998" t="s">
        <v>10</v>
      </c>
    </row>
    <row r="1999" spans="1:5" hidden="1" outlineLevel="2">
      <c r="A1999" s="3" t="e">
        <f>(HYPERLINK("http://www.autodoc.ru/Web/price/art/3358LGSV5FQAW?analog=on","3358LGSV5FQAW"))*1</f>
        <v>#VALUE!</v>
      </c>
      <c r="B1999" s="1">
        <v>6992062</v>
      </c>
      <c r="C1999" t="s">
        <v>425</v>
      </c>
      <c r="D1999" t="s">
        <v>2155</v>
      </c>
      <c r="E1999" t="s">
        <v>10</v>
      </c>
    </row>
    <row r="2000" spans="1:5" hidden="1" outlineLevel="2">
      <c r="A2000" s="3" t="e">
        <f>(HYPERLINK("http://www.autodoc.ru/Web/price/art/3358LGSV5RDW?analog=on","3358LGSV5RDW"))*1</f>
        <v>#VALUE!</v>
      </c>
      <c r="B2000" s="1">
        <v>6992019</v>
      </c>
      <c r="C2000" t="s">
        <v>425</v>
      </c>
      <c r="D2000" t="s">
        <v>2156</v>
      </c>
      <c r="E2000" t="s">
        <v>10</v>
      </c>
    </row>
    <row r="2001" spans="1:5" hidden="1" outlineLevel="2">
      <c r="A2001" s="3" t="e">
        <f>(HYPERLINK("http://www.autodoc.ru/Web/price/art/3358LGSV5RQZ?analog=on","3358LGSV5RQZ"))*1</f>
        <v>#VALUE!</v>
      </c>
      <c r="B2001" s="1">
        <v>6992064</v>
      </c>
      <c r="C2001" t="s">
        <v>425</v>
      </c>
      <c r="D2001" t="s">
        <v>2157</v>
      </c>
      <c r="E2001" t="s">
        <v>10</v>
      </c>
    </row>
    <row r="2002" spans="1:5" hidden="1" outlineLevel="2">
      <c r="A2002" s="3" t="e">
        <f>(HYPERLINK("http://www.autodoc.ru/Web/price/art/3358RGDV5RDW?analog=on","3358RGDV5RDW"))*1</f>
        <v>#VALUE!</v>
      </c>
      <c r="B2002" s="1">
        <v>6992528</v>
      </c>
      <c r="C2002" t="s">
        <v>425</v>
      </c>
      <c r="D2002" t="s">
        <v>2158</v>
      </c>
      <c r="E2002" t="s">
        <v>10</v>
      </c>
    </row>
    <row r="2003" spans="1:5" hidden="1" outlineLevel="2">
      <c r="A2003" s="3" t="e">
        <f>(HYPERLINK("http://www.autodoc.ru/Web/price/art/3358RGDV5RQZ?analog=on","3358RGDV5RQZ"))*1</f>
        <v>#VALUE!</v>
      </c>
      <c r="B2003" s="1">
        <v>6992583</v>
      </c>
      <c r="C2003" t="s">
        <v>425</v>
      </c>
      <c r="D2003" t="s">
        <v>2159</v>
      </c>
      <c r="E2003" t="s">
        <v>10</v>
      </c>
    </row>
    <row r="2004" spans="1:5" hidden="1" outlineLevel="2">
      <c r="A2004" s="3" t="e">
        <f>(HYPERLINK("http://www.autodoc.ru/Web/price/art/3358RGSV5FDW?analog=on","3358RGSV5FDW"))*1</f>
        <v>#VALUE!</v>
      </c>
      <c r="B2004" s="1">
        <v>6992016</v>
      </c>
      <c r="C2004" t="s">
        <v>425</v>
      </c>
      <c r="D2004" t="s">
        <v>2160</v>
      </c>
      <c r="E2004" t="s">
        <v>10</v>
      </c>
    </row>
    <row r="2005" spans="1:5" hidden="1" outlineLevel="2">
      <c r="A2005" s="3" t="e">
        <f>(HYPERLINK("http://www.autodoc.ru/Web/price/art/3358RGSV5FQW?analog=on","3358RGSV5FQW"))*1</f>
        <v>#VALUE!</v>
      </c>
      <c r="B2005" s="1">
        <v>6992063</v>
      </c>
      <c r="C2005" t="s">
        <v>425</v>
      </c>
      <c r="D2005" t="s">
        <v>2161</v>
      </c>
      <c r="E2005" t="s">
        <v>10</v>
      </c>
    </row>
    <row r="2006" spans="1:5" hidden="1" outlineLevel="2">
      <c r="A2006" s="3" t="e">
        <f>(HYPERLINK("http://www.autodoc.ru/Web/price/art/3358RGSV5RDW?analog=on","3358RGSV5RDW"))*1</f>
        <v>#VALUE!</v>
      </c>
      <c r="B2006" s="1">
        <v>6992020</v>
      </c>
      <c r="C2006" t="s">
        <v>425</v>
      </c>
      <c r="D2006" t="s">
        <v>2162</v>
      </c>
      <c r="E2006" t="s">
        <v>10</v>
      </c>
    </row>
    <row r="2007" spans="1:5" hidden="1" outlineLevel="2">
      <c r="A2007" s="3" t="e">
        <f>(HYPERLINK("http://www.autodoc.ru/Web/price/art/3358RGSV5RQZ?analog=on","3358RGSV5RQZ"))*1</f>
        <v>#VALUE!</v>
      </c>
      <c r="B2007" s="1">
        <v>6992065</v>
      </c>
      <c r="C2007" t="s">
        <v>425</v>
      </c>
      <c r="D2007" t="s">
        <v>2163</v>
      </c>
      <c r="E2007" t="s">
        <v>10</v>
      </c>
    </row>
    <row r="2008" spans="1:5" hidden="1" outlineLevel="1">
      <c r="A2008" s="2">
        <v>0</v>
      </c>
      <c r="B2008" s="26" t="s">
        <v>2164</v>
      </c>
      <c r="C2008" s="27">
        <v>0</v>
      </c>
      <c r="D2008" s="27">
        <v>0</v>
      </c>
      <c r="E2008" s="27">
        <v>0</v>
      </c>
    </row>
    <row r="2009" spans="1:5" hidden="1" outlineLevel="2">
      <c r="A2009" s="3" t="e">
        <f>(HYPERLINK("http://www.autodoc.ru/Web/price/art/3360AGSV?analog=on","3360AGSV"))*1</f>
        <v>#VALUE!</v>
      </c>
      <c r="B2009" s="1">
        <v>6190905</v>
      </c>
      <c r="C2009" t="s">
        <v>366</v>
      </c>
      <c r="D2009" t="s">
        <v>2165</v>
      </c>
      <c r="E2009" t="s">
        <v>8</v>
      </c>
    </row>
    <row r="2010" spans="1:5" hidden="1" outlineLevel="1">
      <c r="A2010" s="2">
        <v>0</v>
      </c>
      <c r="B2010" s="26" t="s">
        <v>2166</v>
      </c>
      <c r="C2010" s="27">
        <v>0</v>
      </c>
      <c r="D2010" s="27">
        <v>0</v>
      </c>
      <c r="E2010" s="27">
        <v>0</v>
      </c>
    </row>
    <row r="2011" spans="1:5" hidden="1" outlineLevel="2">
      <c r="A2011" s="3" t="e">
        <f>(HYPERLINK("http://www.autodoc.ru/Web/price/art/3352ABS?analog=on","3352ABS"))*1</f>
        <v>#VALUE!</v>
      </c>
      <c r="B2011" s="1">
        <v>6960120</v>
      </c>
      <c r="C2011" t="s">
        <v>2167</v>
      </c>
      <c r="D2011" t="s">
        <v>2168</v>
      </c>
      <c r="E2011" t="s">
        <v>8</v>
      </c>
    </row>
    <row r="2012" spans="1:5" hidden="1" outlineLevel="2">
      <c r="A2012" s="3" t="e">
        <f>(HYPERLINK("http://www.autodoc.ru/Web/price/art/3352ABS6Z?analog=on","3352ABS6Z"))*1</f>
        <v>#VALUE!</v>
      </c>
      <c r="B2012" s="1">
        <v>6961134</v>
      </c>
      <c r="C2012" t="s">
        <v>122</v>
      </c>
      <c r="D2012" t="s">
        <v>2169</v>
      </c>
      <c r="E2012" t="s">
        <v>8</v>
      </c>
    </row>
    <row r="2013" spans="1:5" hidden="1" outlineLevel="2">
      <c r="A2013" s="3" t="e">
        <f>(HYPERLINK("http://www.autodoc.ru/Web/price/art/3352ABSB?analog=on","3352ABSB"))*1</f>
        <v>#VALUE!</v>
      </c>
      <c r="B2013" s="1">
        <v>6960121</v>
      </c>
      <c r="C2013" t="s">
        <v>2167</v>
      </c>
      <c r="D2013" t="s">
        <v>2170</v>
      </c>
      <c r="E2013" t="s">
        <v>8</v>
      </c>
    </row>
    <row r="2014" spans="1:5" hidden="1" outlineLevel="2">
      <c r="A2014" s="3" t="e">
        <f>(HYPERLINK("http://www.autodoc.ru/Web/price/art/3352AGS?analog=on","3352AGS"))*1</f>
        <v>#VALUE!</v>
      </c>
      <c r="B2014" s="1">
        <v>6960005</v>
      </c>
      <c r="C2014" t="s">
        <v>2167</v>
      </c>
      <c r="D2014" t="s">
        <v>2171</v>
      </c>
      <c r="E2014" t="s">
        <v>8</v>
      </c>
    </row>
    <row r="2015" spans="1:5" hidden="1" outlineLevel="2">
      <c r="A2015" s="3" t="e">
        <f>(HYPERLINK("http://www.autodoc.ru/Web/price/art/3352AGS6Z?analog=on","3352AGS6Z"))*1</f>
        <v>#VALUE!</v>
      </c>
      <c r="B2015" s="1">
        <v>6960963</v>
      </c>
      <c r="C2015" t="s">
        <v>122</v>
      </c>
      <c r="D2015" t="s">
        <v>2172</v>
      </c>
      <c r="E2015" t="s">
        <v>8</v>
      </c>
    </row>
    <row r="2016" spans="1:5" hidden="1" outlineLevel="2">
      <c r="A2016" s="3" t="e">
        <f>(HYPERLINK("http://www.autodoc.ru/Web/price/art/3352AGSB?analog=on","3352AGSB"))*1</f>
        <v>#VALUE!</v>
      </c>
      <c r="B2016" s="1">
        <v>6960007</v>
      </c>
      <c r="C2016" t="s">
        <v>2167</v>
      </c>
      <c r="D2016" t="s">
        <v>2173</v>
      </c>
      <c r="E2016" t="s">
        <v>8</v>
      </c>
    </row>
    <row r="2017" spans="1:5" hidden="1" outlineLevel="2">
      <c r="A2017" s="3" t="e">
        <f>(HYPERLINK("http://www.autodoc.ru/Web/price/art/3352AGSB6Z?analog=on","3352AGSB6Z"))*1</f>
        <v>#VALUE!</v>
      </c>
      <c r="B2017" s="1">
        <v>6960964</v>
      </c>
      <c r="C2017" t="s">
        <v>122</v>
      </c>
      <c r="D2017" t="s">
        <v>2174</v>
      </c>
      <c r="E2017" t="s">
        <v>8</v>
      </c>
    </row>
    <row r="2018" spans="1:5" hidden="1" outlineLevel="2">
      <c r="A2018" s="3" t="e">
        <f>(HYPERLINK("http://www.autodoc.ru/Web/price/art/3352ASMV?analog=on","3352ASMV"))*1</f>
        <v>#VALUE!</v>
      </c>
      <c r="B2018" s="1">
        <v>6100064</v>
      </c>
      <c r="C2018" t="s">
        <v>19</v>
      </c>
      <c r="D2018" t="s">
        <v>2175</v>
      </c>
      <c r="E2018" t="s">
        <v>21</v>
      </c>
    </row>
    <row r="2019" spans="1:5" hidden="1" outlineLevel="2">
      <c r="A2019" s="3" t="e">
        <f>(HYPERLINK("http://www.autodoc.ru/Web/price/art/3352BBSVB?analog=on","3352BBSVB"))*1</f>
        <v>#VALUE!</v>
      </c>
      <c r="B2019" s="1">
        <v>6997235</v>
      </c>
      <c r="C2019" t="s">
        <v>2176</v>
      </c>
      <c r="D2019" t="s">
        <v>2177</v>
      </c>
      <c r="E2019" t="s">
        <v>23</v>
      </c>
    </row>
    <row r="2020" spans="1:5" hidden="1" outlineLevel="2">
      <c r="A2020" s="3" t="e">
        <f>(HYPERLINK("http://www.autodoc.ru/Web/price/art/3352BBDVB?analog=on","3352BBDVB"))*1</f>
        <v>#VALUE!</v>
      </c>
      <c r="B2020" s="1">
        <v>6997240</v>
      </c>
      <c r="C2020" t="s">
        <v>2176</v>
      </c>
      <c r="D2020" t="s">
        <v>2178</v>
      </c>
      <c r="E2020" t="s">
        <v>23</v>
      </c>
    </row>
    <row r="2021" spans="1:5" hidden="1" outlineLevel="2">
      <c r="A2021" s="3" t="e">
        <f>(HYPERLINK("http://www.autodoc.ru/Web/price/art/3352BGSVB?analog=on","3352BGSVB"))*1</f>
        <v>#VALUE!</v>
      </c>
      <c r="B2021" s="1">
        <v>6993633</v>
      </c>
      <c r="C2021" t="s">
        <v>2167</v>
      </c>
      <c r="D2021" t="s">
        <v>2179</v>
      </c>
      <c r="E2021" t="s">
        <v>23</v>
      </c>
    </row>
    <row r="2022" spans="1:5" hidden="1" outlineLevel="2">
      <c r="A2022" s="3" t="e">
        <f>(HYPERLINK("http://www.autodoc.ru/Web/price/art/3352LBDV5FDW?analog=on","3352LBDV5FDW"))*1</f>
        <v>#VALUE!</v>
      </c>
      <c r="B2022" s="1">
        <v>6996029</v>
      </c>
      <c r="C2022" t="s">
        <v>2176</v>
      </c>
      <c r="D2022" t="s">
        <v>2180</v>
      </c>
      <c r="E2022" t="s">
        <v>10</v>
      </c>
    </row>
    <row r="2023" spans="1:5" hidden="1" outlineLevel="2">
      <c r="A2023" s="3" t="e">
        <f>(HYPERLINK("http://www.autodoc.ru/Web/price/art/3352LBDV5RDW?analog=on","3352LBDV5RDW"))*1</f>
        <v>#VALUE!</v>
      </c>
      <c r="B2023" s="1">
        <v>6997232</v>
      </c>
      <c r="C2023" t="s">
        <v>2176</v>
      </c>
      <c r="D2023" t="s">
        <v>2181</v>
      </c>
      <c r="E2023" t="s">
        <v>10</v>
      </c>
    </row>
    <row r="2024" spans="1:5" hidden="1" outlineLevel="2">
      <c r="A2024" s="3" t="e">
        <f>(HYPERLINK("http://www.autodoc.ru/Web/price/art/3352LBDV5RQZ?analog=on","3352LBDV5RQZ"))*1</f>
        <v>#VALUE!</v>
      </c>
      <c r="B2024" s="1">
        <v>6997234</v>
      </c>
      <c r="C2024" t="s">
        <v>2176</v>
      </c>
      <c r="D2024" t="s">
        <v>2182</v>
      </c>
      <c r="E2024" t="s">
        <v>10</v>
      </c>
    </row>
    <row r="2025" spans="1:5" hidden="1" outlineLevel="2">
      <c r="A2025" s="3" t="e">
        <f>(HYPERLINK("http://www.autodoc.ru/Web/price/art/3352LBPV5RDW?analog=on","3352LBPV5RDW"))*1</f>
        <v>#VALUE!</v>
      </c>
      <c r="B2025" s="1">
        <v>6997237</v>
      </c>
      <c r="C2025" t="s">
        <v>2176</v>
      </c>
      <c r="D2025" t="s">
        <v>2183</v>
      </c>
      <c r="E2025" t="s">
        <v>10</v>
      </c>
    </row>
    <row r="2026" spans="1:5" hidden="1" outlineLevel="2">
      <c r="A2026" s="3" t="e">
        <f>(HYPERLINK("http://www.autodoc.ru/Web/price/art/3352LBPV5RQZ?analog=on","3352LBPV5RQZ"))*1</f>
        <v>#VALUE!</v>
      </c>
      <c r="B2026" s="1">
        <v>6997239</v>
      </c>
      <c r="C2026" t="s">
        <v>2176</v>
      </c>
      <c r="D2026" t="s">
        <v>2182</v>
      </c>
      <c r="E2026" t="s">
        <v>10</v>
      </c>
    </row>
    <row r="2027" spans="1:5" hidden="1" outlineLevel="2">
      <c r="A2027" s="3" t="e">
        <f>(HYPERLINK("http://www.autodoc.ru/Web/price/art/3352LGSV5FDW?analog=on","3352LGSV5FDW"))*1</f>
        <v>#VALUE!</v>
      </c>
      <c r="B2027" s="1">
        <v>6993635</v>
      </c>
      <c r="C2027" t="s">
        <v>2167</v>
      </c>
      <c r="D2027" t="s">
        <v>2184</v>
      </c>
      <c r="E2027" t="s">
        <v>10</v>
      </c>
    </row>
    <row r="2028" spans="1:5" hidden="1" outlineLevel="2">
      <c r="A2028" s="3" t="e">
        <f>(HYPERLINK("http://www.autodoc.ru/Web/price/art/3352LGSV5RDW?analog=on","3352LGSV5RDW"))*1</f>
        <v>#VALUE!</v>
      </c>
      <c r="B2028" s="1">
        <v>6993637</v>
      </c>
      <c r="C2028" t="s">
        <v>2167</v>
      </c>
      <c r="D2028" t="s">
        <v>2185</v>
      </c>
      <c r="E2028" t="s">
        <v>10</v>
      </c>
    </row>
    <row r="2029" spans="1:5" hidden="1" outlineLevel="2">
      <c r="A2029" s="3" t="e">
        <f>(HYPERLINK("http://www.autodoc.ru/Web/price/art/3352LGSV5RQZ?analog=on","3352LGSV5RQZ"))*1</f>
        <v>#VALUE!</v>
      </c>
      <c r="B2029" s="1">
        <v>6993639</v>
      </c>
      <c r="C2029" t="s">
        <v>2167</v>
      </c>
      <c r="D2029" t="s">
        <v>2186</v>
      </c>
      <c r="E2029" t="s">
        <v>10</v>
      </c>
    </row>
    <row r="2030" spans="1:5" hidden="1" outlineLevel="2">
      <c r="A2030" s="3" t="e">
        <f>(HYPERLINK("http://www.autodoc.ru/Web/price/art/3352RBDV5FDW?analog=on","3352RBDV5FDW"))*1</f>
        <v>#VALUE!</v>
      </c>
      <c r="B2030" s="1">
        <v>6996028</v>
      </c>
      <c r="C2030" t="s">
        <v>2176</v>
      </c>
      <c r="D2030" t="s">
        <v>2187</v>
      </c>
      <c r="E2030" t="s">
        <v>10</v>
      </c>
    </row>
    <row r="2031" spans="1:5" hidden="1" outlineLevel="2">
      <c r="A2031" s="3" t="e">
        <f>(HYPERLINK("http://www.autodoc.ru/Web/price/art/3352RBDV5RDW?analog=on","3352RBDV5RDW"))*1</f>
        <v>#VALUE!</v>
      </c>
      <c r="B2031" s="1">
        <v>6997231</v>
      </c>
      <c r="C2031" t="s">
        <v>2176</v>
      </c>
      <c r="D2031" t="s">
        <v>2188</v>
      </c>
      <c r="E2031" t="s">
        <v>10</v>
      </c>
    </row>
    <row r="2032" spans="1:5" hidden="1" outlineLevel="2">
      <c r="A2032" s="3" t="e">
        <f>(HYPERLINK("http://www.autodoc.ru/Web/price/art/3352RBDV5RQZ?analog=on","3352RBDV5RQZ"))*1</f>
        <v>#VALUE!</v>
      </c>
      <c r="B2032" s="1">
        <v>6997233</v>
      </c>
      <c r="C2032" t="s">
        <v>2176</v>
      </c>
      <c r="D2032" t="s">
        <v>2189</v>
      </c>
      <c r="E2032" t="s">
        <v>10</v>
      </c>
    </row>
    <row r="2033" spans="1:5" hidden="1" outlineLevel="2">
      <c r="A2033" s="3" t="e">
        <f>(HYPERLINK("http://www.autodoc.ru/Web/price/art/3352RBPV5RDW?analog=on","3352RBPV5RDW"))*1</f>
        <v>#VALUE!</v>
      </c>
      <c r="B2033" s="1">
        <v>6997236</v>
      </c>
      <c r="C2033" t="s">
        <v>2176</v>
      </c>
      <c r="D2033" t="s">
        <v>2188</v>
      </c>
      <c r="E2033" t="s">
        <v>10</v>
      </c>
    </row>
    <row r="2034" spans="1:5" hidden="1" outlineLevel="2">
      <c r="A2034" s="3" t="e">
        <f>(HYPERLINK("http://www.autodoc.ru/Web/price/art/3352RBPV5RQZ?analog=on","3352RBPV5RQZ"))*1</f>
        <v>#VALUE!</v>
      </c>
      <c r="B2034" s="1">
        <v>6997238</v>
      </c>
      <c r="C2034" t="s">
        <v>2176</v>
      </c>
      <c r="D2034" t="s">
        <v>2189</v>
      </c>
      <c r="E2034" t="s">
        <v>10</v>
      </c>
    </row>
    <row r="2035" spans="1:5" hidden="1" outlineLevel="2">
      <c r="A2035" s="3" t="e">
        <f>(HYPERLINK("http://www.autodoc.ru/Web/price/art/3352RGSV5FDW?analog=on","3352RGSV5FDW"))*1</f>
        <v>#VALUE!</v>
      </c>
      <c r="B2035" s="1">
        <v>6993634</v>
      </c>
      <c r="C2035" t="s">
        <v>2167</v>
      </c>
      <c r="D2035" t="s">
        <v>2190</v>
      </c>
      <c r="E2035" t="s">
        <v>10</v>
      </c>
    </row>
    <row r="2036" spans="1:5" hidden="1" outlineLevel="2">
      <c r="A2036" s="3" t="e">
        <f>(HYPERLINK("http://www.autodoc.ru/Web/price/art/3352RGSV5RDW?analog=on","3352RGSV5RDW"))*1</f>
        <v>#VALUE!</v>
      </c>
      <c r="B2036" s="1">
        <v>6993636</v>
      </c>
      <c r="C2036" t="s">
        <v>2167</v>
      </c>
      <c r="D2036" t="s">
        <v>2191</v>
      </c>
      <c r="E2036" t="s">
        <v>10</v>
      </c>
    </row>
    <row r="2037" spans="1:5" hidden="1" outlineLevel="2">
      <c r="A2037" s="3" t="e">
        <f>(HYPERLINK("http://www.autodoc.ru/Web/price/art/3352RGSV5RQZ?analog=on","3352RGSV5RQZ"))*1</f>
        <v>#VALUE!</v>
      </c>
      <c r="B2037" s="1">
        <v>6993638</v>
      </c>
      <c r="C2037" t="s">
        <v>2167</v>
      </c>
      <c r="D2037" t="s">
        <v>2192</v>
      </c>
      <c r="E2037" t="s">
        <v>10</v>
      </c>
    </row>
    <row r="2038" spans="1:5" hidden="1" outlineLevel="1">
      <c r="A2038" s="2">
        <v>0</v>
      </c>
      <c r="B2038" s="26" t="s">
        <v>2193</v>
      </c>
      <c r="C2038" s="27">
        <v>0</v>
      </c>
      <c r="D2038" s="27">
        <v>0</v>
      </c>
      <c r="E2038" s="27">
        <v>0</v>
      </c>
    </row>
    <row r="2039" spans="1:5" hidden="1" outlineLevel="2">
      <c r="A2039" s="3" t="e">
        <f>(HYPERLINK("http://www.autodoc.ru/Web/price/art/3349AGS?analog=on","3349AGS"))*1</f>
        <v>#VALUE!</v>
      </c>
      <c r="B2039" s="1">
        <v>6963297</v>
      </c>
      <c r="C2039" t="s">
        <v>1710</v>
      </c>
      <c r="D2039" t="s">
        <v>2194</v>
      </c>
      <c r="E2039" t="s">
        <v>8</v>
      </c>
    </row>
    <row r="2040" spans="1:5" hidden="1" outlineLevel="2">
      <c r="A2040" s="3" t="e">
        <f>(HYPERLINK("http://www.autodoc.ru/Web/price/art/3349ASME?analog=on","3349ASME"))*1</f>
        <v>#VALUE!</v>
      </c>
      <c r="B2040" s="1">
        <v>6100279</v>
      </c>
      <c r="C2040" t="s">
        <v>19</v>
      </c>
      <c r="D2040" t="s">
        <v>2195</v>
      </c>
      <c r="E2040" t="s">
        <v>21</v>
      </c>
    </row>
    <row r="2041" spans="1:5" hidden="1" outlineLevel="2">
      <c r="A2041" s="3" t="e">
        <f>(HYPERLINK("http://www.autodoc.ru/Web/price/art/3349LGSE5FD?analog=on","3349LGSE5FD"))*1</f>
        <v>#VALUE!</v>
      </c>
      <c r="B2041" s="1">
        <v>6994381</v>
      </c>
      <c r="C2041" t="s">
        <v>1710</v>
      </c>
      <c r="D2041" t="s">
        <v>2196</v>
      </c>
      <c r="E2041" t="s">
        <v>10</v>
      </c>
    </row>
    <row r="2042" spans="1:5" hidden="1" outlineLevel="2">
      <c r="A2042" s="3" t="e">
        <f>(HYPERLINK("http://www.autodoc.ru/Web/price/art/3349RGSE5RD?analog=on","3349RGSE5RD"))*1</f>
        <v>#VALUE!</v>
      </c>
      <c r="B2042" s="1">
        <v>6994384</v>
      </c>
      <c r="C2042" t="s">
        <v>1710</v>
      </c>
      <c r="D2042" t="s">
        <v>2197</v>
      </c>
      <c r="E2042" t="s">
        <v>10</v>
      </c>
    </row>
    <row r="2043" spans="1:5" hidden="1" outlineLevel="1">
      <c r="A2043" s="2">
        <v>0</v>
      </c>
      <c r="B2043" s="26" t="s">
        <v>2198</v>
      </c>
      <c r="C2043" s="27">
        <v>0</v>
      </c>
      <c r="D2043" s="27">
        <v>0</v>
      </c>
      <c r="E2043" s="27">
        <v>0</v>
      </c>
    </row>
    <row r="2044" spans="1:5" hidden="1" outlineLevel="2">
      <c r="A2044" s="3" t="e">
        <f>(HYPERLINK("http://www.autodoc.ru/Web/price/art/3333ACL?analog=on","3333ACL"))*1</f>
        <v>#VALUE!</v>
      </c>
      <c r="B2044" s="1">
        <v>6960061</v>
      </c>
      <c r="C2044" t="s">
        <v>2199</v>
      </c>
      <c r="D2044" t="s">
        <v>2200</v>
      </c>
      <c r="E2044" t="s">
        <v>8</v>
      </c>
    </row>
    <row r="2045" spans="1:5" hidden="1" outlineLevel="2">
      <c r="A2045" s="3" t="e">
        <f>(HYPERLINK("http://www.autodoc.ru/Web/price/art/3333AGN?analog=on","3333AGN"))*1</f>
        <v>#VALUE!</v>
      </c>
      <c r="B2045" s="1">
        <v>6960063</v>
      </c>
      <c r="C2045" t="s">
        <v>2199</v>
      </c>
      <c r="D2045" t="s">
        <v>2201</v>
      </c>
      <c r="E2045" t="s">
        <v>8</v>
      </c>
    </row>
    <row r="2046" spans="1:5" hidden="1" outlineLevel="2">
      <c r="A2046" s="3" t="e">
        <f>(HYPERLINK("http://www.autodoc.ru/Web/price/art/3333ASRH?analog=on","3333ASRH"))*1</f>
        <v>#VALUE!</v>
      </c>
      <c r="B2046" s="1">
        <v>6100281</v>
      </c>
      <c r="C2046" t="s">
        <v>19</v>
      </c>
      <c r="D2046" t="s">
        <v>2202</v>
      </c>
      <c r="E2046" t="s">
        <v>21</v>
      </c>
    </row>
    <row r="2047" spans="1:5" hidden="1" outlineLevel="2">
      <c r="A2047" s="3" t="e">
        <f>(HYPERLINK("http://www.autodoc.ru/Web/price/art/3333BCLH?analog=on","3333BCLH"))*1</f>
        <v>#VALUE!</v>
      </c>
      <c r="B2047" s="1">
        <v>6990611</v>
      </c>
      <c r="C2047" t="s">
        <v>2199</v>
      </c>
      <c r="D2047" t="s">
        <v>2203</v>
      </c>
      <c r="E2047" t="s">
        <v>23</v>
      </c>
    </row>
    <row r="2048" spans="1:5" hidden="1" outlineLevel="2">
      <c r="A2048" s="3" t="e">
        <f>(HYPERLINK("http://www.autodoc.ru/Web/price/art/3333BGNH?analog=on","3333BGNH"))*1</f>
        <v>#VALUE!</v>
      </c>
      <c r="B2048" s="1">
        <v>6990612</v>
      </c>
      <c r="C2048" t="s">
        <v>2199</v>
      </c>
      <c r="D2048" t="s">
        <v>2204</v>
      </c>
      <c r="E2048" t="s">
        <v>23</v>
      </c>
    </row>
    <row r="2049" spans="1:5" hidden="1" outlineLevel="2">
      <c r="A2049" s="3" t="e">
        <f>(HYPERLINK("http://www.autodoc.ru/Web/price/art/3333FCLH3FD1J?analog=on","3333FCLH3FD1J"))*1</f>
        <v>#VALUE!</v>
      </c>
      <c r="B2049" s="1">
        <v>6990606</v>
      </c>
      <c r="C2049" t="s">
        <v>2199</v>
      </c>
      <c r="D2049" t="s">
        <v>2205</v>
      </c>
      <c r="E2049" t="s">
        <v>10</v>
      </c>
    </row>
    <row r="2050" spans="1:5" hidden="1" outlineLevel="2">
      <c r="A2050" s="3" t="e">
        <f>(HYPERLINK("http://www.autodoc.ru/Web/price/art/3333FCLH3RQO1H?analog=on","3333FCLH3RQO1H"))*1</f>
        <v>#VALUE!</v>
      </c>
      <c r="B2050" s="1">
        <v>6990608</v>
      </c>
      <c r="C2050" t="s">
        <v>2206</v>
      </c>
      <c r="D2050" t="s">
        <v>2207</v>
      </c>
      <c r="E2050" t="s">
        <v>10</v>
      </c>
    </row>
    <row r="2051" spans="1:5" hidden="1" outlineLevel="2">
      <c r="A2051" s="3" t="e">
        <f>(HYPERLINK("http://www.autodoc.ru/Web/price/art/3333FGNH3FD1J?analog=on","3333FGNH3FD1J"))*1</f>
        <v>#VALUE!</v>
      </c>
      <c r="B2051" s="1">
        <v>6990607</v>
      </c>
      <c r="C2051" t="s">
        <v>2199</v>
      </c>
      <c r="D2051" t="s">
        <v>2208</v>
      </c>
      <c r="E2051" t="s">
        <v>10</v>
      </c>
    </row>
    <row r="2052" spans="1:5" hidden="1" outlineLevel="2">
      <c r="A2052" s="3" t="e">
        <f>(HYPERLINK("http://www.autodoc.ru/Web/price/art/3333FGNH3RQO1H?analog=on","3333FGNH3RQO1H"))*1</f>
        <v>#VALUE!</v>
      </c>
      <c r="B2052" s="1">
        <v>6994148</v>
      </c>
      <c r="C2052" t="s">
        <v>2206</v>
      </c>
      <c r="D2052" t="s">
        <v>2209</v>
      </c>
      <c r="E2052" t="s">
        <v>10</v>
      </c>
    </row>
    <row r="2053" spans="1:5" hidden="1" outlineLevel="1">
      <c r="A2053" s="2">
        <v>0</v>
      </c>
      <c r="B2053" s="26" t="s">
        <v>2210</v>
      </c>
      <c r="C2053" s="27">
        <v>0</v>
      </c>
      <c r="D2053" s="27">
        <v>0</v>
      </c>
      <c r="E2053" s="27">
        <v>0</v>
      </c>
    </row>
    <row r="2054" spans="1:5" hidden="1" outlineLevel="2">
      <c r="A2054" s="3" t="e">
        <f>(HYPERLINK("http://www.autodoc.ru/Web/price/art/3359AGS?analog=on","3359AGS"))*1</f>
        <v>#VALUE!</v>
      </c>
      <c r="B2054" s="1">
        <v>6960556</v>
      </c>
      <c r="C2054" t="s">
        <v>221</v>
      </c>
      <c r="D2054" t="s">
        <v>2211</v>
      </c>
      <c r="E2054" t="s">
        <v>8</v>
      </c>
    </row>
    <row r="2055" spans="1:5" hidden="1" outlineLevel="2">
      <c r="A2055" s="3" t="e">
        <f>(HYPERLINK("http://www.autodoc.ru/Web/price/art/3359ASMH?analog=on","3359ASMH"))*1</f>
        <v>#VALUE!</v>
      </c>
      <c r="B2055" s="1">
        <v>6101554</v>
      </c>
      <c r="C2055" t="s">
        <v>19</v>
      </c>
      <c r="D2055" t="s">
        <v>2212</v>
      </c>
      <c r="E2055" t="s">
        <v>21</v>
      </c>
    </row>
    <row r="2056" spans="1:5" hidden="1" outlineLevel="2">
      <c r="A2056" s="3" t="e">
        <f>(HYPERLINK("http://www.autodoc.ru/Web/price/art/3359BGSHBW?analog=on","3359BGSHBW"))*1</f>
        <v>#VALUE!</v>
      </c>
      <c r="B2056" s="1">
        <v>6993715</v>
      </c>
      <c r="C2056" t="s">
        <v>221</v>
      </c>
      <c r="D2056" t="s">
        <v>2213</v>
      </c>
      <c r="E2056" t="s">
        <v>23</v>
      </c>
    </row>
    <row r="2057" spans="1:5" hidden="1" outlineLevel="2">
      <c r="A2057" s="3" t="e">
        <f>(HYPERLINK("http://www.autodoc.ru/Web/price/art/3359LGSH5FDW?analog=on","3359LGSH5FDW"))*1</f>
        <v>#VALUE!</v>
      </c>
      <c r="B2057" s="1">
        <v>6993716</v>
      </c>
      <c r="C2057" t="s">
        <v>221</v>
      </c>
      <c r="D2057" t="s">
        <v>2214</v>
      </c>
      <c r="E2057" t="s">
        <v>10</v>
      </c>
    </row>
    <row r="2058" spans="1:5" hidden="1" outlineLevel="2">
      <c r="A2058" s="3" t="e">
        <f>(HYPERLINK("http://www.autodoc.ru/Web/price/art/3359RGSH5FDW?analog=on","3359RGSH5FDW"))*1</f>
        <v>#VALUE!</v>
      </c>
      <c r="B2058" s="1">
        <v>6993717</v>
      </c>
      <c r="C2058" t="s">
        <v>221</v>
      </c>
      <c r="D2058" t="s">
        <v>2215</v>
      </c>
      <c r="E2058" t="s">
        <v>10</v>
      </c>
    </row>
    <row r="2059" spans="1:5" hidden="1" outlineLevel="2">
      <c r="A2059" s="3" t="e">
        <f>(HYPERLINK("http://www.autodoc.ru/Web/price/art/3359RGSH5RDW?analog=on","3359RGSH5RDW"))*1</f>
        <v>#VALUE!</v>
      </c>
      <c r="B2059" s="1">
        <v>6993719</v>
      </c>
      <c r="C2059" t="s">
        <v>221</v>
      </c>
      <c r="D2059" t="s">
        <v>2216</v>
      </c>
      <c r="E2059" t="s">
        <v>10</v>
      </c>
    </row>
    <row r="2060" spans="1:5" hidden="1" outlineLevel="2">
      <c r="A2060" s="3" t="e">
        <f>(HYPERLINK("http://www.autodoc.ru/Web/price/art/3359LGSH5RDW?analog=on","3359LGSH5RDW"))*1</f>
        <v>#VALUE!</v>
      </c>
      <c r="B2060" s="1">
        <v>6993718</v>
      </c>
      <c r="C2060" t="s">
        <v>221</v>
      </c>
      <c r="D2060" t="s">
        <v>2217</v>
      </c>
      <c r="E2060" t="s">
        <v>10</v>
      </c>
    </row>
    <row r="2061" spans="1:5" hidden="1" outlineLevel="1">
      <c r="A2061" s="2">
        <v>0</v>
      </c>
      <c r="B2061" s="26" t="s">
        <v>2218</v>
      </c>
      <c r="C2061" s="27">
        <v>0</v>
      </c>
      <c r="D2061" s="27">
        <v>0</v>
      </c>
      <c r="E2061" s="27">
        <v>0</v>
      </c>
    </row>
    <row r="2062" spans="1:5" hidden="1" outlineLevel="2">
      <c r="A2062" s="3" t="e">
        <f>(HYPERLINK("http://www.autodoc.ru/Web/price/art/9208ACL?analog=on","9208ACL"))*1</f>
        <v>#VALUE!</v>
      </c>
      <c r="B2062" s="1">
        <v>6964579</v>
      </c>
      <c r="C2062" t="s">
        <v>2219</v>
      </c>
      <c r="D2062" t="s">
        <v>2220</v>
      </c>
      <c r="E2062" t="s">
        <v>8</v>
      </c>
    </row>
    <row r="2063" spans="1:5" hidden="1" outlineLevel="1">
      <c r="A2063" s="2">
        <v>0</v>
      </c>
      <c r="B2063" s="26" t="s">
        <v>2221</v>
      </c>
      <c r="C2063" s="27">
        <v>0</v>
      </c>
      <c r="D2063" s="27">
        <v>0</v>
      </c>
      <c r="E2063" s="27">
        <v>0</v>
      </c>
    </row>
    <row r="2064" spans="1:5" hidden="1" outlineLevel="2">
      <c r="A2064" s="3" t="e">
        <f>(HYPERLINK("http://www.autodoc.ru/Web/price/art/3346AGN?analog=on","3346AGN"))*1</f>
        <v>#VALUE!</v>
      </c>
      <c r="B2064" s="1">
        <v>6960201</v>
      </c>
      <c r="C2064" t="s">
        <v>499</v>
      </c>
      <c r="D2064" t="s">
        <v>2222</v>
      </c>
      <c r="E2064" t="s">
        <v>8</v>
      </c>
    </row>
    <row r="2065" spans="1:5" hidden="1" outlineLevel="2">
      <c r="A2065" s="3" t="e">
        <f>(HYPERLINK("http://www.autodoc.ru/Web/price/art/3346ASMT?analog=on","3346ASMT"))*1</f>
        <v>#VALUE!</v>
      </c>
      <c r="B2065" s="1">
        <v>6100057</v>
      </c>
      <c r="C2065" t="s">
        <v>19</v>
      </c>
      <c r="D2065" t="s">
        <v>2223</v>
      </c>
      <c r="E2065" t="s">
        <v>21</v>
      </c>
    </row>
    <row r="2066" spans="1:5" hidden="1" outlineLevel="2">
      <c r="A2066" s="3" t="e">
        <f>(HYPERLINK("http://www.autodoc.ru/Web/price/art/3346RGNT2FV?analog=on","3346RGNT2FV"))*1</f>
        <v>#VALUE!</v>
      </c>
      <c r="B2066" s="1">
        <v>6995528</v>
      </c>
      <c r="C2066" t="s">
        <v>499</v>
      </c>
      <c r="D2066" t="s">
        <v>2224</v>
      </c>
      <c r="E2066" t="s">
        <v>10</v>
      </c>
    </row>
    <row r="2067" spans="1:5" hidden="1" outlineLevel="1">
      <c r="A2067" s="2">
        <v>0</v>
      </c>
      <c r="B2067" s="26" t="s">
        <v>2225</v>
      </c>
      <c r="C2067" s="27">
        <v>0</v>
      </c>
      <c r="D2067" s="27">
        <v>0</v>
      </c>
      <c r="E2067" s="27">
        <v>0</v>
      </c>
    </row>
    <row r="2068" spans="1:5" hidden="1" outlineLevel="2">
      <c r="A2068" s="3" t="e">
        <f>(HYPERLINK("http://www.autodoc.ru/Web/price/art/3341AGS?analog=on","3341AGS"))*1</f>
        <v>#VALUE!</v>
      </c>
      <c r="B2068" s="1">
        <v>6960200</v>
      </c>
      <c r="C2068" t="s">
        <v>1125</v>
      </c>
      <c r="D2068" t="s">
        <v>2226</v>
      </c>
      <c r="E2068" t="s">
        <v>8</v>
      </c>
    </row>
    <row r="2069" spans="1:5" hidden="1" outlineLevel="2">
      <c r="A2069" s="3" t="e">
        <f>(HYPERLINK("http://www.autodoc.ru/Web/price/art/3341AGSBL?analog=on","3341AGSBL"))*1</f>
        <v>#VALUE!</v>
      </c>
      <c r="B2069" s="1">
        <v>6960203</v>
      </c>
      <c r="C2069" t="s">
        <v>1125</v>
      </c>
      <c r="D2069" t="s">
        <v>2227</v>
      </c>
      <c r="E2069" t="s">
        <v>8</v>
      </c>
    </row>
    <row r="2070" spans="1:5" hidden="1" outlineLevel="2">
      <c r="A2070" s="3" t="e">
        <f>(HYPERLINK("http://www.autodoc.ru/Web/price/art/3341AGSGN?analog=on","3341AGSGN"))*1</f>
        <v>#VALUE!</v>
      </c>
      <c r="B2070" s="1">
        <v>6960204</v>
      </c>
      <c r="C2070" t="s">
        <v>1125</v>
      </c>
      <c r="D2070" t="s">
        <v>2228</v>
      </c>
      <c r="E2070" t="s">
        <v>8</v>
      </c>
    </row>
    <row r="2071" spans="1:5" hidden="1" outlineLevel="2">
      <c r="A2071" s="3" t="e">
        <f>(HYPERLINK("http://www.autodoc.ru/Web/price/art/3341ASMH?analog=on","3341ASMH"))*1</f>
        <v>#VALUE!</v>
      </c>
      <c r="B2071" s="1">
        <v>6100054</v>
      </c>
      <c r="C2071" t="s">
        <v>19</v>
      </c>
      <c r="D2071" t="s">
        <v>2229</v>
      </c>
      <c r="E2071" t="s">
        <v>21</v>
      </c>
    </row>
    <row r="2072" spans="1:5" hidden="1" outlineLevel="2">
      <c r="A2072" s="3" t="e">
        <f>(HYPERLINK("http://www.autodoc.ru/Web/price/art/3341BGSH?analog=on","3341BGSH"))*1</f>
        <v>#VALUE!</v>
      </c>
      <c r="B2072" s="1">
        <v>6991110</v>
      </c>
      <c r="C2072" t="s">
        <v>1125</v>
      </c>
      <c r="D2072" t="s">
        <v>2230</v>
      </c>
      <c r="E2072" t="s">
        <v>23</v>
      </c>
    </row>
    <row r="2073" spans="1:5" hidden="1" outlineLevel="2">
      <c r="A2073" s="3" t="e">
        <f>(HYPERLINK("http://www.autodoc.ru/Web/price/art/3341BSMH?analog=on","3341BSMH"))*1</f>
        <v>#VALUE!</v>
      </c>
      <c r="B2073" s="1">
        <v>6100055</v>
      </c>
      <c r="C2073" t="s">
        <v>19</v>
      </c>
      <c r="D2073" t="s">
        <v>2231</v>
      </c>
      <c r="E2073" t="s">
        <v>21</v>
      </c>
    </row>
    <row r="2074" spans="1:5" hidden="1" outlineLevel="2">
      <c r="A2074" s="3" t="e">
        <f>(HYPERLINK("http://www.autodoc.ru/Web/price/art/3341LGSH3FDW?analog=on","3341LGSH3FDW"))*1</f>
        <v>#VALUE!</v>
      </c>
      <c r="B2074" s="1">
        <v>6991101</v>
      </c>
      <c r="C2074" t="s">
        <v>1125</v>
      </c>
      <c r="D2074" t="s">
        <v>2232</v>
      </c>
      <c r="E2074" t="s">
        <v>10</v>
      </c>
    </row>
    <row r="2075" spans="1:5" hidden="1" outlineLevel="2">
      <c r="A2075" s="3" t="e">
        <f>(HYPERLINK("http://www.autodoc.ru/Web/price/art/3341LGSH3RQOW?analog=on","3341LGSH3RQOW"))*1</f>
        <v>#VALUE!</v>
      </c>
      <c r="B2075" s="1">
        <v>6991107</v>
      </c>
      <c r="C2075" t="s">
        <v>1125</v>
      </c>
      <c r="D2075" t="s">
        <v>2233</v>
      </c>
      <c r="E2075" t="s">
        <v>10</v>
      </c>
    </row>
    <row r="2076" spans="1:5" hidden="1" outlineLevel="2">
      <c r="A2076" s="3" t="e">
        <f>(HYPERLINK("http://www.autodoc.ru/Web/price/art/3341LGSH5FDW?analog=on","3341LGSH5FDW"))*1</f>
        <v>#VALUE!</v>
      </c>
      <c r="B2076" s="1">
        <v>6991103</v>
      </c>
      <c r="C2076" t="s">
        <v>1125</v>
      </c>
      <c r="D2076" t="s">
        <v>2234</v>
      </c>
      <c r="E2076" t="s">
        <v>10</v>
      </c>
    </row>
    <row r="2077" spans="1:5" hidden="1" outlineLevel="2">
      <c r="A2077" s="3" t="e">
        <f>(HYPERLINK("http://www.autodoc.ru/Web/price/art/3341LGSH5RDW?analog=on","3341LGSH5RDW"))*1</f>
        <v>#VALUE!</v>
      </c>
      <c r="B2077" s="1">
        <v>6991105</v>
      </c>
      <c r="C2077" t="s">
        <v>1125</v>
      </c>
      <c r="D2077" t="s">
        <v>2235</v>
      </c>
      <c r="E2077" t="s">
        <v>10</v>
      </c>
    </row>
    <row r="2078" spans="1:5" hidden="1" outlineLevel="2">
      <c r="A2078" s="3" t="e">
        <f>(HYPERLINK("http://www.autodoc.ru/Web/price/art/3341LGSH5RQZ?analog=on","3341LGSH5RQZ"))*1</f>
        <v>#VALUE!</v>
      </c>
      <c r="B2078" s="1">
        <v>6991109</v>
      </c>
      <c r="C2078" t="s">
        <v>1125</v>
      </c>
      <c r="D2078" t="s">
        <v>2236</v>
      </c>
      <c r="E2078" t="s">
        <v>10</v>
      </c>
    </row>
    <row r="2079" spans="1:5" hidden="1" outlineLevel="2">
      <c r="A2079" s="3" t="e">
        <f>(HYPERLINK("http://www.autodoc.ru/Web/price/art/3341RGSH3FDW?analog=on","3341RGSH3FDW"))*1</f>
        <v>#VALUE!</v>
      </c>
      <c r="B2079" s="1">
        <v>6991100</v>
      </c>
      <c r="C2079" t="s">
        <v>1125</v>
      </c>
      <c r="D2079" t="s">
        <v>2237</v>
      </c>
      <c r="E2079" t="s">
        <v>10</v>
      </c>
    </row>
    <row r="2080" spans="1:5" hidden="1" outlineLevel="2">
      <c r="A2080" s="3" t="e">
        <f>(HYPERLINK("http://www.autodoc.ru/Web/price/art/3341RGSH3RQOW?analog=on","3341RGSH3RQOW"))*1</f>
        <v>#VALUE!</v>
      </c>
      <c r="B2080" s="1">
        <v>6991106</v>
      </c>
      <c r="C2080" t="s">
        <v>1125</v>
      </c>
      <c r="D2080" t="s">
        <v>2238</v>
      </c>
      <c r="E2080" t="s">
        <v>10</v>
      </c>
    </row>
    <row r="2081" spans="1:5" hidden="1" outlineLevel="2">
      <c r="A2081" s="3" t="e">
        <f>(HYPERLINK("http://www.autodoc.ru/Web/price/art/3341RGSH5FDW?analog=on","3341RGSH5FDW"))*1</f>
        <v>#VALUE!</v>
      </c>
      <c r="B2081" s="1">
        <v>6991102</v>
      </c>
      <c r="C2081" t="s">
        <v>1125</v>
      </c>
      <c r="D2081" t="s">
        <v>2239</v>
      </c>
      <c r="E2081" t="s">
        <v>10</v>
      </c>
    </row>
    <row r="2082" spans="1:5" hidden="1" outlineLevel="2">
      <c r="A2082" s="3" t="e">
        <f>(HYPERLINK("http://www.autodoc.ru/Web/price/art/3341RGSH5RDW?analog=on","3341RGSH5RDW"))*1</f>
        <v>#VALUE!</v>
      </c>
      <c r="B2082" s="1">
        <v>6991104</v>
      </c>
      <c r="C2082" t="s">
        <v>1125</v>
      </c>
      <c r="D2082" t="s">
        <v>2240</v>
      </c>
      <c r="E2082" t="s">
        <v>10</v>
      </c>
    </row>
    <row r="2083" spans="1:5" hidden="1" outlineLevel="2">
      <c r="A2083" s="3" t="e">
        <f>(HYPERLINK("http://www.autodoc.ru/Web/price/art/3341RGSH5RQZ?analog=on","3341RGSH5RQZ"))*1</f>
        <v>#VALUE!</v>
      </c>
      <c r="B2083" s="1">
        <v>6991108</v>
      </c>
      <c r="C2083" t="s">
        <v>1125</v>
      </c>
      <c r="D2083" t="s">
        <v>2241</v>
      </c>
      <c r="E2083" t="s">
        <v>10</v>
      </c>
    </row>
    <row r="2084" spans="1:5" hidden="1" outlineLevel="1">
      <c r="A2084" s="2">
        <v>0</v>
      </c>
      <c r="B2084" s="26" t="s">
        <v>2242</v>
      </c>
      <c r="C2084" s="27">
        <v>0</v>
      </c>
      <c r="D2084" s="27">
        <v>0</v>
      </c>
      <c r="E2084" s="27">
        <v>0</v>
      </c>
    </row>
    <row r="2085" spans="1:5" hidden="1" outlineLevel="2">
      <c r="A2085" s="3" t="e">
        <f>(HYPERLINK("http://www.autodoc.ru/Web/price/art/3351AGS?analog=on","3351AGS"))*1</f>
        <v>#VALUE!</v>
      </c>
      <c r="B2085" s="1">
        <v>6960207</v>
      </c>
      <c r="C2085" t="s">
        <v>1134</v>
      </c>
      <c r="D2085" t="s">
        <v>2243</v>
      </c>
      <c r="E2085" t="s">
        <v>8</v>
      </c>
    </row>
    <row r="2086" spans="1:5" hidden="1" outlineLevel="2">
      <c r="A2086" s="3" t="e">
        <f>(HYPERLINK("http://www.autodoc.ru/Web/price/art/3351AGSBL?analog=on","3351AGSBL"))*1</f>
        <v>#VALUE!</v>
      </c>
      <c r="B2086" s="1">
        <v>6961484</v>
      </c>
      <c r="C2086" t="s">
        <v>1134</v>
      </c>
      <c r="D2086" t="s">
        <v>2244</v>
      </c>
      <c r="E2086" t="s">
        <v>8</v>
      </c>
    </row>
    <row r="2087" spans="1:5" hidden="1" outlineLevel="2">
      <c r="A2087" s="3" t="e">
        <f>(HYPERLINK("http://www.autodoc.ru/Web/price/art/3351AGSM1B?analog=on","3351AGSM1B"))*1</f>
        <v>#VALUE!</v>
      </c>
      <c r="B2087" s="1">
        <v>6960557</v>
      </c>
      <c r="C2087" t="s">
        <v>782</v>
      </c>
      <c r="D2087" t="s">
        <v>2245</v>
      </c>
      <c r="E2087" t="s">
        <v>8</v>
      </c>
    </row>
    <row r="2088" spans="1:5" hidden="1" outlineLevel="2">
      <c r="A2088" s="3" t="e">
        <f>(HYPERLINK("http://www.autodoc.ru/Web/price/art/3351ASMHT?analog=on","3351ASMHT"))*1</f>
        <v>#VALUE!</v>
      </c>
      <c r="B2088" s="1">
        <v>6100063</v>
      </c>
      <c r="C2088" t="s">
        <v>19</v>
      </c>
      <c r="D2088" t="s">
        <v>2246</v>
      </c>
      <c r="E2088" t="s">
        <v>21</v>
      </c>
    </row>
    <row r="2089" spans="1:5" hidden="1" outlineLevel="2">
      <c r="A2089" s="3" t="e">
        <f>(HYPERLINK("http://www.autodoc.ru/Web/price/art/3351BGSHBW?analog=on","3351BGSHBW"))*1</f>
        <v>#VALUE!</v>
      </c>
      <c r="B2089" s="1">
        <v>6991125</v>
      </c>
      <c r="C2089" t="s">
        <v>1134</v>
      </c>
      <c r="D2089" t="s">
        <v>2247</v>
      </c>
      <c r="E2089" t="s">
        <v>23</v>
      </c>
    </row>
    <row r="2090" spans="1:5" hidden="1" outlineLevel="2">
      <c r="A2090" s="3" t="e">
        <f>(HYPERLINK("http://www.autodoc.ru/Web/price/art/3351BGSHBW1H?analog=on","3351BGSHBW1H"))*1</f>
        <v>#VALUE!</v>
      </c>
      <c r="B2090" s="1">
        <v>6991124</v>
      </c>
      <c r="C2090" t="s">
        <v>1134</v>
      </c>
      <c r="D2090" t="s">
        <v>2248</v>
      </c>
      <c r="E2090" t="s">
        <v>23</v>
      </c>
    </row>
    <row r="2091" spans="1:5" hidden="1" outlineLevel="2">
      <c r="A2091" s="3" t="e">
        <f>(HYPERLINK("http://www.autodoc.ru/Web/price/art/3351BGSHBW1J?analog=on","3351BGSHBW1J"))*1</f>
        <v>#VALUE!</v>
      </c>
      <c r="B2091" s="1">
        <v>6991972</v>
      </c>
      <c r="C2091" t="s">
        <v>1134</v>
      </c>
      <c r="D2091" t="s">
        <v>2249</v>
      </c>
      <c r="E2091" t="s">
        <v>23</v>
      </c>
    </row>
    <row r="2092" spans="1:5" hidden="1" outlineLevel="2">
      <c r="A2092" s="3" t="e">
        <f>(HYPERLINK("http://www.autodoc.ru/Web/price/art/3351LGSH3FDW?analog=on","3351LGSH3FDW"))*1</f>
        <v>#VALUE!</v>
      </c>
      <c r="B2092" s="1">
        <v>6991127</v>
      </c>
      <c r="C2092" t="s">
        <v>1134</v>
      </c>
      <c r="D2092" t="s">
        <v>2250</v>
      </c>
      <c r="E2092" t="s">
        <v>10</v>
      </c>
    </row>
    <row r="2093" spans="1:5" hidden="1" outlineLevel="2">
      <c r="A2093" s="3" t="e">
        <f>(HYPERLINK("http://www.autodoc.ru/Web/price/art/3351LGSH3RQOW?analog=on","3351LGSH3RQOW"))*1</f>
        <v>#VALUE!</v>
      </c>
      <c r="B2093" s="1">
        <v>6991129</v>
      </c>
      <c r="C2093" t="s">
        <v>1134</v>
      </c>
      <c r="D2093" t="s">
        <v>2251</v>
      </c>
      <c r="E2093" t="s">
        <v>10</v>
      </c>
    </row>
    <row r="2094" spans="1:5" hidden="1" outlineLevel="2">
      <c r="A2094" s="3" t="e">
        <f>(HYPERLINK("http://www.autodoc.ru/Web/price/art/3351LGSH5FDW?analog=on","3351LGSH5FDW"))*1</f>
        <v>#VALUE!</v>
      </c>
      <c r="B2094" s="1">
        <v>6991068</v>
      </c>
      <c r="C2094" t="s">
        <v>1134</v>
      </c>
      <c r="D2094" t="s">
        <v>2252</v>
      </c>
      <c r="E2094" t="s">
        <v>10</v>
      </c>
    </row>
    <row r="2095" spans="1:5" hidden="1" outlineLevel="2">
      <c r="A2095" s="3" t="e">
        <f>(HYPERLINK("http://www.autodoc.ru/Web/price/art/3351LGSH5RDW?analog=on","3351LGSH5RDW"))*1</f>
        <v>#VALUE!</v>
      </c>
      <c r="B2095" s="1">
        <v>6991070</v>
      </c>
      <c r="C2095" t="s">
        <v>1134</v>
      </c>
      <c r="D2095" t="s">
        <v>2253</v>
      </c>
      <c r="E2095" t="s">
        <v>10</v>
      </c>
    </row>
    <row r="2096" spans="1:5" hidden="1" outlineLevel="2">
      <c r="A2096" s="3" t="e">
        <f>(HYPERLINK("http://www.autodoc.ru/Web/price/art/3351RGSH3FDW?analog=on","3351RGSH3FDW"))*1</f>
        <v>#VALUE!</v>
      </c>
      <c r="B2096" s="1">
        <v>6991126</v>
      </c>
      <c r="C2096" t="s">
        <v>1134</v>
      </c>
      <c r="D2096" t="s">
        <v>2254</v>
      </c>
      <c r="E2096" t="s">
        <v>10</v>
      </c>
    </row>
    <row r="2097" spans="1:5" hidden="1" outlineLevel="2">
      <c r="A2097" s="3" t="e">
        <f>(HYPERLINK("http://www.autodoc.ru/Web/price/art/3351RGSH3RQOW?analog=on","3351RGSH3RQOW"))*1</f>
        <v>#VALUE!</v>
      </c>
      <c r="B2097" s="1">
        <v>6991128</v>
      </c>
      <c r="C2097" t="s">
        <v>1134</v>
      </c>
      <c r="D2097" t="s">
        <v>2255</v>
      </c>
      <c r="E2097" t="s">
        <v>10</v>
      </c>
    </row>
    <row r="2098" spans="1:5" hidden="1" outlineLevel="2">
      <c r="A2098" s="3" t="e">
        <f>(HYPERLINK("http://www.autodoc.ru/Web/price/art/3351RGSH5FDW?analog=on","3351RGSH5FDW"))*1</f>
        <v>#VALUE!</v>
      </c>
      <c r="B2098" s="1">
        <v>6991067</v>
      </c>
      <c r="C2098" t="s">
        <v>1134</v>
      </c>
      <c r="D2098" t="s">
        <v>2256</v>
      </c>
      <c r="E2098" t="s">
        <v>10</v>
      </c>
    </row>
    <row r="2099" spans="1:5" hidden="1" outlineLevel="2">
      <c r="A2099" s="3" t="e">
        <f>(HYPERLINK("http://www.autodoc.ru/Web/price/art/3351RGSH5RDW?analog=on","3351RGSH5RDW"))*1</f>
        <v>#VALUE!</v>
      </c>
      <c r="B2099" s="1">
        <v>6991069</v>
      </c>
      <c r="C2099" t="s">
        <v>1134</v>
      </c>
      <c r="D2099" t="s">
        <v>2257</v>
      </c>
      <c r="E2099" t="s">
        <v>10</v>
      </c>
    </row>
    <row r="2100" spans="1:5" hidden="1" outlineLevel="1">
      <c r="A2100" s="2">
        <v>0</v>
      </c>
      <c r="B2100" s="26" t="s">
        <v>2258</v>
      </c>
      <c r="C2100" s="27">
        <v>0</v>
      </c>
      <c r="D2100" s="27">
        <v>0</v>
      </c>
      <c r="E2100" s="27">
        <v>0</v>
      </c>
    </row>
    <row r="2101" spans="1:5" hidden="1" outlineLevel="2">
      <c r="A2101" s="3" t="e">
        <f>(HYPERLINK("http://www.autodoc.ru/Web/price/art/3362AGNZ1D?analog=on","3362AGNZ1D"))*1</f>
        <v>#VALUE!</v>
      </c>
      <c r="B2101" s="1">
        <v>6962810</v>
      </c>
      <c r="C2101" t="s">
        <v>290</v>
      </c>
      <c r="D2101" t="s">
        <v>2259</v>
      </c>
      <c r="E2101" t="s">
        <v>8</v>
      </c>
    </row>
    <row r="2102" spans="1:5" hidden="1" outlineLevel="2">
      <c r="A2102" s="3" t="e">
        <f>(HYPERLINK("http://www.autodoc.ru/Web/price/art/3362AGSMZ1B?analog=on","3362AGSMZ1B"))*1</f>
        <v>#VALUE!</v>
      </c>
      <c r="B2102" s="1">
        <v>6961412</v>
      </c>
      <c r="C2102" t="s">
        <v>890</v>
      </c>
      <c r="D2102" t="s">
        <v>2260</v>
      </c>
      <c r="E2102" t="s">
        <v>8</v>
      </c>
    </row>
    <row r="2103" spans="1:5" hidden="1" outlineLevel="2">
      <c r="A2103" s="3" t="e">
        <f>(HYPERLINK("http://www.autodoc.ru/Web/price/art/3362AGSZ?analog=on","3362AGSZ"))*1</f>
        <v>#VALUE!</v>
      </c>
      <c r="B2103" s="1">
        <v>6960665</v>
      </c>
      <c r="C2103" t="s">
        <v>890</v>
      </c>
      <c r="D2103" t="s">
        <v>2261</v>
      </c>
      <c r="E2103" t="s">
        <v>8</v>
      </c>
    </row>
    <row r="2104" spans="1:5" hidden="1" outlineLevel="2">
      <c r="A2104" s="3" t="e">
        <f>(HYPERLINK("http://www.autodoc.ru/Web/price/art/3362BGDH?analog=on","3362BGDH"))*1</f>
        <v>#VALUE!</v>
      </c>
      <c r="B2104" s="1">
        <v>6993356</v>
      </c>
      <c r="C2104" t="s">
        <v>890</v>
      </c>
      <c r="D2104" t="s">
        <v>2262</v>
      </c>
      <c r="E2104" t="s">
        <v>23</v>
      </c>
    </row>
    <row r="2105" spans="1:5" hidden="1" outlineLevel="2">
      <c r="A2105" s="3" t="e">
        <f>(HYPERLINK("http://www.autodoc.ru/Web/price/art/3362BGSH?analog=on","3362BGSH"))*1</f>
        <v>#VALUE!</v>
      </c>
      <c r="B2105" s="1">
        <v>6992718</v>
      </c>
      <c r="C2105" t="s">
        <v>890</v>
      </c>
      <c r="D2105" t="s">
        <v>2263</v>
      </c>
      <c r="E2105" t="s">
        <v>23</v>
      </c>
    </row>
    <row r="2106" spans="1:5" hidden="1" outlineLevel="2">
      <c r="A2106" s="3" t="e">
        <f>(HYPERLINK("http://www.autodoc.ru/Web/price/art/3362LGDH3RQZ?analog=on","3362LGDH3RQZ"))*1</f>
        <v>#VALUE!</v>
      </c>
      <c r="B2106" s="1">
        <v>6993357</v>
      </c>
      <c r="C2106" t="s">
        <v>890</v>
      </c>
      <c r="D2106" t="s">
        <v>2264</v>
      </c>
      <c r="E2106" t="s">
        <v>10</v>
      </c>
    </row>
    <row r="2107" spans="1:5" hidden="1" outlineLevel="2">
      <c r="A2107" s="3" t="e">
        <f>(HYPERLINK("http://www.autodoc.ru/Web/price/art/3362LGDH5RDW?analog=on","3362LGDH5RDW"))*1</f>
        <v>#VALUE!</v>
      </c>
      <c r="B2107" s="1">
        <v>6993947</v>
      </c>
      <c r="C2107" t="s">
        <v>890</v>
      </c>
      <c r="D2107" t="s">
        <v>2265</v>
      </c>
      <c r="E2107" t="s">
        <v>10</v>
      </c>
    </row>
    <row r="2108" spans="1:5" hidden="1" outlineLevel="2">
      <c r="A2108" s="3" t="e">
        <f>(HYPERLINK("http://www.autodoc.ru/Web/price/art/3362LGSH3FDW?analog=on","3362LGSH3FDW"))*1</f>
        <v>#VALUE!</v>
      </c>
      <c r="B2108" s="1">
        <v>6992719</v>
      </c>
      <c r="C2108" t="s">
        <v>890</v>
      </c>
      <c r="D2108" t="s">
        <v>2266</v>
      </c>
      <c r="E2108" t="s">
        <v>10</v>
      </c>
    </row>
    <row r="2109" spans="1:5" hidden="1" outlineLevel="2">
      <c r="A2109" s="3" t="e">
        <f>(HYPERLINK("http://www.autodoc.ru/Web/price/art/3362LGSH3RQZ?analog=on","3362LGSH3RQZ"))*1</f>
        <v>#VALUE!</v>
      </c>
      <c r="B2109" s="1">
        <v>6992722</v>
      </c>
      <c r="C2109" t="s">
        <v>890</v>
      </c>
      <c r="D2109" t="s">
        <v>2267</v>
      </c>
      <c r="E2109" t="s">
        <v>10</v>
      </c>
    </row>
    <row r="2110" spans="1:5" hidden="1" outlineLevel="2">
      <c r="A2110" s="3" t="e">
        <f>(HYPERLINK("http://www.autodoc.ru/Web/price/art/3362LGSH5FDW?analog=on","3362LGSH5FDW"))*1</f>
        <v>#VALUE!</v>
      </c>
      <c r="B2110" s="1">
        <v>6994918</v>
      </c>
      <c r="C2110" t="s">
        <v>890</v>
      </c>
      <c r="D2110" t="s">
        <v>2268</v>
      </c>
      <c r="E2110" t="s">
        <v>10</v>
      </c>
    </row>
    <row r="2111" spans="1:5" hidden="1" outlineLevel="2">
      <c r="A2111" s="3" t="e">
        <f>(HYPERLINK("http://www.autodoc.ru/Web/price/art/3362LGSH5FQZ?analog=on","3362LGSH5FQZ"))*1</f>
        <v>#VALUE!</v>
      </c>
      <c r="B2111" s="1">
        <v>6996585</v>
      </c>
      <c r="C2111" t="s">
        <v>890</v>
      </c>
      <c r="D2111" t="s">
        <v>2269</v>
      </c>
      <c r="E2111" t="s">
        <v>10</v>
      </c>
    </row>
    <row r="2112" spans="1:5" hidden="1" outlineLevel="2">
      <c r="A2112" s="3" t="e">
        <f>(HYPERLINK("http://www.autodoc.ru/Web/price/art/3362LGSH5RDW?analog=on","3362LGSH5RDW"))*1</f>
        <v>#VALUE!</v>
      </c>
      <c r="B2112" s="1">
        <v>6993359</v>
      </c>
      <c r="C2112" t="s">
        <v>890</v>
      </c>
      <c r="D2112" t="s">
        <v>2270</v>
      </c>
      <c r="E2112" t="s">
        <v>10</v>
      </c>
    </row>
    <row r="2113" spans="1:5" hidden="1" outlineLevel="2">
      <c r="A2113" s="3" t="e">
        <f>(HYPERLINK("http://www.autodoc.ru/Web/price/art/3362LYPV3RQZ?analog=on","3362LYPV3RQZ"))*1</f>
        <v>#VALUE!</v>
      </c>
      <c r="B2113" s="1">
        <v>6996062</v>
      </c>
      <c r="C2113" t="s">
        <v>890</v>
      </c>
      <c r="D2113" t="s">
        <v>2271</v>
      </c>
      <c r="E2113" t="s">
        <v>10</v>
      </c>
    </row>
    <row r="2114" spans="1:5" hidden="1" outlineLevel="2">
      <c r="A2114" s="3" t="e">
        <f>(HYPERLINK("http://www.autodoc.ru/Web/price/art/3362RGDH3RQZ?analog=on","3362RGDH3RQZ"))*1</f>
        <v>#VALUE!</v>
      </c>
      <c r="B2114" s="1">
        <v>6993358</v>
      </c>
      <c r="C2114" t="s">
        <v>890</v>
      </c>
      <c r="D2114" t="s">
        <v>2272</v>
      </c>
      <c r="E2114" t="s">
        <v>10</v>
      </c>
    </row>
    <row r="2115" spans="1:5" hidden="1" outlineLevel="2">
      <c r="A2115" s="3" t="e">
        <f>(HYPERLINK("http://www.autodoc.ru/Web/price/art/3362RGDH5RDW?analog=on","3362RGDH5RDW"))*1</f>
        <v>#VALUE!</v>
      </c>
      <c r="B2115" s="1">
        <v>6993946</v>
      </c>
      <c r="C2115" t="s">
        <v>890</v>
      </c>
      <c r="D2115" t="s">
        <v>2273</v>
      </c>
      <c r="E2115" t="s">
        <v>10</v>
      </c>
    </row>
    <row r="2116" spans="1:5" hidden="1" outlineLevel="2">
      <c r="A2116" s="3" t="e">
        <f>(HYPERLINK("http://www.autodoc.ru/Web/price/art/3362RGSH3FDW?analog=on","3362RGSH3FDW"))*1</f>
        <v>#VALUE!</v>
      </c>
      <c r="B2116" s="1">
        <v>6992721</v>
      </c>
      <c r="C2116" t="s">
        <v>890</v>
      </c>
      <c r="D2116" t="s">
        <v>2274</v>
      </c>
      <c r="E2116" t="s">
        <v>10</v>
      </c>
    </row>
    <row r="2117" spans="1:5" hidden="1" outlineLevel="2">
      <c r="A2117" s="3" t="e">
        <f>(HYPERLINK("http://www.autodoc.ru/Web/price/art/3362RGSH3RQZ?analog=on","3362RGSH3RQZ"))*1</f>
        <v>#VALUE!</v>
      </c>
      <c r="B2117" s="1">
        <v>6992723</v>
      </c>
      <c r="C2117" t="s">
        <v>890</v>
      </c>
      <c r="D2117" t="s">
        <v>2275</v>
      </c>
      <c r="E2117" t="s">
        <v>10</v>
      </c>
    </row>
    <row r="2118" spans="1:5" hidden="1" outlineLevel="2">
      <c r="A2118" s="3" t="e">
        <f>(HYPERLINK("http://www.autodoc.ru/Web/price/art/3362RGSH5FDW?analog=on","3362RGSH5FDW"))*1</f>
        <v>#VALUE!</v>
      </c>
      <c r="B2118" s="1">
        <v>6994919</v>
      </c>
      <c r="C2118" t="s">
        <v>890</v>
      </c>
      <c r="D2118" t="s">
        <v>2276</v>
      </c>
      <c r="E2118" t="s">
        <v>10</v>
      </c>
    </row>
    <row r="2119" spans="1:5" hidden="1" outlineLevel="2">
      <c r="A2119" s="3" t="e">
        <f>(HYPERLINK("http://www.autodoc.ru/Web/price/art/3362RGSH5FQZ?analog=on","3362RGSH5FQZ"))*1</f>
        <v>#VALUE!</v>
      </c>
      <c r="B2119" s="1">
        <v>6996586</v>
      </c>
      <c r="C2119" t="s">
        <v>890</v>
      </c>
      <c r="D2119" t="s">
        <v>2277</v>
      </c>
      <c r="E2119" t="s">
        <v>10</v>
      </c>
    </row>
    <row r="2120" spans="1:5" hidden="1" outlineLevel="2">
      <c r="A2120" s="3" t="e">
        <f>(HYPERLINK("http://www.autodoc.ru/Web/price/art/3362RGSH5RDW?analog=on","3362RGSH5RDW"))*1</f>
        <v>#VALUE!</v>
      </c>
      <c r="B2120" s="1">
        <v>6993360</v>
      </c>
      <c r="C2120" t="s">
        <v>890</v>
      </c>
      <c r="D2120" t="s">
        <v>2278</v>
      </c>
      <c r="E2120" t="s">
        <v>10</v>
      </c>
    </row>
    <row r="2121" spans="1:5" hidden="1" outlineLevel="2">
      <c r="A2121" s="3" t="e">
        <f>(HYPERLINK("http://www.autodoc.ru/Web/price/art/3362RYPV3RQZ?analog=on","3362RYPV3RQZ"))*1</f>
        <v>#VALUE!</v>
      </c>
      <c r="B2121" s="1">
        <v>6996061</v>
      </c>
      <c r="C2121" t="s">
        <v>890</v>
      </c>
      <c r="D2121" t="s">
        <v>2279</v>
      </c>
      <c r="E2121" t="s">
        <v>10</v>
      </c>
    </row>
    <row r="2122" spans="1:5" hidden="1" outlineLevel="1">
      <c r="A2122" s="2">
        <v>0</v>
      </c>
      <c r="B2122" s="26" t="s">
        <v>2280</v>
      </c>
      <c r="C2122" s="27">
        <v>0</v>
      </c>
      <c r="D2122" s="27">
        <v>0</v>
      </c>
      <c r="E2122" s="27">
        <v>0</v>
      </c>
    </row>
    <row r="2123" spans="1:5" hidden="1" outlineLevel="2">
      <c r="A2123" s="3" t="e">
        <f>(HYPERLINK("http://www.autodoc.ru/Web/price/art/3752ACCMVZ1P?analog=on","3752ACCMVZ1P"))*1</f>
        <v>#VALUE!</v>
      </c>
      <c r="B2123" s="1">
        <v>6190695</v>
      </c>
      <c r="C2123" t="s">
        <v>290</v>
      </c>
      <c r="D2123" t="s">
        <v>2281</v>
      </c>
      <c r="E2123" t="s">
        <v>8</v>
      </c>
    </row>
    <row r="2124" spans="1:5" hidden="1" outlineLevel="2">
      <c r="A2124" s="3" t="e">
        <f>(HYPERLINK("http://www.autodoc.ru/Web/price/art/3752ACCVZ?analog=on","3752ACCVZ"))*1</f>
        <v>#VALUE!</v>
      </c>
      <c r="B2124" s="1">
        <v>6190696</v>
      </c>
      <c r="C2124" t="s">
        <v>290</v>
      </c>
      <c r="D2124" t="s">
        <v>2282</v>
      </c>
      <c r="E2124" t="s">
        <v>8</v>
      </c>
    </row>
    <row r="2125" spans="1:5" hidden="1" outlineLevel="2">
      <c r="A2125" s="3" t="e">
        <f>(HYPERLINK("http://www.autodoc.ru/Web/price/art/3752AGSMVZ1P?analog=on","3752AGSMVZ1P"))*1</f>
        <v>#VALUE!</v>
      </c>
      <c r="B2125" s="1">
        <v>6190697</v>
      </c>
      <c r="C2125" t="s">
        <v>290</v>
      </c>
      <c r="D2125" t="s">
        <v>2283</v>
      </c>
      <c r="E2125" t="s">
        <v>8</v>
      </c>
    </row>
    <row r="2126" spans="1:5" hidden="1" outlineLevel="2">
      <c r="A2126" s="3" t="e">
        <f>(HYPERLINK("http://www.autodoc.ru/Web/price/art/3752AGSVZ?analog=on","3752AGSVZ"))*1</f>
        <v>#VALUE!</v>
      </c>
      <c r="B2126" s="1">
        <v>6190698</v>
      </c>
      <c r="C2126" t="s">
        <v>290</v>
      </c>
      <c r="D2126" t="s">
        <v>2284</v>
      </c>
      <c r="E2126" t="s">
        <v>8</v>
      </c>
    </row>
    <row r="2127" spans="1:5" hidden="1" outlineLevel="2">
      <c r="A2127" s="3" t="e">
        <f>(HYPERLINK("http://www.autodoc.ru/Web/price/art/3752BGDVB?analog=on","3752BGDVB"))*1</f>
        <v>#VALUE!</v>
      </c>
      <c r="B2127" s="1">
        <v>6190699</v>
      </c>
      <c r="C2127" t="s">
        <v>290</v>
      </c>
      <c r="D2127" t="s">
        <v>2285</v>
      </c>
      <c r="E2127" t="s">
        <v>23</v>
      </c>
    </row>
    <row r="2128" spans="1:5" hidden="1" outlineLevel="2">
      <c r="A2128" s="3" t="e">
        <f>(HYPERLINK("http://www.autodoc.ru/Web/price/art/3752BGSVB?analog=on","3752BGSVB"))*1</f>
        <v>#VALUE!</v>
      </c>
      <c r="B2128" s="1">
        <v>6190700</v>
      </c>
      <c r="C2128" t="s">
        <v>290</v>
      </c>
      <c r="D2128" t="s">
        <v>2286</v>
      </c>
      <c r="E2128" t="s">
        <v>23</v>
      </c>
    </row>
    <row r="2129" spans="1:5" hidden="1" outlineLevel="2">
      <c r="A2129" s="3" t="e">
        <f>(HYPERLINK("http://www.autodoc.ru/Web/price/art/3752BGSVL?analog=on","3752BGSVL"))*1</f>
        <v>#VALUE!</v>
      </c>
      <c r="B2129" s="1">
        <v>6190701</v>
      </c>
      <c r="C2129" t="s">
        <v>290</v>
      </c>
      <c r="D2129" t="s">
        <v>2287</v>
      </c>
      <c r="E2129" t="s">
        <v>23</v>
      </c>
    </row>
    <row r="2130" spans="1:5" hidden="1" outlineLevel="2">
      <c r="A2130" s="3" t="e">
        <f>(HYPERLINK("http://www.autodoc.ru/Web/price/art/3752BGSVLU?analog=on","3752BGSVLU"))*1</f>
        <v>#VALUE!</v>
      </c>
      <c r="B2130" s="1">
        <v>6190702</v>
      </c>
      <c r="C2130" t="s">
        <v>290</v>
      </c>
      <c r="D2130" t="s">
        <v>2288</v>
      </c>
      <c r="E2130" t="s">
        <v>23</v>
      </c>
    </row>
    <row r="2131" spans="1:5" hidden="1" outlineLevel="2">
      <c r="A2131" s="3" t="e">
        <f>(HYPERLINK("http://www.autodoc.ru/Web/price/art/3752BGSVR?analog=on","3752BGSVR"))*1</f>
        <v>#VALUE!</v>
      </c>
      <c r="B2131" s="1">
        <v>6190703</v>
      </c>
      <c r="C2131" t="s">
        <v>290</v>
      </c>
      <c r="D2131" t="s">
        <v>2289</v>
      </c>
      <c r="E2131" t="s">
        <v>23</v>
      </c>
    </row>
    <row r="2132" spans="1:5" hidden="1" outlineLevel="2">
      <c r="A2132" s="3" t="e">
        <f>(HYPERLINK("http://www.autodoc.ru/Web/price/art/3752BGSVRU?analog=on","3752BGSVRU"))*1</f>
        <v>#VALUE!</v>
      </c>
      <c r="B2132" s="1">
        <v>6190704</v>
      </c>
      <c r="C2132" t="s">
        <v>290</v>
      </c>
      <c r="D2132" t="s">
        <v>2290</v>
      </c>
      <c r="E2132" t="s">
        <v>23</v>
      </c>
    </row>
    <row r="2133" spans="1:5" hidden="1" outlineLevel="2">
      <c r="A2133" s="3" t="e">
        <f>(HYPERLINK("http://www.autodoc.ru/Web/price/art/3752LGPV5RD?analog=on","3752LGPV5RD"))*1</f>
        <v>#VALUE!</v>
      </c>
      <c r="B2133" s="1">
        <v>6190823</v>
      </c>
      <c r="C2133" t="s">
        <v>290</v>
      </c>
      <c r="D2133" t="s">
        <v>2291</v>
      </c>
      <c r="E2133" t="s">
        <v>10</v>
      </c>
    </row>
    <row r="2134" spans="1:5" hidden="1" outlineLevel="2">
      <c r="A2134" s="3" t="e">
        <f>(HYPERLINK("http://www.autodoc.ru/Web/price/art/3752LGSV5FD?analog=on","3752LGSV5FD"))*1</f>
        <v>#VALUE!</v>
      </c>
      <c r="B2134" s="1">
        <v>6190818</v>
      </c>
      <c r="C2134" t="s">
        <v>290</v>
      </c>
      <c r="D2134" t="s">
        <v>2292</v>
      </c>
      <c r="E2134" t="s">
        <v>10</v>
      </c>
    </row>
    <row r="2135" spans="1:5" hidden="1" outlineLevel="2">
      <c r="A2135" s="3" t="e">
        <f>(HYPERLINK("http://www.autodoc.ru/Web/price/art/3752LGSV5RD?analog=on","3752LGSV5RD"))*1</f>
        <v>#VALUE!</v>
      </c>
      <c r="B2135" s="1">
        <v>6190820</v>
      </c>
      <c r="C2135" t="s">
        <v>290</v>
      </c>
      <c r="D2135" t="s">
        <v>2293</v>
      </c>
      <c r="E2135" t="s">
        <v>10</v>
      </c>
    </row>
    <row r="2136" spans="1:5" hidden="1" outlineLevel="2">
      <c r="A2136" s="3" t="e">
        <f>(HYPERLINK("http://www.autodoc.ru/Web/price/art/3752LGSV5RQ1J?analog=on","3752LGSV5RQ1J"))*1</f>
        <v>#VALUE!</v>
      </c>
      <c r="B2136" s="1">
        <v>6190828</v>
      </c>
      <c r="C2136" t="s">
        <v>290</v>
      </c>
      <c r="D2136" t="s">
        <v>2294</v>
      </c>
      <c r="E2136" t="s">
        <v>10</v>
      </c>
    </row>
    <row r="2137" spans="1:5" hidden="1" outlineLevel="2">
      <c r="A2137" s="3" t="e">
        <f>(HYPERLINK("http://www.autodoc.ru/Web/price/art/3752RGPV5RD?analog=on","3752RGPV5RD"))*1</f>
        <v>#VALUE!</v>
      </c>
      <c r="B2137" s="1">
        <v>6190822</v>
      </c>
      <c r="C2137" t="s">
        <v>290</v>
      </c>
      <c r="D2137" t="s">
        <v>2295</v>
      </c>
      <c r="E2137" t="s">
        <v>10</v>
      </c>
    </row>
    <row r="2138" spans="1:5" hidden="1" outlineLevel="2">
      <c r="A2138" s="3" t="e">
        <f>(HYPERLINK("http://www.autodoc.ru/Web/price/art/3752RGSV5FD?analog=on","3752RGSV5FD"))*1</f>
        <v>#VALUE!</v>
      </c>
      <c r="B2138" s="1">
        <v>6190819</v>
      </c>
      <c r="C2138" t="s">
        <v>290</v>
      </c>
      <c r="D2138" t="s">
        <v>2296</v>
      </c>
      <c r="E2138" t="s">
        <v>10</v>
      </c>
    </row>
    <row r="2139" spans="1:5" hidden="1" outlineLevel="2">
      <c r="A2139" s="3" t="e">
        <f>(HYPERLINK("http://www.autodoc.ru/Web/price/art/3752RGSV5RD?analog=on","3752RGSV5RD"))*1</f>
        <v>#VALUE!</v>
      </c>
      <c r="B2139" s="1">
        <v>6190821</v>
      </c>
      <c r="C2139" t="s">
        <v>290</v>
      </c>
      <c r="D2139" t="s">
        <v>2297</v>
      </c>
      <c r="E2139" t="s">
        <v>10</v>
      </c>
    </row>
    <row r="2140" spans="1:5" hidden="1" outlineLevel="2">
      <c r="A2140" s="3" t="e">
        <f>(HYPERLINK("http://www.autodoc.ru/Web/price/art/3752RGSV5RQ?analog=on","3752RGSV5RQ"))*1</f>
        <v>#VALUE!</v>
      </c>
      <c r="B2140" s="1">
        <v>6190824</v>
      </c>
      <c r="C2140" t="s">
        <v>290</v>
      </c>
      <c r="D2140" t="s">
        <v>2298</v>
      </c>
      <c r="E2140" t="s">
        <v>10</v>
      </c>
    </row>
    <row r="2141" spans="1:5" hidden="1" outlineLevel="2">
      <c r="A2141" s="3" t="e">
        <f>(HYPERLINK("http://www.autodoc.ru/Web/price/art/3752RGSV5RQ1J?analog=on","3752RGSV5RQ1J"))*1</f>
        <v>#VALUE!</v>
      </c>
      <c r="B2141" s="1">
        <v>6190827</v>
      </c>
      <c r="C2141" t="s">
        <v>290</v>
      </c>
      <c r="D2141" t="s">
        <v>2299</v>
      </c>
      <c r="E2141" t="s">
        <v>10</v>
      </c>
    </row>
    <row r="2142" spans="1:5" hidden="1" outlineLevel="1">
      <c r="A2142" s="2">
        <v>0</v>
      </c>
      <c r="B2142" s="26" t="s">
        <v>2300</v>
      </c>
      <c r="C2142" s="27">
        <v>0</v>
      </c>
      <c r="D2142" s="27">
        <v>0</v>
      </c>
      <c r="E2142" s="27">
        <v>0</v>
      </c>
    </row>
    <row r="2143" spans="1:5" hidden="1" outlineLevel="2">
      <c r="A2143" s="3" t="e">
        <f>(HYPERLINK("http://www.autodoc.ru/Web/price/art/3350ACL?analog=on","3350ACL"))*1</f>
        <v>#VALUE!</v>
      </c>
      <c r="B2143" s="1">
        <v>6961223</v>
      </c>
      <c r="C2143" t="s">
        <v>2167</v>
      </c>
      <c r="D2143" t="s">
        <v>2301</v>
      </c>
      <c r="E2143" t="s">
        <v>8</v>
      </c>
    </row>
    <row r="2144" spans="1:5" hidden="1" outlineLevel="2">
      <c r="A2144" s="3" t="e">
        <f>(HYPERLINK("http://www.autodoc.ru/Web/price/art/3350AGN?analog=on","3350AGN"))*1</f>
        <v>#VALUE!</v>
      </c>
      <c r="B2144" s="1">
        <v>6961222</v>
      </c>
      <c r="C2144" t="s">
        <v>2167</v>
      </c>
      <c r="D2144" t="s">
        <v>2302</v>
      </c>
      <c r="E2144" t="s">
        <v>8</v>
      </c>
    </row>
    <row r="2145" spans="1:5" hidden="1" outlineLevel="2">
      <c r="A2145" s="3" t="e">
        <f>(HYPERLINK("http://www.autodoc.ru/Web/price/art/3350ASMH?analog=on","3350ASMH"))*1</f>
        <v>#VALUE!</v>
      </c>
      <c r="B2145" s="1">
        <v>6100460</v>
      </c>
      <c r="C2145" t="s">
        <v>19</v>
      </c>
      <c r="D2145" t="s">
        <v>2303</v>
      </c>
      <c r="E2145" t="s">
        <v>21</v>
      </c>
    </row>
    <row r="2146" spans="1:5" hidden="1" outlineLevel="2">
      <c r="A2146" s="3" t="e">
        <f>(HYPERLINK("http://www.autodoc.ru/Web/price/art/3350LGNH3FD?analog=on","3350LGNH3FD"))*1</f>
        <v>#VALUE!</v>
      </c>
      <c r="B2146" s="1">
        <v>6190910</v>
      </c>
      <c r="C2146" t="s">
        <v>2167</v>
      </c>
      <c r="D2146" t="s">
        <v>2304</v>
      </c>
      <c r="E2146" t="s">
        <v>10</v>
      </c>
    </row>
    <row r="2147" spans="1:5" hidden="1" outlineLevel="2">
      <c r="A2147" s="3" t="e">
        <f>(HYPERLINK("http://www.autodoc.ru/Web/price/art/3350RCLH3RQ?analog=on","3350RCLH3RQ"))*1</f>
        <v>#VALUE!</v>
      </c>
      <c r="B2147" s="1">
        <v>6994389</v>
      </c>
      <c r="C2147" t="s">
        <v>2167</v>
      </c>
      <c r="D2147" t="s">
        <v>2305</v>
      </c>
      <c r="E2147" t="s">
        <v>10</v>
      </c>
    </row>
    <row r="2148" spans="1:5" hidden="1" outlineLevel="2">
      <c r="A2148" s="3" t="e">
        <f>(HYPERLINK("http://www.autodoc.ru/Web/price/art/3350RGNH3FD?analog=on","3350RGNH3FD"))*1</f>
        <v>#VALUE!</v>
      </c>
      <c r="B2148" s="1">
        <v>6190911</v>
      </c>
      <c r="C2148" t="s">
        <v>2167</v>
      </c>
      <c r="D2148" t="s">
        <v>2306</v>
      </c>
      <c r="E2148" t="s">
        <v>10</v>
      </c>
    </row>
    <row r="2149" spans="1:5" hidden="1" outlineLevel="2">
      <c r="A2149" s="3" t="e">
        <f>(HYPERLINK("http://www.autodoc.ru/Web/price/art/OLD-3350LGNH3FD?analog=on","OLD-3350LGNH3FD"))*1</f>
        <v>#VALUE!</v>
      </c>
      <c r="B2149" s="1">
        <v>6994391</v>
      </c>
      <c r="C2149" t="s">
        <v>2167</v>
      </c>
      <c r="D2149" t="s">
        <v>2304</v>
      </c>
      <c r="E2149" t="s">
        <v>10</v>
      </c>
    </row>
    <row r="2150" spans="1:5" hidden="1" outlineLevel="2">
      <c r="A2150" s="3" t="e">
        <f>(HYPERLINK("http://www.autodoc.ru/Web/price/art/OLD-3350RGNH3FD?analog=on","OLD-3350RGNH3FD"))*1</f>
        <v>#VALUE!</v>
      </c>
      <c r="B2150" s="1">
        <v>6994394</v>
      </c>
      <c r="C2150" t="s">
        <v>2167</v>
      </c>
      <c r="D2150" t="s">
        <v>2306</v>
      </c>
      <c r="E2150" t="s">
        <v>10</v>
      </c>
    </row>
    <row r="2151" spans="1:5" hidden="1" outlineLevel="1">
      <c r="A2151" s="2">
        <v>0</v>
      </c>
      <c r="B2151" s="26" t="s">
        <v>2307</v>
      </c>
      <c r="C2151" s="27">
        <v>0</v>
      </c>
      <c r="D2151" s="27">
        <v>0</v>
      </c>
      <c r="E2151" s="27">
        <v>0</v>
      </c>
    </row>
    <row r="2152" spans="1:5" hidden="1" outlineLevel="2">
      <c r="A2152" s="3" t="e">
        <f>(HYPERLINK("http://www.autodoc.ru/Web/price/art/3355AGSMZ?analog=on","3355AGSMZ"))*1</f>
        <v>#VALUE!</v>
      </c>
      <c r="B2152" s="1">
        <v>6960957</v>
      </c>
      <c r="C2152" t="s">
        <v>261</v>
      </c>
      <c r="D2152" t="s">
        <v>2308</v>
      </c>
      <c r="E2152" t="s">
        <v>8</v>
      </c>
    </row>
    <row r="2153" spans="1:5" hidden="1" outlineLevel="2">
      <c r="A2153" s="3" t="e">
        <f>(HYPERLINK("http://www.autodoc.ru/Web/price/art/3355AGSZ?analog=on","3355AGSZ"))*1</f>
        <v>#VALUE!</v>
      </c>
      <c r="B2153" s="1">
        <v>6960956</v>
      </c>
      <c r="C2153" t="s">
        <v>261</v>
      </c>
      <c r="D2153" t="s">
        <v>2309</v>
      </c>
      <c r="E2153" t="s">
        <v>8</v>
      </c>
    </row>
    <row r="2154" spans="1:5" hidden="1" outlineLevel="2">
      <c r="A2154" s="3" t="e">
        <f>(HYPERLINK("http://www.autodoc.ru/Web/price/art/3355BGSHBW?analog=on","3355BGSHBW"))*1</f>
        <v>#VALUE!</v>
      </c>
      <c r="B2154" s="1">
        <v>6980008</v>
      </c>
      <c r="C2154" t="s">
        <v>261</v>
      </c>
      <c r="D2154" t="s">
        <v>2310</v>
      </c>
      <c r="E2154" t="s">
        <v>23</v>
      </c>
    </row>
    <row r="2155" spans="1:5" hidden="1" outlineLevel="2">
      <c r="A2155" s="3" t="e">
        <f>(HYPERLINK("http://www.autodoc.ru/Web/price/art/3355LGSH5FD?analog=on","3355LGSH5FD"))*1</f>
        <v>#VALUE!</v>
      </c>
      <c r="B2155" s="1">
        <v>6980086</v>
      </c>
      <c r="C2155" t="s">
        <v>261</v>
      </c>
      <c r="D2155" t="s">
        <v>2311</v>
      </c>
      <c r="E2155" t="s">
        <v>10</v>
      </c>
    </row>
    <row r="2156" spans="1:5" hidden="1" outlineLevel="2">
      <c r="A2156" s="3" t="e">
        <f>(HYPERLINK("http://www.autodoc.ru/Web/price/art/3355LGSH5RDW?analog=on","3355LGSH5RDW"))*1</f>
        <v>#VALUE!</v>
      </c>
      <c r="B2156" s="1">
        <v>6980088</v>
      </c>
      <c r="C2156" t="s">
        <v>261</v>
      </c>
      <c r="D2156" t="s">
        <v>2312</v>
      </c>
      <c r="E2156" t="s">
        <v>10</v>
      </c>
    </row>
    <row r="2157" spans="1:5" hidden="1" outlineLevel="2">
      <c r="A2157" s="3" t="e">
        <f>(HYPERLINK("http://www.autodoc.ru/Web/price/art/3355LGSH5RQZ?analog=on","3355LGSH5RQZ"))*1</f>
        <v>#VALUE!</v>
      </c>
      <c r="B2157" s="1">
        <v>6993964</v>
      </c>
      <c r="C2157" t="s">
        <v>261</v>
      </c>
      <c r="D2157" t="s">
        <v>2313</v>
      </c>
      <c r="E2157" t="s">
        <v>10</v>
      </c>
    </row>
    <row r="2158" spans="1:5" hidden="1" outlineLevel="2">
      <c r="A2158" s="3" t="e">
        <f>(HYPERLINK("http://www.autodoc.ru/Web/price/art/3355RGSH5FD?analog=on","3355RGSH5FD"))*1</f>
        <v>#VALUE!</v>
      </c>
      <c r="B2158" s="1">
        <v>6980087</v>
      </c>
      <c r="C2158" t="s">
        <v>261</v>
      </c>
      <c r="D2158" t="s">
        <v>2314</v>
      </c>
      <c r="E2158" t="s">
        <v>10</v>
      </c>
    </row>
    <row r="2159" spans="1:5" hidden="1" outlineLevel="2">
      <c r="A2159" s="3" t="e">
        <f>(HYPERLINK("http://www.autodoc.ru/Web/price/art/3355RGSH5RDW?analog=on","3355RGSH5RDW"))*1</f>
        <v>#VALUE!</v>
      </c>
      <c r="B2159" s="1">
        <v>6980089</v>
      </c>
      <c r="C2159" t="s">
        <v>261</v>
      </c>
      <c r="D2159" t="s">
        <v>2315</v>
      </c>
      <c r="E2159" t="s">
        <v>10</v>
      </c>
    </row>
    <row r="2160" spans="1:5" hidden="1" outlineLevel="2">
      <c r="A2160" s="3" t="e">
        <f>(HYPERLINK("http://www.autodoc.ru/Web/price/art/3355RGSH5RQZ?analog=on","3355RGSH5RQZ"))*1</f>
        <v>#VALUE!</v>
      </c>
      <c r="B2160" s="1">
        <v>6993967</v>
      </c>
      <c r="C2160" t="s">
        <v>261</v>
      </c>
      <c r="D2160" t="s">
        <v>2316</v>
      </c>
      <c r="E2160" t="s">
        <v>10</v>
      </c>
    </row>
    <row r="2161" spans="1:5" hidden="1" outlineLevel="1">
      <c r="A2161" s="2">
        <v>0</v>
      </c>
      <c r="B2161" s="26" t="s">
        <v>2317</v>
      </c>
      <c r="C2161" s="27">
        <v>0</v>
      </c>
      <c r="D2161" s="27">
        <v>0</v>
      </c>
      <c r="E2161" s="27">
        <v>0</v>
      </c>
    </row>
    <row r="2162" spans="1:5" hidden="1" outlineLevel="2">
      <c r="A2162" s="3" t="e">
        <f>(HYPERLINK("http://www.autodoc.ru/Web/price/art/3356AGSZ?analog=on","3356AGSZ"))*1</f>
        <v>#VALUE!</v>
      </c>
      <c r="B2162" s="1">
        <v>6960953</v>
      </c>
      <c r="C2162" t="s">
        <v>261</v>
      </c>
      <c r="D2162" t="s">
        <v>2318</v>
      </c>
      <c r="E2162" t="s">
        <v>8</v>
      </c>
    </row>
    <row r="2163" spans="1:5" hidden="1" outlineLevel="2">
      <c r="A2163" s="3" t="e">
        <f>(HYPERLINK("http://www.autodoc.ru/Web/price/art/3356BGSHBW?analog=on","3356BGSHBW"))*1</f>
        <v>#VALUE!</v>
      </c>
      <c r="B2163" s="1">
        <v>6980006</v>
      </c>
      <c r="C2163" t="s">
        <v>261</v>
      </c>
      <c r="D2163" t="s">
        <v>2310</v>
      </c>
      <c r="E2163" t="s">
        <v>23</v>
      </c>
    </row>
    <row r="2164" spans="1:5" hidden="1" outlineLevel="2">
      <c r="A2164" s="3" t="e">
        <f>(HYPERLINK("http://www.autodoc.ru/Web/price/art/3356BGSHBW1H?analog=on","3356BGSHBW1H"))*1</f>
        <v>#VALUE!</v>
      </c>
      <c r="B2164" s="1">
        <v>6980279</v>
      </c>
      <c r="C2164" t="s">
        <v>261</v>
      </c>
      <c r="D2164" t="s">
        <v>2319</v>
      </c>
      <c r="E2164" t="s">
        <v>23</v>
      </c>
    </row>
    <row r="2165" spans="1:5" hidden="1" outlineLevel="2">
      <c r="A2165" s="3" t="e">
        <f>(HYPERLINK("http://www.autodoc.ru/Web/price/art/3356LGSH3FD?analog=on","3356LGSH3FD"))*1</f>
        <v>#VALUE!</v>
      </c>
      <c r="B2165" s="1">
        <v>6980084</v>
      </c>
      <c r="C2165" t="s">
        <v>261</v>
      </c>
      <c r="D2165" t="s">
        <v>2311</v>
      </c>
      <c r="E2165" t="s">
        <v>10</v>
      </c>
    </row>
    <row r="2166" spans="1:5" hidden="1" outlineLevel="2">
      <c r="A2166" s="3" t="e">
        <f>(HYPERLINK("http://www.autodoc.ru/Web/price/art/3356LGSH3RQZ?analog=on","3356LGSH3RQZ"))*1</f>
        <v>#VALUE!</v>
      </c>
      <c r="B2166" s="1">
        <v>6993963</v>
      </c>
      <c r="C2166" t="s">
        <v>261</v>
      </c>
      <c r="D2166" t="s">
        <v>2313</v>
      </c>
      <c r="E2166" t="s">
        <v>10</v>
      </c>
    </row>
    <row r="2167" spans="1:5" hidden="1" outlineLevel="2">
      <c r="A2167" s="3" t="e">
        <f>(HYPERLINK("http://www.autodoc.ru/Web/price/art/3356RGSH3FD?analog=on","3356RGSH3FD"))*1</f>
        <v>#VALUE!</v>
      </c>
      <c r="B2167" s="1">
        <v>6980085</v>
      </c>
      <c r="C2167" t="s">
        <v>261</v>
      </c>
      <c r="D2167" t="s">
        <v>2314</v>
      </c>
      <c r="E2167" t="s">
        <v>10</v>
      </c>
    </row>
    <row r="2168" spans="1:5" hidden="1" outlineLevel="2">
      <c r="A2168" s="3" t="e">
        <f>(HYPERLINK("http://www.autodoc.ru/Web/price/art/3356RGSH3RQZ?analog=on","3356RGSH3RQZ"))*1</f>
        <v>#VALUE!</v>
      </c>
      <c r="B2168" s="1">
        <v>6993966</v>
      </c>
      <c r="C2168" t="s">
        <v>261</v>
      </c>
      <c r="D2168" t="s">
        <v>2316</v>
      </c>
      <c r="E2168" t="s">
        <v>10</v>
      </c>
    </row>
    <row r="2169" spans="1:5" hidden="1" outlineLevel="1">
      <c r="A2169" s="2">
        <v>0</v>
      </c>
      <c r="B2169" s="26" t="s">
        <v>2320</v>
      </c>
      <c r="C2169" s="27">
        <v>0</v>
      </c>
      <c r="D2169" s="27">
        <v>0</v>
      </c>
      <c r="E2169" s="27">
        <v>0</v>
      </c>
    </row>
    <row r="2170" spans="1:5" hidden="1" outlineLevel="2">
      <c r="A2170" s="3" t="e">
        <f>(HYPERLINK("http://www.autodoc.ru/Web/price/art/3332ACL?analog=on","3332ACL"))*1</f>
        <v>#VALUE!</v>
      </c>
      <c r="B2170" s="1">
        <v>6960034</v>
      </c>
      <c r="C2170" t="s">
        <v>2321</v>
      </c>
      <c r="D2170" t="s">
        <v>2322</v>
      </c>
      <c r="E2170" t="s">
        <v>8</v>
      </c>
    </row>
    <row r="2171" spans="1:5" hidden="1" outlineLevel="1">
      <c r="A2171" s="2">
        <v>0</v>
      </c>
      <c r="B2171" s="26" t="s">
        <v>2323</v>
      </c>
      <c r="C2171" s="27">
        <v>0</v>
      </c>
      <c r="D2171" s="27">
        <v>0</v>
      </c>
      <c r="E2171" s="27">
        <v>0</v>
      </c>
    </row>
    <row r="2172" spans="1:5" hidden="1" outlineLevel="2">
      <c r="A2172" s="3" t="e">
        <f>(HYPERLINK("http://www.autodoc.ru/Web/price/art/3742AGN?analog=on","3742AGN"))*1</f>
        <v>#VALUE!</v>
      </c>
      <c r="B2172" s="1">
        <v>6190180</v>
      </c>
      <c r="C2172" t="s">
        <v>1053</v>
      </c>
      <c r="D2172" t="s">
        <v>2324</v>
      </c>
      <c r="E2172" t="s">
        <v>8</v>
      </c>
    </row>
    <row r="2173" spans="1:5" hidden="1" outlineLevel="1">
      <c r="A2173" s="2">
        <v>0</v>
      </c>
      <c r="B2173" s="26" t="s">
        <v>2325</v>
      </c>
      <c r="C2173" s="27">
        <v>0</v>
      </c>
      <c r="D2173" s="27">
        <v>0</v>
      </c>
      <c r="E2173" s="27">
        <v>0</v>
      </c>
    </row>
    <row r="2174" spans="1:5" hidden="1" outlineLevel="2">
      <c r="A2174" s="3" t="e">
        <f>(HYPERLINK("http://www.autodoc.ru/Web/price/art/3337ABS?analog=on","3337ABS"))*1</f>
        <v>#VALUE!</v>
      </c>
      <c r="B2174" s="1">
        <v>6968220</v>
      </c>
      <c r="C2174" t="s">
        <v>2326</v>
      </c>
      <c r="D2174" t="s">
        <v>2327</v>
      </c>
      <c r="E2174" t="s">
        <v>8</v>
      </c>
    </row>
    <row r="2175" spans="1:5" hidden="1" outlineLevel="2">
      <c r="A2175" s="3" t="e">
        <f>(HYPERLINK("http://www.autodoc.ru/Web/price/art/3337ACL?analog=on","3337ACL"))*1</f>
        <v>#VALUE!</v>
      </c>
      <c r="B2175" s="1">
        <v>6960081</v>
      </c>
      <c r="C2175" t="s">
        <v>2326</v>
      </c>
      <c r="D2175" t="s">
        <v>2328</v>
      </c>
      <c r="E2175" t="s">
        <v>8</v>
      </c>
    </row>
    <row r="2176" spans="1:5" hidden="1" outlineLevel="2">
      <c r="A2176" s="3" t="e">
        <f>(HYPERLINK("http://www.autodoc.ru/Web/price/art/3337AGN?analog=on","3337AGN"))*1</f>
        <v>#VALUE!</v>
      </c>
      <c r="B2176" s="1">
        <v>6960083</v>
      </c>
      <c r="C2176" t="s">
        <v>2326</v>
      </c>
      <c r="D2176" t="s">
        <v>2329</v>
      </c>
      <c r="E2176" t="s">
        <v>8</v>
      </c>
    </row>
    <row r="2177" spans="1:5" hidden="1" outlineLevel="2">
      <c r="A2177" s="3" t="e">
        <f>(HYPERLINK("http://www.autodoc.ru/Web/price/art/3337AGNGN?analog=on","3337AGNGN"))*1</f>
        <v>#VALUE!</v>
      </c>
      <c r="B2177" s="1">
        <v>6960085</v>
      </c>
      <c r="C2177" t="s">
        <v>2326</v>
      </c>
      <c r="D2177" t="s">
        <v>2330</v>
      </c>
      <c r="E2177" t="s">
        <v>8</v>
      </c>
    </row>
    <row r="2178" spans="1:5" hidden="1" outlineLevel="2">
      <c r="A2178" s="3" t="e">
        <f>(HYPERLINK("http://www.autodoc.ru/Web/price/art/3337AKGH?analog=on","3337AKGH"))*1</f>
        <v>#VALUE!</v>
      </c>
      <c r="B2178" s="1">
        <v>6101198</v>
      </c>
      <c r="C2178" t="s">
        <v>19</v>
      </c>
      <c r="D2178" t="s">
        <v>2331</v>
      </c>
      <c r="E2178" t="s">
        <v>21</v>
      </c>
    </row>
    <row r="2179" spans="1:5" hidden="1" outlineLevel="2">
      <c r="A2179" s="3" t="e">
        <f>(HYPERLINK("http://www.autodoc.ru/Web/price/art/3337AKMH?analog=on","3337AKMH"))*1</f>
        <v>#VALUE!</v>
      </c>
      <c r="B2179" s="1">
        <v>6100049</v>
      </c>
      <c r="C2179" t="s">
        <v>19</v>
      </c>
      <c r="D2179" t="s">
        <v>2331</v>
      </c>
      <c r="E2179" t="s">
        <v>21</v>
      </c>
    </row>
    <row r="2180" spans="1:5" hidden="1" outlineLevel="2">
      <c r="A2180" s="3" t="e">
        <f>(HYPERLINK("http://www.autodoc.ru/Web/price/art/3337BCLH?analog=on","3337BCLH"))*1</f>
        <v>#VALUE!</v>
      </c>
      <c r="B2180" s="1">
        <v>6990600</v>
      </c>
      <c r="C2180" t="s">
        <v>2326</v>
      </c>
      <c r="D2180" t="s">
        <v>2332</v>
      </c>
      <c r="E2180" t="s">
        <v>23</v>
      </c>
    </row>
    <row r="2181" spans="1:5" hidden="1" outlineLevel="2">
      <c r="A2181" s="3" t="e">
        <f>(HYPERLINK("http://www.autodoc.ru/Web/price/art/3337BGNH?analog=on","3337BGNH"))*1</f>
        <v>#VALUE!</v>
      </c>
      <c r="B2181" s="1">
        <v>6990601</v>
      </c>
      <c r="C2181" t="s">
        <v>2326</v>
      </c>
      <c r="D2181" t="s">
        <v>2333</v>
      </c>
      <c r="E2181" t="s">
        <v>23</v>
      </c>
    </row>
    <row r="2182" spans="1:5" hidden="1" outlineLevel="2">
      <c r="A2182" s="3" t="e">
        <f>(HYPERLINK("http://www.autodoc.ru/Web/price/art/3337BGNS1H?analog=on","3337BGNS1H"))*1</f>
        <v>#VALUE!</v>
      </c>
      <c r="B2182" s="1">
        <v>6990555</v>
      </c>
      <c r="C2182" t="s">
        <v>2326</v>
      </c>
      <c r="D2182" t="s">
        <v>2334</v>
      </c>
      <c r="E2182" t="s">
        <v>23</v>
      </c>
    </row>
    <row r="2183" spans="1:5" hidden="1" outlineLevel="2">
      <c r="A2183" s="3" t="e">
        <f>(HYPERLINK("http://www.autodoc.ru/Web/price/art/3337BKMH?analog=on","3337BKMH"))*1</f>
        <v>#VALUE!</v>
      </c>
      <c r="B2183" s="1">
        <v>6100051</v>
      </c>
      <c r="C2183" t="s">
        <v>19</v>
      </c>
      <c r="D2183" t="s">
        <v>2335</v>
      </c>
      <c r="E2183" t="s">
        <v>21</v>
      </c>
    </row>
    <row r="2184" spans="1:5" hidden="1" outlineLevel="2">
      <c r="A2184" s="3" t="e">
        <f>(HYPERLINK("http://www.autodoc.ru/Web/price/art/3337LCLH5FDW?analog=on","3337LCLH5FDW"))*1</f>
        <v>#VALUE!</v>
      </c>
      <c r="B2184" s="1">
        <v>6990631</v>
      </c>
      <c r="C2184" t="s">
        <v>2326</v>
      </c>
      <c r="D2184" t="s">
        <v>2336</v>
      </c>
      <c r="E2184" t="s">
        <v>10</v>
      </c>
    </row>
    <row r="2185" spans="1:5" hidden="1" outlineLevel="2">
      <c r="A2185" s="3" t="e">
        <f>(HYPERLINK("http://www.autodoc.ru/Web/price/art/3337LCLH5RDW?analog=on","3337LCLH5RDW"))*1</f>
        <v>#VALUE!</v>
      </c>
      <c r="B2185" s="1">
        <v>6990633</v>
      </c>
      <c r="C2185" t="s">
        <v>2326</v>
      </c>
      <c r="D2185" t="s">
        <v>2337</v>
      </c>
      <c r="E2185" t="s">
        <v>10</v>
      </c>
    </row>
    <row r="2186" spans="1:5" hidden="1" outlineLevel="2">
      <c r="A2186" s="3" t="e">
        <f>(HYPERLINK("http://www.autodoc.ru/Web/price/art/3337LCLH5RV?analog=on","3337LCLH5RV"))*1</f>
        <v>#VALUE!</v>
      </c>
      <c r="B2186" s="1">
        <v>6990613</v>
      </c>
      <c r="C2186" t="s">
        <v>2326</v>
      </c>
      <c r="D2186" t="s">
        <v>2338</v>
      </c>
      <c r="E2186" t="s">
        <v>10</v>
      </c>
    </row>
    <row r="2187" spans="1:5" hidden="1" outlineLevel="2">
      <c r="A2187" s="3" t="e">
        <f>(HYPERLINK("http://www.autodoc.ru/Web/price/art/3337LGNH5FDW?analog=on","3337LGNH5FDW"))*1</f>
        <v>#VALUE!</v>
      </c>
      <c r="B2187" s="1">
        <v>6990635</v>
      </c>
      <c r="C2187" t="s">
        <v>2326</v>
      </c>
      <c r="D2187" t="s">
        <v>2339</v>
      </c>
      <c r="E2187" t="s">
        <v>10</v>
      </c>
    </row>
    <row r="2188" spans="1:5" hidden="1" outlineLevel="2">
      <c r="A2188" s="3" t="e">
        <f>(HYPERLINK("http://www.autodoc.ru/Web/price/art/3337LGNH5RDW?analog=on","3337LGNH5RDW"))*1</f>
        <v>#VALUE!</v>
      </c>
      <c r="B2188" s="1">
        <v>6990637</v>
      </c>
      <c r="C2188" t="s">
        <v>2326</v>
      </c>
      <c r="D2188" t="s">
        <v>2340</v>
      </c>
      <c r="E2188" t="s">
        <v>10</v>
      </c>
    </row>
    <row r="2189" spans="1:5" hidden="1" outlineLevel="2">
      <c r="A2189" s="3" t="e">
        <f>(HYPERLINK("http://www.autodoc.ru/Web/price/art/3337LGNH5RV?analog=on","3337LGNH5RV"))*1</f>
        <v>#VALUE!</v>
      </c>
      <c r="B2189" s="1">
        <v>6990615</v>
      </c>
      <c r="C2189" t="s">
        <v>2326</v>
      </c>
      <c r="D2189" t="s">
        <v>2341</v>
      </c>
      <c r="E2189" t="s">
        <v>10</v>
      </c>
    </row>
    <row r="2190" spans="1:5" hidden="1" outlineLevel="2">
      <c r="A2190" s="3" t="e">
        <f>(HYPERLINK("http://www.autodoc.ru/Web/price/art/3337RCLH5FDW?analog=on","3337RCLH5FDW"))*1</f>
        <v>#VALUE!</v>
      </c>
      <c r="B2190" s="1">
        <v>6990630</v>
      </c>
      <c r="C2190" t="s">
        <v>2326</v>
      </c>
      <c r="D2190" t="s">
        <v>2342</v>
      </c>
      <c r="E2190" t="s">
        <v>10</v>
      </c>
    </row>
    <row r="2191" spans="1:5" hidden="1" outlineLevel="2">
      <c r="A2191" s="3" t="e">
        <f>(HYPERLINK("http://www.autodoc.ru/Web/price/art/3337RCLH5RDW?analog=on","3337RCLH5RDW"))*1</f>
        <v>#VALUE!</v>
      </c>
      <c r="B2191" s="1">
        <v>6990632</v>
      </c>
      <c r="C2191" t="s">
        <v>2326</v>
      </c>
      <c r="D2191" t="s">
        <v>2343</v>
      </c>
      <c r="E2191" t="s">
        <v>10</v>
      </c>
    </row>
    <row r="2192" spans="1:5" hidden="1" outlineLevel="2">
      <c r="A2192" s="3" t="e">
        <f>(HYPERLINK("http://www.autodoc.ru/Web/price/art/3337RCLH5RV?analog=on","3337RCLH5RV"))*1</f>
        <v>#VALUE!</v>
      </c>
      <c r="B2192" s="1">
        <v>6990614</v>
      </c>
      <c r="C2192" t="s">
        <v>2326</v>
      </c>
      <c r="D2192" t="s">
        <v>2344</v>
      </c>
      <c r="E2192" t="s">
        <v>10</v>
      </c>
    </row>
    <row r="2193" spans="1:5" hidden="1" outlineLevel="2">
      <c r="A2193" s="3" t="e">
        <f>(HYPERLINK("http://www.autodoc.ru/Web/price/art/3337RGNH5FDW?analog=on","3337RGNH5FDW"))*1</f>
        <v>#VALUE!</v>
      </c>
      <c r="B2193" s="1">
        <v>6990634</v>
      </c>
      <c r="C2193" t="s">
        <v>2326</v>
      </c>
      <c r="D2193" t="s">
        <v>2345</v>
      </c>
      <c r="E2193" t="s">
        <v>10</v>
      </c>
    </row>
    <row r="2194" spans="1:5" hidden="1" outlineLevel="2">
      <c r="A2194" s="3" t="e">
        <f>(HYPERLINK("http://www.autodoc.ru/Web/price/art/3337RGNH5RDW?analog=on","3337RGNH5RDW"))*1</f>
        <v>#VALUE!</v>
      </c>
      <c r="B2194" s="1">
        <v>6990636</v>
      </c>
      <c r="C2194" t="s">
        <v>2326</v>
      </c>
      <c r="D2194" t="s">
        <v>2346</v>
      </c>
      <c r="E2194" t="s">
        <v>10</v>
      </c>
    </row>
    <row r="2195" spans="1:5" hidden="1" outlineLevel="2">
      <c r="A2195" s="3" t="e">
        <f>(HYPERLINK("http://www.autodoc.ru/Web/price/art/3337RGNH5RV?analog=on","3337RGNH5RV"))*1</f>
        <v>#VALUE!</v>
      </c>
      <c r="B2195" s="1">
        <v>6990616</v>
      </c>
      <c r="C2195" t="s">
        <v>2326</v>
      </c>
      <c r="D2195" t="s">
        <v>2347</v>
      </c>
      <c r="E2195" t="s">
        <v>10</v>
      </c>
    </row>
    <row r="2196" spans="1:5" hidden="1" outlineLevel="1">
      <c r="A2196" s="2">
        <v>0</v>
      </c>
      <c r="B2196" s="26" t="s">
        <v>2348</v>
      </c>
      <c r="C2196" s="27">
        <v>0</v>
      </c>
      <c r="D2196" s="27">
        <v>0</v>
      </c>
      <c r="E2196" s="27">
        <v>0</v>
      </c>
    </row>
    <row r="2197" spans="1:5" hidden="1" outlineLevel="2">
      <c r="A2197" s="3" t="e">
        <f>(HYPERLINK("http://www.autodoc.ru/Web/price/art/3357AGSMVZ?analog=on","3357AGSMVZ"))*1</f>
        <v>#VALUE!</v>
      </c>
      <c r="B2197" s="1">
        <v>6960227</v>
      </c>
      <c r="C2197" t="s">
        <v>2349</v>
      </c>
      <c r="D2197" t="s">
        <v>2350</v>
      </c>
      <c r="E2197" t="s">
        <v>8</v>
      </c>
    </row>
    <row r="2198" spans="1:5" hidden="1" outlineLevel="2">
      <c r="A2198" s="3" t="e">
        <f>(HYPERLINK("http://www.autodoc.ru/Web/price/art/3357AGSMVZ1T?analog=on","3357AGSMVZ1T"))*1</f>
        <v>#VALUE!</v>
      </c>
      <c r="B2198" s="1">
        <v>6961363</v>
      </c>
      <c r="C2198" t="s">
        <v>2349</v>
      </c>
      <c r="D2198" t="s">
        <v>2351</v>
      </c>
      <c r="E2198" t="s">
        <v>8</v>
      </c>
    </row>
    <row r="2199" spans="1:5" hidden="1" outlineLevel="2">
      <c r="A2199" s="3" t="e">
        <f>(HYPERLINK("http://www.autodoc.ru/Web/price/art/3357AGSVZ?analog=on","3357AGSVZ"))*1</f>
        <v>#VALUE!</v>
      </c>
      <c r="B2199" s="1">
        <v>6960225</v>
      </c>
      <c r="C2199" t="s">
        <v>2349</v>
      </c>
      <c r="D2199" t="s">
        <v>2352</v>
      </c>
      <c r="E2199" t="s">
        <v>8</v>
      </c>
    </row>
    <row r="2200" spans="1:5" hidden="1" outlineLevel="2">
      <c r="A2200" s="3" t="e">
        <f>(HYPERLINK("http://www.autodoc.ru/Web/price/art/3357LGSV5RD?analog=on","3357LGSV5RD"))*1</f>
        <v>#VALUE!</v>
      </c>
      <c r="B2200" s="1">
        <v>6997595</v>
      </c>
      <c r="C2200" t="s">
        <v>2349</v>
      </c>
      <c r="D2200" t="s">
        <v>2353</v>
      </c>
      <c r="E2200" t="s">
        <v>10</v>
      </c>
    </row>
    <row r="2201" spans="1:5" hidden="1" outlineLevel="2">
      <c r="A2201" s="3" t="e">
        <f>(HYPERLINK("http://www.autodoc.ru/Web/price/art/3357RGSV5FD?analog=on","3357RGSV5FD"))*1</f>
        <v>#VALUE!</v>
      </c>
      <c r="B2201" s="1">
        <v>6190664</v>
      </c>
      <c r="C2201" t="s">
        <v>2349</v>
      </c>
      <c r="D2201" t="s">
        <v>2354</v>
      </c>
      <c r="E2201" t="s">
        <v>10</v>
      </c>
    </row>
    <row r="2202" spans="1:5" hidden="1" outlineLevel="2">
      <c r="A2202" s="3" t="e">
        <f>(HYPERLINK("http://www.autodoc.ru/Web/price/art/3357RGSV5RD?analog=on","3357RGSV5RD"))*1</f>
        <v>#VALUE!</v>
      </c>
      <c r="B2202" s="1">
        <v>6997597</v>
      </c>
      <c r="C2202" t="s">
        <v>2349</v>
      </c>
      <c r="D2202" t="s">
        <v>2355</v>
      </c>
      <c r="E2202" t="s">
        <v>10</v>
      </c>
    </row>
    <row r="2203" spans="1:5" hidden="1" outlineLevel="1">
      <c r="A2203" s="2">
        <v>0</v>
      </c>
      <c r="B2203" s="26" t="s">
        <v>2356</v>
      </c>
      <c r="C2203" s="27">
        <v>0</v>
      </c>
      <c r="D2203" s="27">
        <v>0</v>
      </c>
      <c r="E2203" s="27">
        <v>0</v>
      </c>
    </row>
    <row r="2204" spans="1:5" hidden="1" outlineLevel="2">
      <c r="A2204" s="3" t="e">
        <f>(HYPERLINK("http://www.autodoc.ru/Web/price/art/3335ACL?analog=on","3335ACL"))*1</f>
        <v>#VALUE!</v>
      </c>
      <c r="B2204" s="1">
        <v>6960057</v>
      </c>
      <c r="C2204" t="s">
        <v>2357</v>
      </c>
      <c r="D2204" t="s">
        <v>2358</v>
      </c>
      <c r="E2204" t="s">
        <v>8</v>
      </c>
    </row>
    <row r="2205" spans="1:5" hidden="1" outlineLevel="2">
      <c r="A2205" s="3" t="e">
        <f>(HYPERLINK("http://www.autodoc.ru/Web/price/art/3335AGN?analog=on","3335AGN"))*1</f>
        <v>#VALUE!</v>
      </c>
      <c r="B2205" s="1">
        <v>6960059</v>
      </c>
      <c r="C2205" t="s">
        <v>2357</v>
      </c>
      <c r="D2205" t="s">
        <v>2359</v>
      </c>
      <c r="E2205" t="s">
        <v>8</v>
      </c>
    </row>
    <row r="2206" spans="1:5" hidden="1" outlineLevel="2">
      <c r="A2206" s="3" t="e">
        <f>(HYPERLINK("http://www.autodoc.ru/Web/price/art/3335ASRH?analog=on","3335ASRH"))*1</f>
        <v>#VALUE!</v>
      </c>
      <c r="B2206" s="1">
        <v>6100284</v>
      </c>
      <c r="C2206" t="s">
        <v>19</v>
      </c>
      <c r="D2206" t="s">
        <v>2360</v>
      </c>
      <c r="E2206" t="s">
        <v>21</v>
      </c>
    </row>
    <row r="2207" spans="1:5" hidden="1" outlineLevel="2">
      <c r="A2207" s="3" t="e">
        <f>(HYPERLINK("http://www.autodoc.ru/Web/price/art/3335BGNH?analog=on","3335BGNH"))*1</f>
        <v>#VALUE!</v>
      </c>
      <c r="B2207" s="1">
        <v>6998721</v>
      </c>
      <c r="C2207" t="s">
        <v>2357</v>
      </c>
      <c r="D2207" t="s">
        <v>2361</v>
      </c>
      <c r="E2207" t="s">
        <v>23</v>
      </c>
    </row>
    <row r="2208" spans="1:5" hidden="1" outlineLevel="2">
      <c r="A2208" s="3" t="e">
        <f>(HYPERLINK("http://www.autodoc.ru/Web/price/art/3335LCLH3FDW1H?analog=on","3335LCLH3FDW1H"))*1</f>
        <v>#VALUE!</v>
      </c>
      <c r="B2208" s="1">
        <v>6990128</v>
      </c>
      <c r="C2208" t="s">
        <v>2362</v>
      </c>
      <c r="D2208" t="s">
        <v>2363</v>
      </c>
      <c r="E2208" t="s">
        <v>10</v>
      </c>
    </row>
    <row r="2209" spans="1:5" hidden="1" outlineLevel="2">
      <c r="A2209" s="3" t="e">
        <f>(HYPERLINK("http://www.autodoc.ru/Web/price/art/3335LCLH3RQ?analog=on","3335LCLH3RQ"))*1</f>
        <v>#VALUE!</v>
      </c>
      <c r="B2209" s="1">
        <v>6990124</v>
      </c>
      <c r="C2209" t="s">
        <v>2357</v>
      </c>
      <c r="D2209" t="s">
        <v>2364</v>
      </c>
      <c r="E2209" t="s">
        <v>10</v>
      </c>
    </row>
    <row r="2210" spans="1:5" hidden="1" outlineLevel="2">
      <c r="A2210" s="3" t="e">
        <f>(HYPERLINK("http://www.autodoc.ru/Web/price/art/3335LCLH5FDW?analog=on","3335LCLH5FDW"))*1</f>
        <v>#VALUE!</v>
      </c>
      <c r="B2210" s="1">
        <v>6990146</v>
      </c>
      <c r="C2210" t="s">
        <v>2362</v>
      </c>
      <c r="D2210" t="s">
        <v>2365</v>
      </c>
      <c r="E2210" t="s">
        <v>10</v>
      </c>
    </row>
    <row r="2211" spans="1:5" hidden="1" outlineLevel="2">
      <c r="A2211" s="3" t="e">
        <f>(HYPERLINK("http://www.autodoc.ru/Web/price/art/3335LCLH5RDW?analog=on","3335LCLH5RDW"))*1</f>
        <v>#VALUE!</v>
      </c>
      <c r="B2211" s="1">
        <v>6990148</v>
      </c>
      <c r="C2211" t="s">
        <v>2362</v>
      </c>
      <c r="D2211" t="s">
        <v>2366</v>
      </c>
      <c r="E2211" t="s">
        <v>10</v>
      </c>
    </row>
    <row r="2212" spans="1:5" hidden="1" outlineLevel="2">
      <c r="A2212" s="3" t="e">
        <f>(HYPERLINK("http://www.autodoc.ru/Web/price/art/3335LCLH5RQ?analog=on","3335LCLH5RQ"))*1</f>
        <v>#VALUE!</v>
      </c>
      <c r="B2212" s="1">
        <v>6990118</v>
      </c>
      <c r="C2212" t="s">
        <v>2357</v>
      </c>
      <c r="D2212" t="s">
        <v>2367</v>
      </c>
      <c r="E2212" t="s">
        <v>10</v>
      </c>
    </row>
    <row r="2213" spans="1:5" hidden="1" outlineLevel="2">
      <c r="A2213" s="3" t="e">
        <f>(HYPERLINK("http://www.autodoc.ru/Web/price/art/3335LGNH3FDW1H?analog=on","3335LGNH3FDW1H"))*1</f>
        <v>#VALUE!</v>
      </c>
      <c r="B2213" s="1">
        <v>6990144</v>
      </c>
      <c r="C2213" t="s">
        <v>2362</v>
      </c>
      <c r="D2213" t="s">
        <v>2368</v>
      </c>
      <c r="E2213" t="s">
        <v>10</v>
      </c>
    </row>
    <row r="2214" spans="1:5" hidden="1" outlineLevel="2">
      <c r="A2214" s="3" t="e">
        <f>(HYPERLINK("http://www.autodoc.ru/Web/price/art/3335LGNH5FDW?analog=on","3335LGNH5FDW"))*1</f>
        <v>#VALUE!</v>
      </c>
      <c r="B2214" s="1">
        <v>6990150</v>
      </c>
      <c r="C2214" t="s">
        <v>2362</v>
      </c>
      <c r="D2214" t="s">
        <v>2369</v>
      </c>
      <c r="E2214" t="s">
        <v>10</v>
      </c>
    </row>
    <row r="2215" spans="1:5" hidden="1" outlineLevel="2">
      <c r="A2215" s="3" t="e">
        <f>(HYPERLINK("http://www.autodoc.ru/Web/price/art/3335RCLH3FDW1H?analog=on","3335RCLH3FDW1H"))*1</f>
        <v>#VALUE!</v>
      </c>
      <c r="B2215" s="1">
        <v>6990127</v>
      </c>
      <c r="C2215" t="s">
        <v>2362</v>
      </c>
      <c r="D2215" t="s">
        <v>2370</v>
      </c>
      <c r="E2215" t="s">
        <v>10</v>
      </c>
    </row>
    <row r="2216" spans="1:5" hidden="1" outlineLevel="2">
      <c r="A2216" s="3" t="e">
        <f>(HYPERLINK("http://www.autodoc.ru/Web/price/art/3335RCLH3RQ?analog=on","3335RCLH3RQ"))*1</f>
        <v>#VALUE!</v>
      </c>
      <c r="B2216" s="1">
        <v>6990123</v>
      </c>
      <c r="C2216" t="s">
        <v>2357</v>
      </c>
      <c r="D2216" t="s">
        <v>2371</v>
      </c>
      <c r="E2216" t="s">
        <v>10</v>
      </c>
    </row>
    <row r="2217" spans="1:5" hidden="1" outlineLevel="2">
      <c r="A2217" s="3" t="e">
        <f>(HYPERLINK("http://www.autodoc.ru/Web/price/art/3335RCLH5FDW?analog=on","3335RCLH5FDW"))*1</f>
        <v>#VALUE!</v>
      </c>
      <c r="B2217" s="1">
        <v>6990145</v>
      </c>
      <c r="C2217" t="s">
        <v>2362</v>
      </c>
      <c r="D2217" t="s">
        <v>2372</v>
      </c>
      <c r="E2217" t="s">
        <v>10</v>
      </c>
    </row>
    <row r="2218" spans="1:5" hidden="1" outlineLevel="2">
      <c r="A2218" s="3" t="e">
        <f>(HYPERLINK("http://www.autodoc.ru/Web/price/art/3335RCLH5RDW?analog=on","3335RCLH5RDW"))*1</f>
        <v>#VALUE!</v>
      </c>
      <c r="B2218" s="1">
        <v>6990147</v>
      </c>
      <c r="C2218" t="s">
        <v>2362</v>
      </c>
      <c r="D2218" t="s">
        <v>2373</v>
      </c>
      <c r="E2218" t="s">
        <v>10</v>
      </c>
    </row>
    <row r="2219" spans="1:5" hidden="1" outlineLevel="2">
      <c r="A2219" s="3" t="e">
        <f>(HYPERLINK("http://www.autodoc.ru/Web/price/art/3335RCLH5RQ?analog=on","3335RCLH5RQ"))*1</f>
        <v>#VALUE!</v>
      </c>
      <c r="B2219" s="1">
        <v>6990117</v>
      </c>
      <c r="C2219" t="s">
        <v>2357</v>
      </c>
      <c r="D2219" t="s">
        <v>2374</v>
      </c>
      <c r="E2219" t="s">
        <v>10</v>
      </c>
    </row>
    <row r="2220" spans="1:5" hidden="1" outlineLevel="2">
      <c r="A2220" s="3" t="e">
        <f>(HYPERLINK("http://www.autodoc.ru/Web/price/art/3335RGNH3FDW1H?analog=on","3335RGNH3FDW1H"))*1</f>
        <v>#VALUE!</v>
      </c>
      <c r="B2220" s="1">
        <v>6990143</v>
      </c>
      <c r="C2220" t="s">
        <v>2362</v>
      </c>
      <c r="D2220" t="s">
        <v>2375</v>
      </c>
      <c r="E2220" t="s">
        <v>10</v>
      </c>
    </row>
    <row r="2221" spans="1:5" hidden="1" outlineLevel="2">
      <c r="A2221" s="3" t="e">
        <f>(HYPERLINK("http://www.autodoc.ru/Web/price/art/3335RGNH5FDW?analog=on","3335RGNH5FDW"))*1</f>
        <v>#VALUE!</v>
      </c>
      <c r="B2221" s="1">
        <v>6990149</v>
      </c>
      <c r="C2221" t="s">
        <v>2362</v>
      </c>
      <c r="D2221" t="s">
        <v>2376</v>
      </c>
      <c r="E2221" t="s">
        <v>10</v>
      </c>
    </row>
    <row r="2222" spans="1:5" hidden="1" outlineLevel="2">
      <c r="A2222" s="3" t="e">
        <f>(HYPERLINK("http://www.autodoc.ru/Web/price/art/3335RGNH5RDW?analog=on","3335RGNH5RDW"))*1</f>
        <v>#VALUE!</v>
      </c>
      <c r="B2222" s="1">
        <v>6990151</v>
      </c>
      <c r="C2222" t="s">
        <v>2362</v>
      </c>
      <c r="D2222" t="s">
        <v>2377</v>
      </c>
      <c r="E2222" t="s">
        <v>10</v>
      </c>
    </row>
    <row r="2223" spans="1:5" hidden="1" outlineLevel="1">
      <c r="A2223" s="2">
        <v>0</v>
      </c>
      <c r="B2223" s="26" t="s">
        <v>2378</v>
      </c>
      <c r="C2223" s="27">
        <v>0</v>
      </c>
      <c r="D2223" s="27">
        <v>0</v>
      </c>
      <c r="E2223" s="27">
        <v>0</v>
      </c>
    </row>
    <row r="2224" spans="1:5" hidden="1" outlineLevel="2">
      <c r="A2224" s="3" t="e">
        <f>(HYPERLINK("http://www.autodoc.ru/Web/price/art/3338ACL?analog=on","3338ACL"))*1</f>
        <v>#VALUE!</v>
      </c>
      <c r="B2224" s="1">
        <v>6960076</v>
      </c>
      <c r="C2224" t="s">
        <v>2379</v>
      </c>
      <c r="D2224" t="s">
        <v>2380</v>
      </c>
      <c r="E2224" t="s">
        <v>8</v>
      </c>
    </row>
    <row r="2225" spans="1:5" hidden="1" outlineLevel="2">
      <c r="A2225" s="3" t="e">
        <f>(HYPERLINK("http://www.autodoc.ru/Web/price/art/3338ACL1B?analog=on","3338ACL1B"))*1</f>
        <v>#VALUE!</v>
      </c>
      <c r="B2225" s="1">
        <v>6960067</v>
      </c>
      <c r="C2225" t="s">
        <v>2381</v>
      </c>
      <c r="D2225" t="s">
        <v>2382</v>
      </c>
      <c r="E2225" t="s">
        <v>8</v>
      </c>
    </row>
    <row r="2226" spans="1:5" hidden="1" outlineLevel="2">
      <c r="A2226" s="3" t="e">
        <f>(HYPERLINK("http://www.autodoc.ru/Web/price/art/3338AGN?analog=on","3338AGN"))*1</f>
        <v>#VALUE!</v>
      </c>
      <c r="B2226" s="1">
        <v>6960065</v>
      </c>
      <c r="C2226" t="s">
        <v>2379</v>
      </c>
      <c r="D2226" t="s">
        <v>2383</v>
      </c>
      <c r="E2226" t="s">
        <v>8</v>
      </c>
    </row>
    <row r="2227" spans="1:5" hidden="1" outlineLevel="2">
      <c r="A2227" s="3" t="e">
        <f>(HYPERLINK("http://www.autodoc.ru/Web/price/art/3338AGN1B?analog=on","3338AGN1B"))*1</f>
        <v>#VALUE!</v>
      </c>
      <c r="B2227" s="1">
        <v>6960088</v>
      </c>
      <c r="C2227" t="s">
        <v>2381</v>
      </c>
      <c r="D2227" t="s">
        <v>2384</v>
      </c>
      <c r="E2227" t="s">
        <v>8</v>
      </c>
    </row>
    <row r="2228" spans="1:5" hidden="1" outlineLevel="2">
      <c r="A2228" s="3" t="e">
        <f>(HYPERLINK("http://www.autodoc.ru/Web/price/art/3338AGNGN1B?analog=on","3338AGNGN1B"))*1</f>
        <v>#VALUE!</v>
      </c>
      <c r="B2228" s="1">
        <v>6960115</v>
      </c>
      <c r="C2228" t="s">
        <v>2381</v>
      </c>
      <c r="D2228" t="s">
        <v>2385</v>
      </c>
      <c r="E2228" t="s">
        <v>8</v>
      </c>
    </row>
    <row r="2229" spans="1:5" hidden="1" outlineLevel="2">
      <c r="A2229" s="3" t="e">
        <f>(HYPERLINK("http://www.autodoc.ru/Web/price/art/3338ASRH?analog=on","3338ASRH"))*1</f>
        <v>#VALUE!</v>
      </c>
      <c r="B2229" s="1">
        <v>6100052</v>
      </c>
      <c r="C2229" t="s">
        <v>19</v>
      </c>
      <c r="D2229" t="s">
        <v>2386</v>
      </c>
      <c r="E2229" t="s">
        <v>21</v>
      </c>
    </row>
    <row r="2230" spans="1:5" hidden="1" outlineLevel="2">
      <c r="A2230" s="3" t="e">
        <f>(HYPERLINK("http://www.autodoc.ru/Web/price/art/3338BCLH1H?analog=on","3338BCLH1H"))*1</f>
        <v>#VALUE!</v>
      </c>
      <c r="B2230" s="1">
        <v>6990108</v>
      </c>
      <c r="C2230" t="s">
        <v>2387</v>
      </c>
      <c r="D2230" t="s">
        <v>2388</v>
      </c>
      <c r="E2230" t="s">
        <v>23</v>
      </c>
    </row>
    <row r="2231" spans="1:5" hidden="1" outlineLevel="2">
      <c r="A2231" s="3" t="e">
        <f>(HYPERLINK("http://www.autodoc.ru/Web/price/art/3338BGNH1H?analog=on","3338BGNH1H"))*1</f>
        <v>#VALUE!</v>
      </c>
      <c r="B2231" s="1">
        <v>6990110</v>
      </c>
      <c r="C2231" t="s">
        <v>2387</v>
      </c>
      <c r="D2231" t="s">
        <v>2389</v>
      </c>
      <c r="E2231" t="s">
        <v>23</v>
      </c>
    </row>
    <row r="2232" spans="1:5" hidden="1" outlineLevel="2">
      <c r="A2232" s="3" t="e">
        <f>(HYPERLINK("http://www.autodoc.ru/Web/price/art/3338BGNH1J?analog=on","3338BGNH1J"))*1</f>
        <v>#VALUE!</v>
      </c>
      <c r="B2232" s="1">
        <v>6990109</v>
      </c>
      <c r="C2232" t="s">
        <v>2387</v>
      </c>
      <c r="D2232" t="s">
        <v>2390</v>
      </c>
      <c r="E2232" t="s">
        <v>23</v>
      </c>
    </row>
    <row r="2233" spans="1:5" hidden="1" outlineLevel="2">
      <c r="A2233" s="3" t="e">
        <f>(HYPERLINK("http://www.autodoc.ru/Web/price/art/3338BSRH?analog=on","3338BSRH"))*1</f>
        <v>#VALUE!</v>
      </c>
      <c r="B2233" s="1">
        <v>6100053</v>
      </c>
      <c r="C2233" t="s">
        <v>19</v>
      </c>
      <c r="D2233" t="s">
        <v>2391</v>
      </c>
      <c r="E2233" t="s">
        <v>21</v>
      </c>
    </row>
    <row r="2234" spans="1:5" hidden="1" outlineLevel="2">
      <c r="A2234" s="3" t="e">
        <f>(HYPERLINK("http://www.autodoc.ru/Web/price/art/3338LCLH3FDW?analog=on","3338LCLH3FDW"))*1</f>
        <v>#VALUE!</v>
      </c>
      <c r="B2234" s="1">
        <v>6990131</v>
      </c>
      <c r="C2234" t="s">
        <v>2387</v>
      </c>
      <c r="D2234" t="s">
        <v>2392</v>
      </c>
      <c r="E2234" t="s">
        <v>10</v>
      </c>
    </row>
    <row r="2235" spans="1:5" hidden="1" outlineLevel="2">
      <c r="A2235" s="3" t="e">
        <f>(HYPERLINK("http://www.autodoc.ru/Web/price/art/3338LCLH5FD?analog=on","3338LCLH5FD"))*1</f>
        <v>#VALUE!</v>
      </c>
      <c r="B2235" s="1">
        <v>6190084</v>
      </c>
      <c r="C2235" t="s">
        <v>2387</v>
      </c>
      <c r="D2235" t="s">
        <v>2393</v>
      </c>
      <c r="E2235" t="s">
        <v>10</v>
      </c>
    </row>
    <row r="2236" spans="1:5" hidden="1" outlineLevel="2">
      <c r="A2236" s="3" t="e">
        <f>(HYPERLINK("http://www.autodoc.ru/Web/price/art/3338LCLH5RD?analog=on","3338LCLH5RD"))*1</f>
        <v>#VALUE!</v>
      </c>
      <c r="B2236" s="1">
        <v>6190085</v>
      </c>
      <c r="C2236" t="s">
        <v>2387</v>
      </c>
      <c r="D2236" t="s">
        <v>2394</v>
      </c>
      <c r="E2236" t="s">
        <v>10</v>
      </c>
    </row>
    <row r="2237" spans="1:5" hidden="1" outlineLevel="2">
      <c r="A2237" s="3" t="e">
        <f>(HYPERLINK("http://www.autodoc.ru/Web/price/art/3338LCLH5RQ?analog=on","3338LCLH5RQ"))*1</f>
        <v>#VALUE!</v>
      </c>
      <c r="B2237" s="1">
        <v>6190086</v>
      </c>
      <c r="C2237" t="s">
        <v>2387</v>
      </c>
      <c r="D2237" t="s">
        <v>2395</v>
      </c>
      <c r="E2237" t="s">
        <v>10</v>
      </c>
    </row>
    <row r="2238" spans="1:5" hidden="1" outlineLevel="2">
      <c r="A2238" s="3" t="e">
        <f>(HYPERLINK("http://www.autodoc.ru/Web/price/art/3338LGNH3FDW?analog=on","3338LGNH3FDW"))*1</f>
        <v>#VALUE!</v>
      </c>
      <c r="B2238" s="1">
        <v>6990112</v>
      </c>
      <c r="C2238" t="s">
        <v>2387</v>
      </c>
      <c r="D2238" t="s">
        <v>2396</v>
      </c>
      <c r="E2238" t="s">
        <v>10</v>
      </c>
    </row>
    <row r="2239" spans="1:5" hidden="1" outlineLevel="2">
      <c r="A2239" s="3" t="e">
        <f>(HYPERLINK("http://www.autodoc.ru/Web/price/art/3338RCLH3FDW?analog=on","3338RCLH3FDW"))*1</f>
        <v>#VALUE!</v>
      </c>
      <c r="B2239" s="1">
        <v>6990129</v>
      </c>
      <c r="C2239" t="s">
        <v>2387</v>
      </c>
      <c r="D2239" t="s">
        <v>2397</v>
      </c>
      <c r="E2239" t="s">
        <v>10</v>
      </c>
    </row>
    <row r="2240" spans="1:5" hidden="1" outlineLevel="2">
      <c r="A2240" s="3" t="e">
        <f>(HYPERLINK("http://www.autodoc.ru/Web/price/art/3338RCLH5FD?analog=on","3338RCLH5FD"))*1</f>
        <v>#VALUE!</v>
      </c>
      <c r="B2240" s="1">
        <v>6190090</v>
      </c>
      <c r="C2240" t="s">
        <v>2387</v>
      </c>
      <c r="D2240" t="s">
        <v>2398</v>
      </c>
      <c r="E2240" t="s">
        <v>10</v>
      </c>
    </row>
    <row r="2241" spans="1:5" hidden="1" outlineLevel="2">
      <c r="A2241" s="3" t="e">
        <f>(HYPERLINK("http://www.autodoc.ru/Web/price/art/3338RCLH5RD?analog=on","3338RCLH5RD"))*1</f>
        <v>#VALUE!</v>
      </c>
      <c r="B2241" s="1">
        <v>6190091</v>
      </c>
      <c r="C2241" t="s">
        <v>2387</v>
      </c>
      <c r="D2241" t="s">
        <v>2399</v>
      </c>
      <c r="E2241" t="s">
        <v>10</v>
      </c>
    </row>
    <row r="2242" spans="1:5" hidden="1" outlineLevel="2">
      <c r="A2242" s="3" t="e">
        <f>(HYPERLINK("http://www.autodoc.ru/Web/price/art/3338RCLH5RQ?analog=on","3338RCLH5RQ"))*1</f>
        <v>#VALUE!</v>
      </c>
      <c r="B2242" s="1">
        <v>6190092</v>
      </c>
      <c r="C2242" t="s">
        <v>2387</v>
      </c>
      <c r="D2242" t="s">
        <v>2400</v>
      </c>
      <c r="E2242" t="s">
        <v>10</v>
      </c>
    </row>
    <row r="2243" spans="1:5" hidden="1" outlineLevel="2">
      <c r="A2243" s="3" t="e">
        <f>(HYPERLINK("http://www.autodoc.ru/Web/price/art/3338RGNH3FDW?analog=on","3338RGNH3FDW"))*1</f>
        <v>#VALUE!</v>
      </c>
      <c r="B2243" s="1">
        <v>6990111</v>
      </c>
      <c r="C2243" t="s">
        <v>2387</v>
      </c>
      <c r="D2243" t="s">
        <v>2401</v>
      </c>
      <c r="E2243" t="s">
        <v>10</v>
      </c>
    </row>
    <row r="2244" spans="1:5" hidden="1" outlineLevel="2">
      <c r="A2244" s="3" t="e">
        <f>(HYPERLINK("http://www.autodoc.ru/Web/price/art/3338RGNH5FD?analog=on","3338RGNH5FD"))*1</f>
        <v>#VALUE!</v>
      </c>
      <c r="B2244" s="1">
        <v>6190093</v>
      </c>
      <c r="C2244" t="s">
        <v>2387</v>
      </c>
      <c r="D2244" t="s">
        <v>2402</v>
      </c>
      <c r="E2244" t="s">
        <v>10</v>
      </c>
    </row>
    <row r="2245" spans="1:5" hidden="1" outlineLevel="2">
      <c r="A2245" s="3" t="e">
        <f>(HYPERLINK("http://www.autodoc.ru/Web/price/art/3338RGNH5RD?analog=on","3338RGNH5RD"))*1</f>
        <v>#VALUE!</v>
      </c>
      <c r="B2245" s="1">
        <v>6190094</v>
      </c>
      <c r="C2245" t="s">
        <v>2387</v>
      </c>
      <c r="D2245" t="s">
        <v>2403</v>
      </c>
      <c r="E2245" t="s">
        <v>10</v>
      </c>
    </row>
    <row r="2246" spans="1:5" hidden="1" outlineLevel="1">
      <c r="A2246" s="2">
        <v>0</v>
      </c>
      <c r="B2246" s="26" t="s">
        <v>2404</v>
      </c>
      <c r="C2246" s="27">
        <v>0</v>
      </c>
      <c r="D2246" s="27">
        <v>0</v>
      </c>
      <c r="E2246" s="27">
        <v>0</v>
      </c>
    </row>
    <row r="2247" spans="1:5" hidden="1" outlineLevel="2">
      <c r="A2247" s="3" t="e">
        <f>(HYPERLINK("http://www.autodoc.ru/Web/price/art/3344AGS?analog=on","3344AGS"))*1</f>
        <v>#VALUE!</v>
      </c>
      <c r="B2247" s="1">
        <v>6961218</v>
      </c>
      <c r="C2247" t="s">
        <v>33</v>
      </c>
      <c r="D2247" t="s">
        <v>2405</v>
      </c>
      <c r="E2247" t="s">
        <v>8</v>
      </c>
    </row>
    <row r="2248" spans="1:5" hidden="1" outlineLevel="2">
      <c r="A2248" s="3" t="e">
        <f>(HYPERLINK("http://www.autodoc.ru/Web/price/art/3344ASMC?analog=on","3344ASMC"))*1</f>
        <v>#VALUE!</v>
      </c>
      <c r="B2248" s="1">
        <v>6100276</v>
      </c>
      <c r="C2248" t="s">
        <v>19</v>
      </c>
      <c r="D2248" t="s">
        <v>2406</v>
      </c>
      <c r="E2248" t="s">
        <v>21</v>
      </c>
    </row>
    <row r="2249" spans="1:5" hidden="1" outlineLevel="2">
      <c r="A2249" s="3" t="e">
        <f>(HYPERLINK("http://www.autodoc.ru/Web/price/art/3344RGSC2FD?analog=on","3344RGSC2FD"))*1</f>
        <v>#VALUE!</v>
      </c>
      <c r="B2249" s="1">
        <v>6995524</v>
      </c>
      <c r="C2249" t="s">
        <v>33</v>
      </c>
      <c r="D2249" t="s">
        <v>2407</v>
      </c>
      <c r="E2249" t="s">
        <v>10</v>
      </c>
    </row>
    <row r="2250" spans="1:5" hidden="1" outlineLevel="1">
      <c r="A2250" s="2">
        <v>0</v>
      </c>
      <c r="B2250" s="26" t="s">
        <v>2408</v>
      </c>
      <c r="C2250" s="27">
        <v>0</v>
      </c>
      <c r="D2250" s="27">
        <v>0</v>
      </c>
      <c r="E2250" s="27">
        <v>0</v>
      </c>
    </row>
    <row r="2251" spans="1:5" hidden="1" outlineLevel="2">
      <c r="A2251" s="3" t="e">
        <f>(HYPERLINK("http://www.autodoc.ru/Web/price/art/3345ACL?analog=on","3345ACL"))*1</f>
        <v>#VALUE!</v>
      </c>
      <c r="B2251" s="1">
        <v>6190012</v>
      </c>
      <c r="C2251" t="s">
        <v>2409</v>
      </c>
      <c r="D2251" t="s">
        <v>2410</v>
      </c>
      <c r="E2251" t="s">
        <v>8</v>
      </c>
    </row>
    <row r="2252" spans="1:5" hidden="1" outlineLevel="2">
      <c r="A2252" s="3" t="e">
        <f>(HYPERLINK("http://www.autodoc.ru/Web/price/art/3345AGS?analog=on","3345AGS"))*1</f>
        <v>#VALUE!</v>
      </c>
      <c r="B2252" s="1">
        <v>6190013</v>
      </c>
      <c r="C2252" t="s">
        <v>2409</v>
      </c>
      <c r="D2252" t="s">
        <v>2411</v>
      </c>
      <c r="E2252" t="s">
        <v>8</v>
      </c>
    </row>
    <row r="2253" spans="1:5" hidden="1" outlineLevel="2">
      <c r="A2253" s="3" t="e">
        <f>(HYPERLINK("http://www.autodoc.ru/Web/price/art/OLD-3345ASMV?analog=on","OLD-3345ASMV"))*1</f>
        <v>#VALUE!</v>
      </c>
      <c r="B2253" s="1">
        <v>6100056</v>
      </c>
      <c r="C2253" t="s">
        <v>19</v>
      </c>
      <c r="D2253" t="s">
        <v>2412</v>
      </c>
      <c r="E2253" t="s">
        <v>21</v>
      </c>
    </row>
    <row r="2254" spans="1:5" hidden="1" outlineLevel="2">
      <c r="A2254" s="3" t="e">
        <f>(HYPERLINK("http://www.autodoc.ru/Web/price/art/3345BCLVL?analog=on","3345BCLVL"))*1</f>
        <v>#VALUE!</v>
      </c>
      <c r="B2254" s="1">
        <v>6190014</v>
      </c>
      <c r="C2254" t="s">
        <v>2409</v>
      </c>
      <c r="D2254" t="s">
        <v>2413</v>
      </c>
      <c r="E2254" t="s">
        <v>23</v>
      </c>
    </row>
    <row r="2255" spans="1:5" hidden="1" outlineLevel="2">
      <c r="A2255" s="3" t="e">
        <f>(HYPERLINK("http://www.autodoc.ru/Web/price/art/3345BCLVLU?analog=on","3345BCLVLU"))*1</f>
        <v>#VALUE!</v>
      </c>
      <c r="B2255" s="1">
        <v>6190015</v>
      </c>
      <c r="C2255" t="s">
        <v>2409</v>
      </c>
      <c r="D2255" t="s">
        <v>2414</v>
      </c>
      <c r="E2255" t="s">
        <v>23</v>
      </c>
    </row>
    <row r="2256" spans="1:5" hidden="1" outlineLevel="2">
      <c r="A2256" s="3" t="e">
        <f>(HYPERLINK("http://www.autodoc.ru/Web/price/art/3345BCLVR?analog=on","3345BCLVR"))*1</f>
        <v>#VALUE!</v>
      </c>
      <c r="B2256" s="1">
        <v>6190016</v>
      </c>
      <c r="C2256" t="s">
        <v>2409</v>
      </c>
      <c r="D2256" t="s">
        <v>2415</v>
      </c>
      <c r="E2256" t="s">
        <v>23</v>
      </c>
    </row>
    <row r="2257" spans="1:5" hidden="1" outlineLevel="2">
      <c r="A2257" s="3" t="e">
        <f>(HYPERLINK("http://www.autodoc.ru/Web/price/art/3345BCLVRU?analog=on","3345BCLVRU"))*1</f>
        <v>#VALUE!</v>
      </c>
      <c r="B2257" s="1">
        <v>6190017</v>
      </c>
      <c r="C2257" t="s">
        <v>2409</v>
      </c>
      <c r="D2257" t="s">
        <v>2416</v>
      </c>
      <c r="E2257" t="s">
        <v>23</v>
      </c>
    </row>
    <row r="2258" spans="1:5" hidden="1" outlineLevel="2">
      <c r="A2258" s="3" t="e">
        <f>(HYPERLINK("http://www.autodoc.ru/Web/price/art/3345BGSVB?analog=on","3345BGSVB"))*1</f>
        <v>#VALUE!</v>
      </c>
      <c r="B2258" s="1">
        <v>6190019</v>
      </c>
      <c r="C2258" t="s">
        <v>2409</v>
      </c>
      <c r="D2258" t="s">
        <v>2417</v>
      </c>
      <c r="E2258" t="s">
        <v>23</v>
      </c>
    </row>
    <row r="2259" spans="1:5" hidden="1" outlineLevel="2">
      <c r="A2259" s="3" t="e">
        <f>(HYPERLINK("http://www.autodoc.ru/Web/price/art/3345BGSVL?analog=on","3345BGSVL"))*1</f>
        <v>#VALUE!</v>
      </c>
      <c r="B2259" s="1">
        <v>6190020</v>
      </c>
      <c r="C2259" t="s">
        <v>2409</v>
      </c>
      <c r="D2259" t="s">
        <v>2418</v>
      </c>
      <c r="E2259" t="s">
        <v>23</v>
      </c>
    </row>
    <row r="2260" spans="1:5" hidden="1" outlineLevel="2">
      <c r="A2260" s="3" t="e">
        <f>(HYPERLINK("http://www.autodoc.ru/Web/price/art/3345BGSVLU?analog=on","3345BGSVLU"))*1</f>
        <v>#VALUE!</v>
      </c>
      <c r="B2260" s="1">
        <v>6190021</v>
      </c>
      <c r="C2260" t="s">
        <v>2409</v>
      </c>
      <c r="D2260" t="s">
        <v>2419</v>
      </c>
      <c r="E2260" t="s">
        <v>23</v>
      </c>
    </row>
    <row r="2261" spans="1:5" hidden="1" outlineLevel="2">
      <c r="A2261" s="3" t="e">
        <f>(HYPERLINK("http://www.autodoc.ru/Web/price/art/3345BGSVR?analog=on","3345BGSVR"))*1</f>
        <v>#VALUE!</v>
      </c>
      <c r="B2261" s="1">
        <v>6190022</v>
      </c>
      <c r="C2261" t="s">
        <v>2409</v>
      </c>
      <c r="D2261" t="s">
        <v>2420</v>
      </c>
      <c r="E2261" t="s">
        <v>23</v>
      </c>
    </row>
    <row r="2262" spans="1:5" hidden="1" outlineLevel="2">
      <c r="A2262" s="3" t="e">
        <f>(HYPERLINK("http://www.autodoc.ru/Web/price/art/3345BGSVRU?analog=on","3345BGSVRU"))*1</f>
        <v>#VALUE!</v>
      </c>
      <c r="B2262" s="1">
        <v>6190023</v>
      </c>
      <c r="C2262" t="s">
        <v>2409</v>
      </c>
      <c r="D2262" t="s">
        <v>2421</v>
      </c>
      <c r="E2262" t="s">
        <v>23</v>
      </c>
    </row>
    <row r="2263" spans="1:5" hidden="1" outlineLevel="2">
      <c r="A2263" s="3" t="e">
        <f>(HYPERLINK("http://www.autodoc.ru/Web/price/art/3345LCLV5FD?analog=on","3345LCLV5FD"))*1</f>
        <v>#VALUE!</v>
      </c>
      <c r="B2263" s="1">
        <v>6190024</v>
      </c>
      <c r="C2263" t="s">
        <v>2409</v>
      </c>
      <c r="D2263" t="s">
        <v>2422</v>
      </c>
      <c r="E2263" t="s">
        <v>10</v>
      </c>
    </row>
    <row r="2264" spans="1:5" hidden="1" outlineLevel="2">
      <c r="A2264" s="3" t="e">
        <f>(HYPERLINK("http://www.autodoc.ru/Web/price/art/3345LCLV5FQ?analog=on","3345LCLV5FQ"))*1</f>
        <v>#VALUE!</v>
      </c>
      <c r="B2264" s="1">
        <v>6190025</v>
      </c>
      <c r="C2264" t="s">
        <v>2409</v>
      </c>
      <c r="D2264" t="s">
        <v>2423</v>
      </c>
      <c r="E2264" t="s">
        <v>10</v>
      </c>
    </row>
    <row r="2265" spans="1:5" hidden="1" outlineLevel="2">
      <c r="A2265" s="3" t="e">
        <f>(HYPERLINK("http://www.autodoc.ru/Web/price/art/3345LGSV5FQ?analog=on","3345LGSV5FQ"))*1</f>
        <v>#VALUE!</v>
      </c>
      <c r="B2265" s="1">
        <v>6190030</v>
      </c>
      <c r="C2265" t="s">
        <v>2409</v>
      </c>
      <c r="D2265" t="s">
        <v>2424</v>
      </c>
      <c r="E2265" t="s">
        <v>10</v>
      </c>
    </row>
    <row r="2266" spans="1:5" hidden="1" outlineLevel="2">
      <c r="A2266" s="3" t="e">
        <f>(HYPERLINK("http://www.autodoc.ru/Web/price/art/3345LGSV5RD?analog=on","3345LGSV5RD"))*1</f>
        <v>#VALUE!</v>
      </c>
      <c r="B2266" s="1">
        <v>6190032</v>
      </c>
      <c r="C2266" t="s">
        <v>2409</v>
      </c>
      <c r="D2266" t="s">
        <v>2425</v>
      </c>
      <c r="E2266" t="s">
        <v>10</v>
      </c>
    </row>
    <row r="2267" spans="1:5" hidden="1" outlineLevel="2">
      <c r="A2267" s="3" t="e">
        <f>(HYPERLINK("http://www.autodoc.ru/Web/price/art/3345LGSV5RQO?analog=on","3345LGSV5RQO"))*1</f>
        <v>#VALUE!</v>
      </c>
      <c r="B2267" s="1">
        <v>6190033</v>
      </c>
      <c r="C2267" t="s">
        <v>2409</v>
      </c>
      <c r="D2267" t="s">
        <v>2426</v>
      </c>
      <c r="E2267" t="s">
        <v>10</v>
      </c>
    </row>
    <row r="2268" spans="1:5" hidden="1" outlineLevel="2">
      <c r="A2268" s="3" t="e">
        <f>(HYPERLINK("http://www.autodoc.ru/Web/price/art/3345RCLV5FD?analog=on","3345RCLV5FD"))*1</f>
        <v>#VALUE!</v>
      </c>
      <c r="B2268" s="1">
        <v>6190034</v>
      </c>
      <c r="C2268" t="s">
        <v>2409</v>
      </c>
      <c r="D2268" t="s">
        <v>2427</v>
      </c>
      <c r="E2268" t="s">
        <v>10</v>
      </c>
    </row>
    <row r="2269" spans="1:5" hidden="1" outlineLevel="2">
      <c r="A2269" s="3" t="e">
        <f>(HYPERLINK("http://www.autodoc.ru/Web/price/art/3345RCLV5FQ?analog=on","3345RCLV5FQ"))*1</f>
        <v>#VALUE!</v>
      </c>
      <c r="B2269" s="1">
        <v>6190035</v>
      </c>
      <c r="C2269" t="s">
        <v>2409</v>
      </c>
      <c r="D2269" t="s">
        <v>2428</v>
      </c>
      <c r="E2269" t="s">
        <v>10</v>
      </c>
    </row>
    <row r="2270" spans="1:5" hidden="1" outlineLevel="2">
      <c r="A2270" s="3" t="e">
        <f>(HYPERLINK("http://www.autodoc.ru/Web/price/art/3345RGSV5FQ?analog=on","3345RGSV5FQ"))*1</f>
        <v>#VALUE!</v>
      </c>
      <c r="B2270" s="1">
        <v>6190039</v>
      </c>
      <c r="C2270" t="s">
        <v>2409</v>
      </c>
      <c r="D2270" t="s">
        <v>2429</v>
      </c>
      <c r="E2270" t="s">
        <v>10</v>
      </c>
    </row>
    <row r="2271" spans="1:5" hidden="1" outlineLevel="2">
      <c r="A2271" s="3" t="e">
        <f>(HYPERLINK("http://www.autodoc.ru/Web/price/art/3345RGSV5RD?analog=on","3345RGSV5RD"))*1</f>
        <v>#VALUE!</v>
      </c>
      <c r="B2271" s="1">
        <v>6190041</v>
      </c>
      <c r="C2271" t="s">
        <v>2409</v>
      </c>
      <c r="D2271" t="s">
        <v>2430</v>
      </c>
      <c r="E2271" t="s">
        <v>10</v>
      </c>
    </row>
    <row r="2272" spans="1:5" hidden="1" outlineLevel="2">
      <c r="A2272" s="3" t="e">
        <f>(HYPERLINK("http://www.autodoc.ru/Web/price/art/3345RGSV5RQO?analog=on","3345RGSV5RQO"))*1</f>
        <v>#VALUE!</v>
      </c>
      <c r="B2272" s="1">
        <v>6190042</v>
      </c>
      <c r="C2272" t="s">
        <v>2409</v>
      </c>
      <c r="D2272" t="s">
        <v>2431</v>
      </c>
      <c r="E2272" t="s">
        <v>10</v>
      </c>
    </row>
    <row r="2273" spans="1:5" collapsed="1">
      <c r="A2273" s="28" t="s">
        <v>1840</v>
      </c>
      <c r="B2273" s="28">
        <v>0</v>
      </c>
      <c r="C2273" s="28">
        <v>0</v>
      </c>
      <c r="D2273" s="28">
        <v>0</v>
      </c>
      <c r="E2273" s="28">
        <v>0</v>
      </c>
    </row>
    <row r="2274" spans="1:5" hidden="1" outlineLevel="1">
      <c r="A2274" s="2">
        <v>0</v>
      </c>
      <c r="B2274" s="26" t="s">
        <v>2432</v>
      </c>
      <c r="C2274" s="27">
        <v>0</v>
      </c>
      <c r="D2274" s="27">
        <v>0</v>
      </c>
      <c r="E2274" s="27">
        <v>0</v>
      </c>
    </row>
    <row r="2275" spans="1:5" hidden="1" outlineLevel="2">
      <c r="A2275" s="3" t="e">
        <f>(HYPERLINK("http://www.autodoc.ru/Web/price/art/3577AGAMVW1P?analog=on","3577AGAMVW1P"))*1</f>
        <v>#VALUE!</v>
      </c>
      <c r="B2275" s="1">
        <v>6965647</v>
      </c>
      <c r="C2275" t="s">
        <v>341</v>
      </c>
      <c r="D2275" t="s">
        <v>2433</v>
      </c>
      <c r="E2275" t="s">
        <v>8</v>
      </c>
    </row>
    <row r="2276" spans="1:5" hidden="1" outlineLevel="2">
      <c r="A2276" s="3" t="e">
        <f>(HYPERLINK("http://www.autodoc.ru/Web/price/art/3577AGAVW?analog=on","3577AGAVW"))*1</f>
        <v>#VALUE!</v>
      </c>
      <c r="B2276" s="1">
        <v>6965643</v>
      </c>
      <c r="C2276" t="s">
        <v>341</v>
      </c>
      <c r="D2276" t="s">
        <v>2434</v>
      </c>
      <c r="E2276" t="s">
        <v>8</v>
      </c>
    </row>
    <row r="2277" spans="1:5" hidden="1" outlineLevel="2">
      <c r="A2277" s="3" t="e">
        <f>(HYPERLINK("http://www.autodoc.ru/Web/price/art/3577ACDHMVW1P?analog=on","3577ACDHMVW1P"))*1</f>
        <v>#VALUE!</v>
      </c>
      <c r="B2277" s="1">
        <v>6965775</v>
      </c>
      <c r="C2277" t="s">
        <v>341</v>
      </c>
      <c r="D2277" t="s">
        <v>2435</v>
      </c>
      <c r="E2277" t="s">
        <v>8</v>
      </c>
    </row>
    <row r="2278" spans="1:5" hidden="1" outlineLevel="2">
      <c r="A2278" s="3" t="e">
        <f>(HYPERLINK("http://www.autodoc.ru/Web/price/art/3577AGAHMVW1P?analog=on","3577AGAHMVW1P"))*1</f>
        <v>#VALUE!</v>
      </c>
      <c r="B2278" s="1">
        <v>6965645</v>
      </c>
      <c r="C2278" t="s">
        <v>341</v>
      </c>
      <c r="D2278" t="s">
        <v>2436</v>
      </c>
      <c r="E2278" t="s">
        <v>8</v>
      </c>
    </row>
    <row r="2279" spans="1:5" hidden="1" outlineLevel="2">
      <c r="A2279" s="3" t="e">
        <f>(HYPERLINK("http://www.autodoc.ru/Web/price/art/3577AGAHVW?analog=on","3577AGAHVW"))*1</f>
        <v>#VALUE!</v>
      </c>
      <c r="B2279" s="1">
        <v>6965644</v>
      </c>
      <c r="C2279" t="s">
        <v>341</v>
      </c>
      <c r="D2279" t="s">
        <v>2437</v>
      </c>
      <c r="E2279" t="s">
        <v>8</v>
      </c>
    </row>
    <row r="2280" spans="1:5" hidden="1" outlineLevel="1">
      <c r="A2280" s="2">
        <v>0</v>
      </c>
      <c r="B2280" s="26" t="s">
        <v>2438</v>
      </c>
      <c r="C2280" s="27">
        <v>0</v>
      </c>
      <c r="D2280" s="27">
        <v>0</v>
      </c>
      <c r="E2280" s="27">
        <v>0</v>
      </c>
    </row>
    <row r="2281" spans="1:5" hidden="1" outlineLevel="2">
      <c r="A2281" s="3" t="e">
        <f>(HYPERLINK("http://www.autodoc.ru/Web/price/art/3535ACL?analog=on","3535ACL"))*1</f>
        <v>#VALUE!</v>
      </c>
      <c r="B2281" s="1">
        <v>6963444</v>
      </c>
      <c r="C2281" t="s">
        <v>2439</v>
      </c>
      <c r="D2281" t="s">
        <v>2440</v>
      </c>
      <c r="E2281" t="s">
        <v>8</v>
      </c>
    </row>
    <row r="2282" spans="1:5" hidden="1" outlineLevel="1">
      <c r="A2282" s="2">
        <v>0</v>
      </c>
      <c r="B2282" s="26" t="s">
        <v>2441</v>
      </c>
      <c r="C2282" s="27">
        <v>0</v>
      </c>
      <c r="D2282" s="27">
        <v>0</v>
      </c>
      <c r="E2282" s="27">
        <v>0</v>
      </c>
    </row>
    <row r="2283" spans="1:5" hidden="1" outlineLevel="2">
      <c r="A2283" s="3" t="e">
        <f>(HYPERLINK("http://www.autodoc.ru/Web/price/art/3557AGSHV?analog=on","3557AGSHV"))*1</f>
        <v>#VALUE!</v>
      </c>
      <c r="B2283" s="1">
        <v>6963262</v>
      </c>
      <c r="C2283" t="s">
        <v>1582</v>
      </c>
      <c r="D2283" t="s">
        <v>2442</v>
      </c>
      <c r="E2283" t="s">
        <v>8</v>
      </c>
    </row>
    <row r="2284" spans="1:5" hidden="1" outlineLevel="2">
      <c r="A2284" s="3" t="e">
        <f>(HYPERLINK("http://www.autodoc.ru/Web/price/art/3557AGSV?analog=on","3557AGSV"))*1</f>
        <v>#VALUE!</v>
      </c>
      <c r="B2284" s="1">
        <v>6963287</v>
      </c>
      <c r="C2284" t="s">
        <v>1582</v>
      </c>
      <c r="D2284" t="s">
        <v>2443</v>
      </c>
      <c r="E2284" t="s">
        <v>8</v>
      </c>
    </row>
    <row r="2285" spans="1:5" hidden="1" outlineLevel="1">
      <c r="A2285" s="2">
        <v>0</v>
      </c>
      <c r="B2285" s="26" t="s">
        <v>2444</v>
      </c>
      <c r="C2285" s="27">
        <v>0</v>
      </c>
      <c r="D2285" s="27">
        <v>0</v>
      </c>
      <c r="E2285" s="27">
        <v>0</v>
      </c>
    </row>
    <row r="2286" spans="1:5" hidden="1" outlineLevel="2">
      <c r="A2286" s="3" t="e">
        <f>(HYPERLINK("http://www.autodoc.ru/Web/price/art/AF30AGNBLVW?analog=on","AF30AGNBLVW"))*1</f>
        <v>#VALUE!</v>
      </c>
      <c r="B2286" s="1">
        <v>6963847</v>
      </c>
      <c r="C2286" t="s">
        <v>2445</v>
      </c>
      <c r="D2286" t="s">
        <v>2446</v>
      </c>
      <c r="E2286" t="s">
        <v>8</v>
      </c>
    </row>
    <row r="2287" spans="1:5" hidden="1" outlineLevel="1">
      <c r="A2287" s="2">
        <v>0</v>
      </c>
      <c r="B2287" s="26" t="s">
        <v>2447</v>
      </c>
      <c r="C2287" s="27">
        <v>0</v>
      </c>
      <c r="D2287" s="27">
        <v>0</v>
      </c>
      <c r="E2287" s="27">
        <v>0</v>
      </c>
    </row>
    <row r="2288" spans="1:5" hidden="1" outlineLevel="2">
      <c r="A2288" s="3" t="e">
        <f>(HYPERLINK("http://www.autodoc.ru/Web/price/art/AF52AGSVW?analog=on","AF52AGSVW"))*1</f>
        <v>#VALUE!</v>
      </c>
      <c r="B2288" s="1">
        <v>6190930</v>
      </c>
      <c r="C2288" t="s">
        <v>790</v>
      </c>
      <c r="D2288" t="s">
        <v>2448</v>
      </c>
      <c r="E2288" t="s">
        <v>8</v>
      </c>
    </row>
    <row r="2289" spans="1:5" hidden="1" outlineLevel="1">
      <c r="A2289" s="2">
        <v>0</v>
      </c>
      <c r="B2289" s="26" t="s">
        <v>2449</v>
      </c>
      <c r="C2289" s="27">
        <v>0</v>
      </c>
      <c r="D2289" s="27">
        <v>0</v>
      </c>
      <c r="E2289" s="27">
        <v>0</v>
      </c>
    </row>
    <row r="2290" spans="1:5" hidden="1" outlineLevel="2">
      <c r="A2290" s="3" t="e">
        <f>(HYPERLINK("http://www.autodoc.ru/Web/price/art/3534ABZ1C?analog=on","3534ABZ1C"))*1</f>
        <v>#VALUE!</v>
      </c>
      <c r="B2290" s="1">
        <v>6969115</v>
      </c>
      <c r="C2290" t="s">
        <v>2450</v>
      </c>
      <c r="D2290" t="s">
        <v>2451</v>
      </c>
      <c r="E2290" t="s">
        <v>8</v>
      </c>
    </row>
    <row r="2291" spans="1:5" hidden="1" outlineLevel="2">
      <c r="A2291" s="3" t="e">
        <f>(HYPERLINK("http://www.autodoc.ru/Web/price/art/3534ABZBL?analog=on","3534ABZBL"))*1</f>
        <v>#VALUE!</v>
      </c>
      <c r="B2291" s="1">
        <v>6969116</v>
      </c>
      <c r="C2291" t="s">
        <v>2450</v>
      </c>
      <c r="D2291" t="s">
        <v>2452</v>
      </c>
      <c r="E2291" t="s">
        <v>8</v>
      </c>
    </row>
    <row r="2292" spans="1:5" hidden="1" outlineLevel="2">
      <c r="A2292" s="3" t="e">
        <f>(HYPERLINK("http://www.autodoc.ru/Web/price/art/3534ACL?analog=on","3534ACL"))*1</f>
        <v>#VALUE!</v>
      </c>
      <c r="B2292" s="1">
        <v>6969113</v>
      </c>
      <c r="C2292" t="s">
        <v>2450</v>
      </c>
      <c r="D2292" t="s">
        <v>2453</v>
      </c>
      <c r="E2292" t="s">
        <v>8</v>
      </c>
    </row>
    <row r="2293" spans="1:5" hidden="1" outlineLevel="2">
      <c r="A2293" s="3" t="e">
        <f>(HYPERLINK("http://www.autodoc.ru/Web/price/art/3534AGN?analog=on","3534AGN"))*1</f>
        <v>#VALUE!</v>
      </c>
      <c r="B2293" s="1">
        <v>6969114</v>
      </c>
      <c r="C2293" t="s">
        <v>2450</v>
      </c>
      <c r="D2293" t="s">
        <v>2454</v>
      </c>
      <c r="E2293" t="s">
        <v>8</v>
      </c>
    </row>
    <row r="2294" spans="1:5" hidden="1" outlineLevel="2">
      <c r="A2294" s="3" t="e">
        <f>(HYPERLINK("http://www.autodoc.ru/Web/price/art/3534AGNBL?analog=on","3534AGNBL"))*1</f>
        <v>#VALUE!</v>
      </c>
      <c r="B2294" s="1">
        <v>6969130</v>
      </c>
      <c r="C2294" t="s">
        <v>2450</v>
      </c>
      <c r="D2294" t="s">
        <v>2455</v>
      </c>
      <c r="E2294" t="s">
        <v>8</v>
      </c>
    </row>
    <row r="2295" spans="1:5" hidden="1" outlineLevel="2">
      <c r="A2295" s="3" t="e">
        <f>(HYPERLINK("http://www.autodoc.ru/Web/price/art/3534AGNGN?analog=on","3534AGNGN"))*1</f>
        <v>#VALUE!</v>
      </c>
      <c r="B2295" s="1">
        <v>6969117</v>
      </c>
      <c r="C2295" t="s">
        <v>2450</v>
      </c>
      <c r="D2295" t="s">
        <v>2456</v>
      </c>
      <c r="E2295" t="s">
        <v>8</v>
      </c>
    </row>
    <row r="2296" spans="1:5" hidden="1" outlineLevel="2">
      <c r="A2296" s="3" t="e">
        <f>(HYPERLINK("http://www.autodoc.ru/Web/price/art/3534ASRH1H?analog=on","3534ASRH1H"))*1</f>
        <v>#VALUE!</v>
      </c>
      <c r="B2296" s="1">
        <v>6101252</v>
      </c>
      <c r="C2296" t="s">
        <v>19</v>
      </c>
      <c r="D2296" t="s">
        <v>2457</v>
      </c>
      <c r="E2296" t="s">
        <v>21</v>
      </c>
    </row>
    <row r="2297" spans="1:5" hidden="1" outlineLevel="2">
      <c r="A2297" s="3" t="e">
        <f>(HYPERLINK("http://www.autodoc.ru/Web/price/art/3534BCLE?analog=on","3534BCLE"))*1</f>
        <v>#VALUE!</v>
      </c>
      <c r="B2297" s="1">
        <v>6998640</v>
      </c>
      <c r="C2297" t="s">
        <v>2450</v>
      </c>
      <c r="D2297" t="s">
        <v>2458</v>
      </c>
      <c r="E2297" t="s">
        <v>23</v>
      </c>
    </row>
    <row r="2298" spans="1:5" hidden="1" outlineLevel="2">
      <c r="A2298" s="3" t="e">
        <f>(HYPERLINK("http://www.autodoc.ru/Web/price/art/3534BCLH?analog=on","3534BCLH"))*1</f>
        <v>#VALUE!</v>
      </c>
      <c r="B2298" s="1">
        <v>6998727</v>
      </c>
      <c r="C2298" t="s">
        <v>2450</v>
      </c>
      <c r="D2298" t="s">
        <v>2459</v>
      </c>
      <c r="E2298" t="s">
        <v>23</v>
      </c>
    </row>
    <row r="2299" spans="1:5" hidden="1" outlineLevel="2">
      <c r="A2299" s="3" t="e">
        <f>(HYPERLINK("http://www.autodoc.ru/Web/price/art/3534BCLHA?analog=on","3534BCLHA"))*1</f>
        <v>#VALUE!</v>
      </c>
      <c r="B2299" s="1">
        <v>6998938</v>
      </c>
      <c r="C2299" t="s">
        <v>2450</v>
      </c>
      <c r="D2299" t="s">
        <v>2460</v>
      </c>
      <c r="E2299" t="s">
        <v>23</v>
      </c>
    </row>
    <row r="2300" spans="1:5" hidden="1" outlineLevel="2">
      <c r="A2300" s="3" t="e">
        <f>(HYPERLINK("http://www.autodoc.ru/Web/price/art/3534BGNHA?analog=on","3534BGNHA"))*1</f>
        <v>#VALUE!</v>
      </c>
      <c r="B2300" s="1">
        <v>6998939</v>
      </c>
      <c r="C2300" t="s">
        <v>2450</v>
      </c>
      <c r="D2300" t="s">
        <v>2461</v>
      </c>
      <c r="E2300" t="s">
        <v>23</v>
      </c>
    </row>
    <row r="2301" spans="1:5" hidden="1" outlineLevel="2">
      <c r="A2301" s="3" t="e">
        <f>(HYPERLINK("http://www.autodoc.ru/Web/price/art/3534LCLH3FD?analog=on","3534LCLH3FD"))*1</f>
        <v>#VALUE!</v>
      </c>
      <c r="B2301" s="1">
        <v>6996668</v>
      </c>
      <c r="C2301" t="s">
        <v>2450</v>
      </c>
      <c r="D2301" t="s">
        <v>2462</v>
      </c>
      <c r="E2301" t="s">
        <v>10</v>
      </c>
    </row>
    <row r="2302" spans="1:5" hidden="1" outlineLevel="2">
      <c r="A2302" s="3" t="e">
        <f>(HYPERLINK("http://www.autodoc.ru/Web/price/art/3534LCLH3RQ?analog=on","3534LCLH3RQ"))*1</f>
        <v>#VALUE!</v>
      </c>
      <c r="B2302" s="1">
        <v>6996669</v>
      </c>
      <c r="C2302" t="s">
        <v>2450</v>
      </c>
      <c r="D2302" t="s">
        <v>2463</v>
      </c>
      <c r="E2302" t="s">
        <v>10</v>
      </c>
    </row>
    <row r="2303" spans="1:5" hidden="1" outlineLevel="2">
      <c r="A2303" s="3" t="e">
        <f>(HYPERLINK("http://www.autodoc.ru/Web/price/art/3534LCLH5FD?analog=on","3534LCLH5FD"))*1</f>
        <v>#VALUE!</v>
      </c>
      <c r="B2303" s="1">
        <v>6996671</v>
      </c>
      <c r="C2303" t="s">
        <v>2450</v>
      </c>
      <c r="D2303" t="s">
        <v>2462</v>
      </c>
      <c r="E2303" t="s">
        <v>10</v>
      </c>
    </row>
    <row r="2304" spans="1:5" hidden="1" outlineLevel="2">
      <c r="A2304" s="3" t="e">
        <f>(HYPERLINK("http://www.autodoc.ru/Web/price/art/3534LCLH5RD?analog=on","3534LCLH5RD"))*1</f>
        <v>#VALUE!</v>
      </c>
      <c r="B2304" s="1">
        <v>6996672</v>
      </c>
      <c r="C2304" t="s">
        <v>2450</v>
      </c>
      <c r="D2304" t="s">
        <v>2464</v>
      </c>
      <c r="E2304" t="s">
        <v>10</v>
      </c>
    </row>
    <row r="2305" spans="1:5" hidden="1" outlineLevel="2">
      <c r="A2305" s="3" t="e">
        <f>(HYPERLINK("http://www.autodoc.ru/Web/price/art/3534LCLH5RV1J?analog=on","3534LCLH5RV1J"))*1</f>
        <v>#VALUE!</v>
      </c>
      <c r="B2305" s="1">
        <v>6993525</v>
      </c>
      <c r="C2305" t="s">
        <v>2450</v>
      </c>
      <c r="D2305" t="s">
        <v>2465</v>
      </c>
      <c r="E2305" t="s">
        <v>10</v>
      </c>
    </row>
    <row r="2306" spans="1:5" hidden="1" outlineLevel="2">
      <c r="A2306" s="3" t="e">
        <f>(HYPERLINK("http://www.autodoc.ru/Web/price/art/3534LGNH3FD?analog=on","3534LGNH3FD"))*1</f>
        <v>#VALUE!</v>
      </c>
      <c r="B2306" s="1">
        <v>6996682</v>
      </c>
      <c r="C2306" t="s">
        <v>2450</v>
      </c>
      <c r="D2306" t="s">
        <v>2466</v>
      </c>
      <c r="E2306" t="s">
        <v>10</v>
      </c>
    </row>
    <row r="2307" spans="1:5" hidden="1" outlineLevel="2">
      <c r="A2307" s="3" t="e">
        <f>(HYPERLINK("http://www.autodoc.ru/Web/price/art/3534LGNH3RQ?analog=on","3534LGNH3RQ"))*1</f>
        <v>#VALUE!</v>
      </c>
      <c r="B2307" s="1">
        <v>6996683</v>
      </c>
      <c r="C2307" t="s">
        <v>2450</v>
      </c>
      <c r="D2307" t="s">
        <v>2467</v>
      </c>
      <c r="E2307" t="s">
        <v>10</v>
      </c>
    </row>
    <row r="2308" spans="1:5" hidden="1" outlineLevel="2">
      <c r="A2308" s="3" t="e">
        <f>(HYPERLINK("http://www.autodoc.ru/Web/price/art/3534LGNH5FD?analog=on","3534LGNH5FD"))*1</f>
        <v>#VALUE!</v>
      </c>
      <c r="B2308" s="1">
        <v>6999088</v>
      </c>
      <c r="C2308" t="s">
        <v>2450</v>
      </c>
      <c r="D2308" t="s">
        <v>2468</v>
      </c>
      <c r="E2308" t="s">
        <v>10</v>
      </c>
    </row>
    <row r="2309" spans="1:5" hidden="1" outlineLevel="2">
      <c r="A2309" s="3" t="e">
        <f>(HYPERLINK("http://www.autodoc.ru/Web/price/art/3534LGNH5RD?analog=on","3534LGNH5RD"))*1</f>
        <v>#VALUE!</v>
      </c>
      <c r="B2309" s="1">
        <v>6999096</v>
      </c>
      <c r="C2309" t="s">
        <v>2450</v>
      </c>
      <c r="D2309" t="s">
        <v>2469</v>
      </c>
      <c r="E2309" t="s">
        <v>10</v>
      </c>
    </row>
    <row r="2310" spans="1:5" hidden="1" outlineLevel="2">
      <c r="A2310" s="3" t="e">
        <f>(HYPERLINK("http://www.autodoc.ru/Web/price/art/3534LGNH5RV1J?analog=on","3534LGNH5RV1J"))*1</f>
        <v>#VALUE!</v>
      </c>
      <c r="B2310" s="1">
        <v>6993527</v>
      </c>
      <c r="C2310" t="s">
        <v>2450</v>
      </c>
      <c r="D2310" t="s">
        <v>2470</v>
      </c>
      <c r="E2310" t="s">
        <v>10</v>
      </c>
    </row>
    <row r="2311" spans="1:5" hidden="1" outlineLevel="2">
      <c r="A2311" s="3" t="e">
        <f>(HYPERLINK("http://www.autodoc.ru/Web/price/art/3534RCLH3FD?analog=on","3534RCLH3FD"))*1</f>
        <v>#VALUE!</v>
      </c>
      <c r="B2311" s="1">
        <v>6996676</v>
      </c>
      <c r="C2311" t="s">
        <v>2450</v>
      </c>
      <c r="D2311" t="s">
        <v>2471</v>
      </c>
      <c r="E2311" t="s">
        <v>10</v>
      </c>
    </row>
    <row r="2312" spans="1:5" hidden="1" outlineLevel="2">
      <c r="A2312" s="3" t="e">
        <f>(HYPERLINK("http://www.autodoc.ru/Web/price/art/3534RCLH3RQ?analog=on","3534RCLH3RQ"))*1</f>
        <v>#VALUE!</v>
      </c>
      <c r="B2312" s="1">
        <v>6996677</v>
      </c>
      <c r="C2312" t="s">
        <v>2450</v>
      </c>
      <c r="D2312" t="s">
        <v>2472</v>
      </c>
      <c r="E2312" t="s">
        <v>10</v>
      </c>
    </row>
    <row r="2313" spans="1:5" hidden="1" outlineLevel="2">
      <c r="A2313" s="3" t="e">
        <f>(HYPERLINK("http://www.autodoc.ru/Web/price/art/3534RCLH5FD?analog=on","3534RCLH5FD"))*1</f>
        <v>#VALUE!</v>
      </c>
      <c r="B2313" s="1">
        <v>6996679</v>
      </c>
      <c r="C2313" t="s">
        <v>2450</v>
      </c>
      <c r="D2313" t="s">
        <v>2471</v>
      </c>
      <c r="E2313" t="s">
        <v>10</v>
      </c>
    </row>
    <row r="2314" spans="1:5" hidden="1" outlineLevel="2">
      <c r="A2314" s="3" t="e">
        <f>(HYPERLINK("http://www.autodoc.ru/Web/price/art/3534RCLH5RD?analog=on","3534RCLH5RD"))*1</f>
        <v>#VALUE!</v>
      </c>
      <c r="B2314" s="1">
        <v>6996680</v>
      </c>
      <c r="C2314" t="s">
        <v>2450</v>
      </c>
      <c r="D2314" t="s">
        <v>2473</v>
      </c>
      <c r="E2314" t="s">
        <v>10</v>
      </c>
    </row>
    <row r="2315" spans="1:5" hidden="1" outlineLevel="2">
      <c r="A2315" s="3" t="e">
        <f>(HYPERLINK("http://www.autodoc.ru/Web/price/art/3534RCLH5RQ?analog=on","3534RCLH5RQ"))*1</f>
        <v>#VALUE!</v>
      </c>
      <c r="B2315" s="1">
        <v>6996681</v>
      </c>
      <c r="C2315" t="s">
        <v>2450</v>
      </c>
      <c r="D2315" t="s">
        <v>2474</v>
      </c>
      <c r="E2315" t="s">
        <v>10</v>
      </c>
    </row>
    <row r="2316" spans="1:5" hidden="1" outlineLevel="2">
      <c r="A2316" s="3" t="e">
        <f>(HYPERLINK("http://www.autodoc.ru/Web/price/art/3534RCLH5RV1J?analog=on","3534RCLH5RV1J"))*1</f>
        <v>#VALUE!</v>
      </c>
      <c r="B2316" s="1">
        <v>6993526</v>
      </c>
      <c r="C2316" t="s">
        <v>2450</v>
      </c>
      <c r="D2316" t="s">
        <v>2475</v>
      </c>
      <c r="E2316" t="s">
        <v>10</v>
      </c>
    </row>
    <row r="2317" spans="1:5" hidden="1" outlineLevel="2">
      <c r="A2317" s="3" t="e">
        <f>(HYPERLINK("http://www.autodoc.ru/Web/price/art/3534RGNH3FD?analog=on","3534RGNH3FD"))*1</f>
        <v>#VALUE!</v>
      </c>
      <c r="B2317" s="1">
        <v>6996686</v>
      </c>
      <c r="C2317" t="s">
        <v>2450</v>
      </c>
      <c r="D2317" t="s">
        <v>2476</v>
      </c>
      <c r="E2317" t="s">
        <v>10</v>
      </c>
    </row>
    <row r="2318" spans="1:5" hidden="1" outlineLevel="2">
      <c r="A2318" s="3" t="e">
        <f>(HYPERLINK("http://www.autodoc.ru/Web/price/art/3534RGNH5FD?analog=on","3534RGNH5FD"))*1</f>
        <v>#VALUE!</v>
      </c>
      <c r="B2318" s="1">
        <v>6999089</v>
      </c>
      <c r="C2318" t="s">
        <v>2450</v>
      </c>
      <c r="D2318" t="s">
        <v>2477</v>
      </c>
      <c r="E2318" t="s">
        <v>10</v>
      </c>
    </row>
    <row r="2319" spans="1:5" hidden="1" outlineLevel="2">
      <c r="A2319" s="3" t="e">
        <f>(HYPERLINK("http://www.autodoc.ru/Web/price/art/3534RGNH5RD?analog=on","3534RGNH5RD"))*1</f>
        <v>#VALUE!</v>
      </c>
      <c r="B2319" s="1">
        <v>6999097</v>
      </c>
      <c r="C2319" t="s">
        <v>2450</v>
      </c>
      <c r="D2319" t="s">
        <v>2478</v>
      </c>
      <c r="E2319" t="s">
        <v>10</v>
      </c>
    </row>
    <row r="2320" spans="1:5" hidden="1" outlineLevel="2">
      <c r="A2320" s="3" t="e">
        <f>(HYPERLINK("http://www.autodoc.ru/Web/price/art/3534RGNH5RQ?analog=on","3534RGNH5RQ"))*1</f>
        <v>#VALUE!</v>
      </c>
      <c r="B2320" s="1">
        <v>6996689</v>
      </c>
      <c r="C2320" t="s">
        <v>2450</v>
      </c>
      <c r="D2320" t="s">
        <v>2479</v>
      </c>
      <c r="E2320" t="s">
        <v>10</v>
      </c>
    </row>
    <row r="2321" spans="1:5" hidden="1" outlineLevel="2">
      <c r="A2321" s="3" t="e">
        <f>(HYPERLINK("http://www.autodoc.ru/Web/price/art/3534RGNH5RV1J?analog=on","3534RGNH5RV1J"))*1</f>
        <v>#VALUE!</v>
      </c>
      <c r="B2321" s="1">
        <v>6993528</v>
      </c>
      <c r="C2321" t="s">
        <v>2450</v>
      </c>
      <c r="D2321" t="s">
        <v>2480</v>
      </c>
      <c r="E2321" t="s">
        <v>10</v>
      </c>
    </row>
    <row r="2322" spans="1:5" hidden="1" outlineLevel="1">
      <c r="A2322" s="2">
        <v>0</v>
      </c>
      <c r="B2322" s="26" t="s">
        <v>2481</v>
      </c>
      <c r="C2322" s="27">
        <v>0</v>
      </c>
      <c r="D2322" s="27">
        <v>0</v>
      </c>
      <c r="E2322" s="27">
        <v>0</v>
      </c>
    </row>
    <row r="2323" spans="1:5" hidden="1" outlineLevel="2">
      <c r="A2323" s="3" t="e">
        <f>(HYPERLINK("http://www.autodoc.ru/Web/price/art/3545ACL?analog=on","3545ACL"))*1</f>
        <v>#VALUE!</v>
      </c>
      <c r="B2323" s="1">
        <v>6969121</v>
      </c>
      <c r="C2323" t="s">
        <v>17</v>
      </c>
      <c r="D2323" t="s">
        <v>2482</v>
      </c>
      <c r="E2323" t="s">
        <v>8</v>
      </c>
    </row>
    <row r="2324" spans="1:5" hidden="1" outlineLevel="2">
      <c r="A2324" s="3" t="e">
        <f>(HYPERLINK("http://www.autodoc.ru/Web/price/art/3545ACLV?analog=on","3545ACLV"))*1</f>
        <v>#VALUE!</v>
      </c>
      <c r="B2324" s="1">
        <v>6969098</v>
      </c>
      <c r="C2324" t="s">
        <v>354</v>
      </c>
      <c r="D2324" t="s">
        <v>2483</v>
      </c>
      <c r="E2324" t="s">
        <v>8</v>
      </c>
    </row>
    <row r="2325" spans="1:5" hidden="1" outlineLevel="2">
      <c r="A2325" s="3" t="e">
        <f>(HYPERLINK("http://www.autodoc.ru/Web/price/art/3545AGN?analog=on","3545AGN"))*1</f>
        <v>#VALUE!</v>
      </c>
      <c r="B2325" s="1">
        <v>6969122</v>
      </c>
      <c r="C2325" t="s">
        <v>504</v>
      </c>
      <c r="D2325" t="s">
        <v>2484</v>
      </c>
      <c r="E2325" t="s">
        <v>8</v>
      </c>
    </row>
    <row r="2326" spans="1:5" hidden="1" outlineLevel="2">
      <c r="A2326" s="3" t="e">
        <f>(HYPERLINK("http://www.autodoc.ru/Web/price/art/3545AGNBL?analog=on","3545AGNBL"))*1</f>
        <v>#VALUE!</v>
      </c>
      <c r="B2326" s="1">
        <v>6968108</v>
      </c>
      <c r="C2326" t="s">
        <v>504</v>
      </c>
      <c r="D2326" t="s">
        <v>2485</v>
      </c>
      <c r="E2326" t="s">
        <v>8</v>
      </c>
    </row>
    <row r="2327" spans="1:5" hidden="1" outlineLevel="2">
      <c r="A2327" s="3" t="e">
        <f>(HYPERLINK("http://www.autodoc.ru/Web/price/art/3545AGNBLV?analog=on","3545AGNBLV"))*1</f>
        <v>#VALUE!</v>
      </c>
      <c r="B2327" s="1">
        <v>6969096</v>
      </c>
      <c r="C2327" t="s">
        <v>354</v>
      </c>
      <c r="D2327" t="s">
        <v>2486</v>
      </c>
      <c r="E2327" t="s">
        <v>8</v>
      </c>
    </row>
    <row r="2328" spans="1:5" hidden="1" outlineLevel="2">
      <c r="A2328" s="3" t="e">
        <f>(HYPERLINK("http://www.autodoc.ru/Web/price/art/3545AGNGN?analog=on","3545AGNGN"))*1</f>
        <v>#VALUE!</v>
      </c>
      <c r="B2328" s="1">
        <v>6968107</v>
      </c>
      <c r="C2328" t="s">
        <v>504</v>
      </c>
      <c r="D2328" t="s">
        <v>2487</v>
      </c>
      <c r="E2328" t="s">
        <v>8</v>
      </c>
    </row>
    <row r="2329" spans="1:5" hidden="1" outlineLevel="2">
      <c r="A2329" s="3" t="e">
        <f>(HYPERLINK("http://www.autodoc.ru/Web/price/art/3545AGNGNV?analog=on","3545AGNGNV"))*1</f>
        <v>#VALUE!</v>
      </c>
      <c r="B2329" s="1">
        <v>6969097</v>
      </c>
      <c r="C2329" t="s">
        <v>504</v>
      </c>
      <c r="D2329" t="s">
        <v>2488</v>
      </c>
      <c r="E2329" t="s">
        <v>8</v>
      </c>
    </row>
    <row r="2330" spans="1:5" hidden="1" outlineLevel="2">
      <c r="A2330" s="3" t="e">
        <f>(HYPERLINK("http://www.autodoc.ru/Web/price/art/3545AGNH?analog=on","3545AGNH"))*1</f>
        <v>#VALUE!</v>
      </c>
      <c r="B2330" s="1">
        <v>6963302</v>
      </c>
      <c r="C2330" t="s">
        <v>504</v>
      </c>
      <c r="D2330" t="s">
        <v>2489</v>
      </c>
      <c r="E2330" t="s">
        <v>8</v>
      </c>
    </row>
    <row r="2331" spans="1:5" hidden="1" outlineLevel="2">
      <c r="A2331" s="3" t="e">
        <f>(HYPERLINK("http://www.autodoc.ru/Web/price/art/3545AGNHV?analog=on","3545AGNHV"))*1</f>
        <v>#VALUE!</v>
      </c>
      <c r="B2331" s="1">
        <v>6963303</v>
      </c>
      <c r="C2331" t="s">
        <v>354</v>
      </c>
      <c r="D2331" t="s">
        <v>2490</v>
      </c>
      <c r="E2331" t="s">
        <v>8</v>
      </c>
    </row>
    <row r="2332" spans="1:5" hidden="1" outlineLevel="2">
      <c r="A2332" s="3" t="e">
        <f>(HYPERLINK("http://www.autodoc.ru/Web/price/art/3545AGNV?analog=on","3545AGNV"))*1</f>
        <v>#VALUE!</v>
      </c>
      <c r="B2332" s="1">
        <v>6969099</v>
      </c>
      <c r="C2332" t="s">
        <v>354</v>
      </c>
      <c r="D2332" t="s">
        <v>2491</v>
      </c>
      <c r="E2332" t="s">
        <v>8</v>
      </c>
    </row>
    <row r="2333" spans="1:5" hidden="1" outlineLevel="2">
      <c r="A2333" s="3" t="e">
        <f>(HYPERLINK("http://www.autodoc.ru/Web/price/art/3545ASMH?analog=on","3545ASMH"))*1</f>
        <v>#VALUE!</v>
      </c>
      <c r="B2333" s="1">
        <v>6100067</v>
      </c>
      <c r="C2333" t="s">
        <v>19</v>
      </c>
      <c r="D2333" t="s">
        <v>2492</v>
      </c>
      <c r="E2333" t="s">
        <v>21</v>
      </c>
    </row>
    <row r="2334" spans="1:5" hidden="1" outlineLevel="2">
      <c r="A2334" s="3" t="e">
        <f>(HYPERLINK("http://www.autodoc.ru/Web/price/art/3545ASMHT?analog=on","3545ASMHT"))*1</f>
        <v>#VALUE!</v>
      </c>
      <c r="B2334" s="1">
        <v>6102332</v>
      </c>
      <c r="C2334" t="s">
        <v>19</v>
      </c>
      <c r="D2334" t="s">
        <v>2493</v>
      </c>
      <c r="E2334" t="s">
        <v>21</v>
      </c>
    </row>
    <row r="2335" spans="1:5" hidden="1" outlineLevel="2">
      <c r="A2335" s="3" t="e">
        <f>(HYPERLINK("http://www.autodoc.ru/Web/price/art/3545BCLE?analog=on","3545BCLE"))*1</f>
        <v>#VALUE!</v>
      </c>
      <c r="B2335" s="1">
        <v>6998942</v>
      </c>
      <c r="C2335" t="s">
        <v>504</v>
      </c>
      <c r="D2335" t="s">
        <v>2494</v>
      </c>
      <c r="E2335" t="s">
        <v>23</v>
      </c>
    </row>
    <row r="2336" spans="1:5" hidden="1" outlineLevel="2">
      <c r="A2336" s="3" t="e">
        <f>(HYPERLINK("http://www.autodoc.ru/Web/price/art/3545BCLH?analog=on","3545BCLH"))*1</f>
        <v>#VALUE!</v>
      </c>
      <c r="B2336" s="1">
        <v>6980285</v>
      </c>
      <c r="C2336" t="s">
        <v>2495</v>
      </c>
      <c r="D2336" t="s">
        <v>2496</v>
      </c>
      <c r="E2336" t="s">
        <v>23</v>
      </c>
    </row>
    <row r="2337" spans="1:5" hidden="1" outlineLevel="2">
      <c r="A2337" s="3" t="e">
        <f>(HYPERLINK("http://www.autodoc.ru/Web/price/art/3545BCLH1J?analog=on","3545BCLH1J"))*1</f>
        <v>#VALUE!</v>
      </c>
      <c r="B2337" s="1">
        <v>6998943</v>
      </c>
      <c r="C2337" t="s">
        <v>2497</v>
      </c>
      <c r="D2337" t="s">
        <v>2498</v>
      </c>
      <c r="E2337" t="s">
        <v>23</v>
      </c>
    </row>
    <row r="2338" spans="1:5" hidden="1" outlineLevel="2">
      <c r="A2338" s="3" t="e">
        <f>(HYPERLINK("http://www.autodoc.ru/Web/price/art/3545BCLVLU?analog=on","3545BCLVLU"))*1</f>
        <v>#VALUE!</v>
      </c>
      <c r="B2338" s="1">
        <v>6998891</v>
      </c>
      <c r="C2338" t="s">
        <v>504</v>
      </c>
      <c r="D2338" t="s">
        <v>2499</v>
      </c>
      <c r="E2338" t="s">
        <v>23</v>
      </c>
    </row>
    <row r="2339" spans="1:5" hidden="1" outlineLevel="2">
      <c r="A2339" s="3" t="e">
        <f>(HYPERLINK("http://www.autodoc.ru/Web/price/art/3545BCLVRU?analog=on","3545BCLVRU"))*1</f>
        <v>#VALUE!</v>
      </c>
      <c r="B2339" s="1">
        <v>6998892</v>
      </c>
      <c r="C2339" t="s">
        <v>504</v>
      </c>
      <c r="D2339" t="s">
        <v>2500</v>
      </c>
      <c r="E2339" t="s">
        <v>23</v>
      </c>
    </row>
    <row r="2340" spans="1:5" hidden="1" outlineLevel="2">
      <c r="A2340" s="3" t="e">
        <f>(HYPERLINK("http://www.autodoc.ru/Web/price/art/3545BGNE?analog=on","3545BGNE"))*1</f>
        <v>#VALUE!</v>
      </c>
      <c r="B2340" s="1">
        <v>6998733</v>
      </c>
      <c r="C2340" t="s">
        <v>504</v>
      </c>
      <c r="D2340" t="s">
        <v>2501</v>
      </c>
      <c r="E2340" t="s">
        <v>23</v>
      </c>
    </row>
    <row r="2341" spans="1:5" hidden="1" outlineLevel="2">
      <c r="A2341" s="3" t="e">
        <f>(HYPERLINK("http://www.autodoc.ru/Web/price/art/3545BGNH?analog=on","3545BGNH"))*1</f>
        <v>#VALUE!</v>
      </c>
      <c r="B2341" s="1">
        <v>6992951</v>
      </c>
      <c r="C2341" t="s">
        <v>2495</v>
      </c>
      <c r="D2341" t="s">
        <v>2502</v>
      </c>
      <c r="E2341" t="s">
        <v>23</v>
      </c>
    </row>
    <row r="2342" spans="1:5" hidden="1" outlineLevel="2">
      <c r="A2342" s="3" t="e">
        <f>(HYPERLINK("http://www.autodoc.ru/Web/price/art/3545BGNH1J?analog=on","3545BGNH1J"))*1</f>
        <v>#VALUE!</v>
      </c>
      <c r="B2342" s="1">
        <v>6998734</v>
      </c>
      <c r="C2342" t="s">
        <v>1646</v>
      </c>
      <c r="D2342" t="s">
        <v>2503</v>
      </c>
      <c r="E2342" t="s">
        <v>23</v>
      </c>
    </row>
    <row r="2343" spans="1:5" hidden="1" outlineLevel="2">
      <c r="A2343" s="3" t="e">
        <f>(HYPERLINK("http://www.autodoc.ru/Web/price/art/3545BGNHB1J?analog=on","3545BGNHB1J"))*1</f>
        <v>#VALUE!</v>
      </c>
      <c r="B2343" s="1">
        <v>6998735</v>
      </c>
      <c r="C2343" t="s">
        <v>504</v>
      </c>
      <c r="D2343" t="s">
        <v>2504</v>
      </c>
      <c r="E2343" t="s">
        <v>23</v>
      </c>
    </row>
    <row r="2344" spans="1:5" hidden="1" outlineLevel="2">
      <c r="A2344" s="3" t="e">
        <f>(HYPERLINK("http://www.autodoc.ru/Web/price/art/3545BGNS?analog=on","3545BGNS"))*1</f>
        <v>#VALUE!</v>
      </c>
      <c r="B2344" s="1">
        <v>6998736</v>
      </c>
      <c r="C2344" t="s">
        <v>504</v>
      </c>
      <c r="D2344" t="s">
        <v>2505</v>
      </c>
      <c r="E2344" t="s">
        <v>23</v>
      </c>
    </row>
    <row r="2345" spans="1:5" hidden="1" outlineLevel="2">
      <c r="A2345" s="3" t="e">
        <f>(HYPERLINK("http://www.autodoc.ru/Web/price/art/3545BSMH?analog=on","3545BSMH"))*1</f>
        <v>#VALUE!</v>
      </c>
      <c r="B2345" s="1">
        <v>6100412</v>
      </c>
      <c r="C2345" t="s">
        <v>19</v>
      </c>
      <c r="D2345" t="s">
        <v>2506</v>
      </c>
      <c r="E2345" t="s">
        <v>21</v>
      </c>
    </row>
    <row r="2346" spans="1:5" hidden="1" outlineLevel="2">
      <c r="A2346" s="3" t="e">
        <f>(HYPERLINK("http://www.autodoc.ru/Web/price/art/3545LCLE5RD?analog=on","3545LCLE5RD"))*1</f>
        <v>#VALUE!</v>
      </c>
      <c r="B2346" s="1">
        <v>6996706</v>
      </c>
      <c r="C2346" t="s">
        <v>504</v>
      </c>
      <c r="D2346" t="s">
        <v>2507</v>
      </c>
      <c r="E2346" t="s">
        <v>10</v>
      </c>
    </row>
    <row r="2347" spans="1:5" hidden="1" outlineLevel="2">
      <c r="A2347" s="3" t="e">
        <f>(HYPERLINK("http://www.autodoc.ru/Web/price/art/3545LCLE5RQ?analog=on","3545LCLE5RQ"))*1</f>
        <v>#VALUE!</v>
      </c>
      <c r="B2347" s="1">
        <v>6994408</v>
      </c>
      <c r="C2347" t="s">
        <v>504</v>
      </c>
      <c r="D2347" t="s">
        <v>2508</v>
      </c>
      <c r="E2347" t="s">
        <v>10</v>
      </c>
    </row>
    <row r="2348" spans="1:5" hidden="1" outlineLevel="2">
      <c r="A2348" s="3" t="e">
        <f>(HYPERLINK("http://www.autodoc.ru/Web/price/art/3545LCLH3FD?analog=on","3545LCLH3FD"))*1</f>
        <v>#VALUE!</v>
      </c>
      <c r="B2348" s="1">
        <v>6994409</v>
      </c>
      <c r="C2348" t="s">
        <v>504</v>
      </c>
      <c r="D2348" t="s">
        <v>2509</v>
      </c>
      <c r="E2348" t="s">
        <v>10</v>
      </c>
    </row>
    <row r="2349" spans="1:5" hidden="1" outlineLevel="2">
      <c r="A2349" s="3" t="e">
        <f>(HYPERLINK("http://www.autodoc.ru/Web/price/art/3545LCLH5FD?analog=on","3545LCLH5FD"))*1</f>
        <v>#VALUE!</v>
      </c>
      <c r="B2349" s="1">
        <v>6999071</v>
      </c>
      <c r="C2349" t="s">
        <v>504</v>
      </c>
      <c r="D2349" t="s">
        <v>2510</v>
      </c>
      <c r="E2349" t="s">
        <v>10</v>
      </c>
    </row>
    <row r="2350" spans="1:5" hidden="1" outlineLevel="2">
      <c r="A2350" s="3" t="e">
        <f>(HYPERLINK("http://www.autodoc.ru/Web/price/art/3545LCLH5RD?analog=on","3545LCLH5RD"))*1</f>
        <v>#VALUE!</v>
      </c>
      <c r="B2350" s="1">
        <v>6994410</v>
      </c>
      <c r="C2350" t="s">
        <v>504</v>
      </c>
      <c r="D2350" t="s">
        <v>2511</v>
      </c>
      <c r="E2350" t="s">
        <v>10</v>
      </c>
    </row>
    <row r="2351" spans="1:5" hidden="1" outlineLevel="2">
      <c r="A2351" s="3" t="e">
        <f>(HYPERLINK("http://www.autodoc.ru/Web/price/art/3545LGNE5RD?analog=on","3545LGNE5RD"))*1</f>
        <v>#VALUE!</v>
      </c>
      <c r="B2351" s="1">
        <v>6996710</v>
      </c>
      <c r="C2351" t="s">
        <v>504</v>
      </c>
      <c r="D2351" t="s">
        <v>2512</v>
      </c>
      <c r="E2351" t="s">
        <v>10</v>
      </c>
    </row>
    <row r="2352" spans="1:5" hidden="1" outlineLevel="2">
      <c r="A2352" s="3" t="e">
        <f>(HYPERLINK("http://www.autodoc.ru/Web/price/art/3545LGNE5RQ?analog=on","3545LGNE5RQ"))*1</f>
        <v>#VALUE!</v>
      </c>
      <c r="B2352" s="1">
        <v>6994414</v>
      </c>
      <c r="C2352" t="s">
        <v>504</v>
      </c>
      <c r="D2352" t="s">
        <v>2513</v>
      </c>
      <c r="E2352" t="s">
        <v>10</v>
      </c>
    </row>
    <row r="2353" spans="1:5" hidden="1" outlineLevel="2">
      <c r="A2353" s="3" t="e">
        <f>(HYPERLINK("http://www.autodoc.ru/Web/price/art/3545LGNH3FD?analog=on","3545LGNH3FD"))*1</f>
        <v>#VALUE!</v>
      </c>
      <c r="B2353" s="1">
        <v>6994415</v>
      </c>
      <c r="C2353" t="s">
        <v>504</v>
      </c>
      <c r="D2353" t="s">
        <v>2514</v>
      </c>
      <c r="E2353" t="s">
        <v>10</v>
      </c>
    </row>
    <row r="2354" spans="1:5" hidden="1" outlineLevel="2">
      <c r="A2354" s="3" t="e">
        <f>(HYPERLINK("http://www.autodoc.ru/Web/price/art/3545LGNH3RQ?analog=on","3545LGNH3RQ"))*1</f>
        <v>#VALUE!</v>
      </c>
      <c r="B2354" s="1">
        <v>6996711</v>
      </c>
      <c r="C2354" t="s">
        <v>504</v>
      </c>
      <c r="D2354" t="s">
        <v>2515</v>
      </c>
      <c r="E2354" t="s">
        <v>10</v>
      </c>
    </row>
    <row r="2355" spans="1:5" hidden="1" outlineLevel="2">
      <c r="A2355" s="3" t="e">
        <f>(HYPERLINK("http://www.autodoc.ru/Web/price/art/3545LGNH5FD?analog=on","3545LGNH5FD"))*1</f>
        <v>#VALUE!</v>
      </c>
      <c r="B2355" s="1">
        <v>6999073</v>
      </c>
      <c r="C2355" t="s">
        <v>504</v>
      </c>
      <c r="D2355" t="s">
        <v>2516</v>
      </c>
      <c r="E2355" t="s">
        <v>10</v>
      </c>
    </row>
    <row r="2356" spans="1:5" hidden="1" outlineLevel="2">
      <c r="A2356" s="3" t="e">
        <f>(HYPERLINK("http://www.autodoc.ru/Web/price/art/3545LGNH5RD?analog=on","3545LGNH5RD"))*1</f>
        <v>#VALUE!</v>
      </c>
      <c r="B2356" s="1">
        <v>6996712</v>
      </c>
      <c r="C2356" t="s">
        <v>504</v>
      </c>
      <c r="D2356" t="s">
        <v>2517</v>
      </c>
      <c r="E2356" t="s">
        <v>10</v>
      </c>
    </row>
    <row r="2357" spans="1:5" hidden="1" outlineLevel="2">
      <c r="A2357" s="3" t="e">
        <f>(HYPERLINK("http://www.autodoc.ru/Web/price/art/3545RCLE5RD?analog=on","3545RCLE5RD"))*1</f>
        <v>#VALUE!</v>
      </c>
      <c r="B2357" s="1">
        <v>6996708</v>
      </c>
      <c r="C2357" t="s">
        <v>504</v>
      </c>
      <c r="D2357" t="s">
        <v>2518</v>
      </c>
      <c r="E2357" t="s">
        <v>10</v>
      </c>
    </row>
    <row r="2358" spans="1:5" hidden="1" outlineLevel="2">
      <c r="A2358" s="3" t="e">
        <f>(HYPERLINK("http://www.autodoc.ru/Web/price/art/3545RCLH3FD?analog=on","3545RCLH3FD"))*1</f>
        <v>#VALUE!</v>
      </c>
      <c r="B2358" s="1">
        <v>6994412</v>
      </c>
      <c r="C2358" t="s">
        <v>504</v>
      </c>
      <c r="D2358" t="s">
        <v>2519</v>
      </c>
      <c r="E2358" t="s">
        <v>10</v>
      </c>
    </row>
    <row r="2359" spans="1:5" hidden="1" outlineLevel="2">
      <c r="A2359" s="3" t="e">
        <f>(HYPERLINK("http://www.autodoc.ru/Web/price/art/3545RCLH5FD?analog=on","3545RCLH5FD"))*1</f>
        <v>#VALUE!</v>
      </c>
      <c r="B2359" s="1">
        <v>6999072</v>
      </c>
      <c r="C2359" t="s">
        <v>504</v>
      </c>
      <c r="D2359" t="s">
        <v>2520</v>
      </c>
      <c r="E2359" t="s">
        <v>10</v>
      </c>
    </row>
    <row r="2360" spans="1:5" hidden="1" outlineLevel="2">
      <c r="A2360" s="3" t="e">
        <f>(HYPERLINK("http://www.autodoc.ru/Web/price/art/3545RCLH5RD?analog=on","3545RCLH5RD"))*1</f>
        <v>#VALUE!</v>
      </c>
      <c r="B2360" s="1">
        <v>6994413</v>
      </c>
      <c r="C2360" t="s">
        <v>504</v>
      </c>
      <c r="D2360" t="s">
        <v>2521</v>
      </c>
      <c r="E2360" t="s">
        <v>10</v>
      </c>
    </row>
    <row r="2361" spans="1:5" hidden="1" outlineLevel="2">
      <c r="A2361" s="3" t="e">
        <f>(HYPERLINK("http://www.autodoc.ru/Web/price/art/3545RGNE5RD?analog=on","3545RGNE5RD"))*1</f>
        <v>#VALUE!</v>
      </c>
      <c r="B2361" s="1">
        <v>6996713</v>
      </c>
      <c r="C2361" t="s">
        <v>504</v>
      </c>
      <c r="D2361" t="s">
        <v>2522</v>
      </c>
      <c r="E2361" t="s">
        <v>10</v>
      </c>
    </row>
    <row r="2362" spans="1:5" hidden="1" outlineLevel="2">
      <c r="A2362" s="3" t="e">
        <f>(HYPERLINK("http://www.autodoc.ru/Web/price/art/3545RGNE5RQ?analog=on","3545RGNE5RQ"))*1</f>
        <v>#VALUE!</v>
      </c>
      <c r="B2362" s="1">
        <v>6994416</v>
      </c>
      <c r="C2362" t="s">
        <v>504</v>
      </c>
      <c r="D2362" t="s">
        <v>2523</v>
      </c>
      <c r="E2362" t="s">
        <v>10</v>
      </c>
    </row>
    <row r="2363" spans="1:5" hidden="1" outlineLevel="2">
      <c r="A2363" s="3" t="e">
        <f>(HYPERLINK("http://www.autodoc.ru/Web/price/art/3545RGNH3FD?analog=on","3545RGNH3FD"))*1</f>
        <v>#VALUE!</v>
      </c>
      <c r="B2363" s="1">
        <v>6994417</v>
      </c>
      <c r="C2363" t="s">
        <v>504</v>
      </c>
      <c r="D2363" t="s">
        <v>2524</v>
      </c>
      <c r="E2363" t="s">
        <v>10</v>
      </c>
    </row>
    <row r="2364" spans="1:5" hidden="1" outlineLevel="2">
      <c r="A2364" s="3" t="e">
        <f>(HYPERLINK("http://www.autodoc.ru/Web/price/art/3545RGNH3RQ?analog=on","3545RGNH3RQ"))*1</f>
        <v>#VALUE!</v>
      </c>
      <c r="B2364" s="1">
        <v>6996714</v>
      </c>
      <c r="C2364" t="s">
        <v>504</v>
      </c>
      <c r="D2364" t="s">
        <v>2525</v>
      </c>
      <c r="E2364" t="s">
        <v>10</v>
      </c>
    </row>
    <row r="2365" spans="1:5" hidden="1" outlineLevel="2">
      <c r="A2365" s="3" t="e">
        <f>(HYPERLINK("http://www.autodoc.ru/Web/price/art/3545RGNH5FD?analog=on","3545RGNH5FD"))*1</f>
        <v>#VALUE!</v>
      </c>
      <c r="B2365" s="1">
        <v>6999074</v>
      </c>
      <c r="C2365" t="s">
        <v>504</v>
      </c>
      <c r="D2365" t="s">
        <v>2526</v>
      </c>
      <c r="E2365" t="s">
        <v>10</v>
      </c>
    </row>
    <row r="2366" spans="1:5" hidden="1" outlineLevel="2">
      <c r="A2366" s="3" t="e">
        <f>(HYPERLINK("http://www.autodoc.ru/Web/price/art/3545RGNH5RD?analog=on","3545RGNH5RD"))*1</f>
        <v>#VALUE!</v>
      </c>
      <c r="B2366" s="1">
        <v>6996715</v>
      </c>
      <c r="C2366" t="s">
        <v>504</v>
      </c>
      <c r="D2366" t="s">
        <v>2527</v>
      </c>
      <c r="E2366" t="s">
        <v>10</v>
      </c>
    </row>
    <row r="2367" spans="1:5" hidden="1" outlineLevel="1">
      <c r="A2367" s="2">
        <v>0</v>
      </c>
      <c r="B2367" s="26" t="s">
        <v>2528</v>
      </c>
      <c r="C2367" s="27">
        <v>0</v>
      </c>
      <c r="D2367" s="27">
        <v>0</v>
      </c>
      <c r="E2367" s="27">
        <v>0</v>
      </c>
    </row>
    <row r="2368" spans="1:5" hidden="1" outlineLevel="2">
      <c r="A2368" s="3" t="e">
        <f>(HYPERLINK("http://www.autodoc.ru/Web/price/art/AF38AGSBLVZ?analog=on","AF38AGSBLVZ"))*1</f>
        <v>#VALUE!</v>
      </c>
      <c r="B2368" s="1">
        <v>6963011</v>
      </c>
      <c r="C2368" t="s">
        <v>654</v>
      </c>
      <c r="D2368" t="s">
        <v>2529</v>
      </c>
      <c r="E2368" t="s">
        <v>8</v>
      </c>
    </row>
    <row r="2369" spans="1:5" hidden="1" outlineLevel="2">
      <c r="A2369" s="3" t="e">
        <f>(HYPERLINK("http://www.autodoc.ru/Web/price/art/AL16AGSBLV?analog=on","AL16AGSBLV"))*1</f>
        <v>#VALUE!</v>
      </c>
      <c r="B2369" s="1">
        <v>6963014</v>
      </c>
      <c r="C2369" t="s">
        <v>879</v>
      </c>
      <c r="D2369" t="s">
        <v>2530</v>
      </c>
      <c r="E2369" t="s">
        <v>8</v>
      </c>
    </row>
    <row r="2370" spans="1:5" hidden="1" outlineLevel="2">
      <c r="A2370" s="3" t="e">
        <f>(HYPERLINK("http://www.autodoc.ru/Web/price/art/AF38LGSR5FDW?analog=on","AF38LGSR5FDW"))*1</f>
        <v>#VALUE!</v>
      </c>
      <c r="B2370" s="1">
        <v>6900501</v>
      </c>
      <c r="C2370" t="s">
        <v>654</v>
      </c>
      <c r="D2370" t="s">
        <v>2531</v>
      </c>
      <c r="E2370" t="s">
        <v>10</v>
      </c>
    </row>
    <row r="2371" spans="1:5" hidden="1" outlineLevel="2">
      <c r="A2371" s="3" t="e">
        <f>(HYPERLINK("http://www.autodoc.ru/Web/price/art/AF38RGSR5FDW?analog=on","AF38RGSR5FDW"))*1</f>
        <v>#VALUE!</v>
      </c>
      <c r="B2371" s="1">
        <v>6900502</v>
      </c>
      <c r="C2371" t="s">
        <v>654</v>
      </c>
      <c r="D2371" t="s">
        <v>2532</v>
      </c>
      <c r="E2371" t="s">
        <v>10</v>
      </c>
    </row>
    <row r="2372" spans="1:5" hidden="1" outlineLevel="2">
      <c r="A2372" s="3" t="e">
        <f>(HYPERLINK("http://www.autodoc.ru/Web/price/art/AL16RGNR5FD?analog=on","AL16RGNR5FD"))*1</f>
        <v>#VALUE!</v>
      </c>
      <c r="B2372" s="1">
        <v>6900499</v>
      </c>
      <c r="C2372" t="s">
        <v>879</v>
      </c>
      <c r="D2372" t="s">
        <v>2533</v>
      </c>
      <c r="E2372" t="s">
        <v>10</v>
      </c>
    </row>
    <row r="2373" spans="1:5" hidden="1" outlineLevel="1">
      <c r="A2373" s="2">
        <v>0</v>
      </c>
      <c r="B2373" s="26" t="s">
        <v>2534</v>
      </c>
      <c r="C2373" s="27">
        <v>0</v>
      </c>
      <c r="D2373" s="27">
        <v>0</v>
      </c>
      <c r="E2373" s="27">
        <v>0</v>
      </c>
    </row>
    <row r="2374" spans="1:5" hidden="1" outlineLevel="2">
      <c r="A2374" s="3" t="e">
        <f>(HYPERLINK("http://www.autodoc.ru/Web/price/art/AF55AGSBLW?analog=on","AF55AGSBLW"))*1</f>
        <v>#VALUE!</v>
      </c>
      <c r="B2374" s="1">
        <v>6962975</v>
      </c>
      <c r="C2374" t="s">
        <v>2535</v>
      </c>
      <c r="D2374" t="s">
        <v>2536</v>
      </c>
      <c r="E2374" t="s">
        <v>8</v>
      </c>
    </row>
    <row r="2375" spans="1:5" hidden="1" outlineLevel="1">
      <c r="A2375" s="2">
        <v>0</v>
      </c>
      <c r="B2375" s="26" t="s">
        <v>2537</v>
      </c>
      <c r="C2375" s="27">
        <v>0</v>
      </c>
      <c r="D2375" s="27">
        <v>0</v>
      </c>
      <c r="E2375" s="27">
        <v>0</v>
      </c>
    </row>
    <row r="2376" spans="1:5" hidden="1" outlineLevel="2">
      <c r="A2376" s="3" t="e">
        <f>(HYPERLINK("http://www.autodoc.ru/Web/price/art/1417AGNBLW?analog=on","1417AGNBLW"))*1</f>
        <v>#VALUE!</v>
      </c>
      <c r="B2376" s="1">
        <v>6962974</v>
      </c>
      <c r="C2376" t="s">
        <v>1321</v>
      </c>
      <c r="D2376" t="s">
        <v>2538</v>
      </c>
      <c r="E2376" t="s">
        <v>8</v>
      </c>
    </row>
    <row r="2377" spans="1:5" hidden="1" outlineLevel="1">
      <c r="A2377" s="2">
        <v>0</v>
      </c>
      <c r="B2377" s="26" t="s">
        <v>2539</v>
      </c>
      <c r="C2377" s="27">
        <v>0</v>
      </c>
      <c r="D2377" s="27">
        <v>0</v>
      </c>
      <c r="E2377" s="27">
        <v>0</v>
      </c>
    </row>
    <row r="2378" spans="1:5" hidden="1" outlineLevel="2">
      <c r="A2378" s="3" t="e">
        <f>(HYPERLINK("http://www.autodoc.ru/Web/price/art/AF27AGSBLVZ?analog=on","AF27AGSBLVZ"))*1</f>
        <v>#VALUE!</v>
      </c>
      <c r="B2378" s="1">
        <v>6963207</v>
      </c>
      <c r="C2378" t="s">
        <v>17</v>
      </c>
      <c r="D2378" t="s">
        <v>2540</v>
      </c>
      <c r="E2378" t="s">
        <v>8</v>
      </c>
    </row>
    <row r="2379" spans="1:5" hidden="1" outlineLevel="1">
      <c r="A2379" s="2">
        <v>0</v>
      </c>
      <c r="B2379" s="26" t="s">
        <v>2541</v>
      </c>
      <c r="C2379" s="27">
        <v>0</v>
      </c>
      <c r="D2379" s="27">
        <v>0</v>
      </c>
      <c r="E2379" s="27">
        <v>0</v>
      </c>
    </row>
    <row r="2380" spans="1:5" hidden="1" outlineLevel="2">
      <c r="A2380" s="3" t="e">
        <f>(HYPERLINK("http://www.autodoc.ru/Web/price/art/3549AGNBL?analog=on","3549AGNBL"))*1</f>
        <v>#VALUE!</v>
      </c>
      <c r="B2380" s="1">
        <v>6963211</v>
      </c>
      <c r="C2380" t="s">
        <v>2542</v>
      </c>
      <c r="D2380" t="s">
        <v>2543</v>
      </c>
      <c r="E2380" t="s">
        <v>8</v>
      </c>
    </row>
    <row r="2381" spans="1:5" hidden="1" outlineLevel="1">
      <c r="A2381" s="2">
        <v>0</v>
      </c>
      <c r="B2381" s="26" t="s">
        <v>2544</v>
      </c>
      <c r="C2381" s="27">
        <v>0</v>
      </c>
      <c r="D2381" s="27">
        <v>0</v>
      </c>
      <c r="E2381" s="27">
        <v>0</v>
      </c>
    </row>
    <row r="2382" spans="1:5" hidden="1" outlineLevel="2">
      <c r="A2382" s="3" t="e">
        <f>(HYPERLINK("http://www.autodoc.ru/Web/price/art/1551AGN?analog=on","1551AGN"))*1</f>
        <v>#VALUE!</v>
      </c>
      <c r="B2382" s="1">
        <v>6963010</v>
      </c>
      <c r="C2382" t="s">
        <v>265</v>
      </c>
      <c r="D2382" t="s">
        <v>2545</v>
      </c>
      <c r="E2382" t="s">
        <v>8</v>
      </c>
    </row>
    <row r="2383" spans="1:5" hidden="1" outlineLevel="1">
      <c r="A2383" s="2">
        <v>0</v>
      </c>
      <c r="B2383" s="26" t="s">
        <v>2546</v>
      </c>
      <c r="C2383" s="27">
        <v>0</v>
      </c>
      <c r="D2383" s="27">
        <v>0</v>
      </c>
      <c r="E2383" s="27">
        <v>0</v>
      </c>
    </row>
    <row r="2384" spans="1:5" hidden="1" outlineLevel="2">
      <c r="A2384" s="3" t="e">
        <f>(HYPERLINK("http://www.autodoc.ru/Web/price/art/3532ACL?analog=on","3532ACL"))*1</f>
        <v>#VALUE!</v>
      </c>
      <c r="B2384" s="1">
        <v>6969101</v>
      </c>
      <c r="C2384" t="s">
        <v>2547</v>
      </c>
      <c r="D2384" t="s">
        <v>2548</v>
      </c>
      <c r="E2384" t="s">
        <v>8</v>
      </c>
    </row>
    <row r="2385" spans="1:5" hidden="1" outlineLevel="2">
      <c r="A2385" s="3" t="e">
        <f>(HYPERLINK("http://www.autodoc.ru/Web/price/art/3532LCLH3FD?analog=on","3532LCLH3FD"))*1</f>
        <v>#VALUE!</v>
      </c>
      <c r="B2385" s="1">
        <v>6999051</v>
      </c>
      <c r="C2385" t="s">
        <v>2547</v>
      </c>
      <c r="D2385" t="s">
        <v>2549</v>
      </c>
      <c r="E2385" t="s">
        <v>10</v>
      </c>
    </row>
    <row r="2386" spans="1:5" hidden="1" outlineLevel="2">
      <c r="A2386" s="3" t="e">
        <f>(HYPERLINK("http://www.autodoc.ru/Web/price/art/3532LCLH3FV?analog=on","3532LCLH3FV"))*1</f>
        <v>#VALUE!</v>
      </c>
      <c r="B2386" s="1">
        <v>6993531</v>
      </c>
      <c r="C2386" t="s">
        <v>2547</v>
      </c>
      <c r="D2386" t="s">
        <v>2550</v>
      </c>
      <c r="E2386" t="s">
        <v>10</v>
      </c>
    </row>
    <row r="2387" spans="1:5" hidden="1" outlineLevel="2">
      <c r="A2387" s="3" t="e">
        <f>(HYPERLINK("http://www.autodoc.ru/Web/price/art/3532LGNH3FD?analog=on","3532LGNH3FD"))*1</f>
        <v>#VALUE!</v>
      </c>
      <c r="B2387" s="1">
        <v>6999053</v>
      </c>
      <c r="C2387" t="s">
        <v>2547</v>
      </c>
      <c r="D2387" t="s">
        <v>2551</v>
      </c>
      <c r="E2387" t="s">
        <v>10</v>
      </c>
    </row>
    <row r="2388" spans="1:5" hidden="1" outlineLevel="2">
      <c r="A2388" s="3" t="e">
        <f>(HYPERLINK("http://www.autodoc.ru/Web/price/art/3532RCLH3FD?analog=on","3532RCLH3FD"))*1</f>
        <v>#VALUE!</v>
      </c>
      <c r="B2388" s="1">
        <v>6999052</v>
      </c>
      <c r="C2388" t="s">
        <v>2547</v>
      </c>
      <c r="D2388" t="s">
        <v>2552</v>
      </c>
      <c r="E2388" t="s">
        <v>10</v>
      </c>
    </row>
    <row r="2389" spans="1:5" hidden="1" outlineLevel="2">
      <c r="A2389" s="3" t="e">
        <f>(HYPERLINK("http://www.autodoc.ru/Web/price/art/3532RCLH3FV?analog=on","3532RCLH3FV"))*1</f>
        <v>#VALUE!</v>
      </c>
      <c r="B2389" s="1">
        <v>6993532</v>
      </c>
      <c r="C2389" t="s">
        <v>2547</v>
      </c>
      <c r="D2389" t="s">
        <v>2553</v>
      </c>
      <c r="E2389" t="s">
        <v>10</v>
      </c>
    </row>
    <row r="2390" spans="1:5" hidden="1" outlineLevel="1">
      <c r="A2390" s="2">
        <v>0</v>
      </c>
      <c r="B2390" s="26" t="s">
        <v>2554</v>
      </c>
      <c r="C2390" s="27">
        <v>0</v>
      </c>
      <c r="D2390" s="27">
        <v>0</v>
      </c>
      <c r="E2390" s="27">
        <v>0</v>
      </c>
    </row>
    <row r="2391" spans="1:5" hidden="1" outlineLevel="2">
      <c r="A2391" s="3" t="e">
        <f>(HYPERLINK("http://www.autodoc.ru/Web/price/art/3536ACL?analog=on","3536ACL"))*1</f>
        <v>#VALUE!</v>
      </c>
      <c r="B2391" s="1">
        <v>6969102</v>
      </c>
      <c r="C2391" t="s">
        <v>2555</v>
      </c>
      <c r="D2391" t="s">
        <v>2556</v>
      </c>
      <c r="E2391" t="s">
        <v>8</v>
      </c>
    </row>
    <row r="2392" spans="1:5" hidden="1" outlineLevel="2">
      <c r="A2392" s="3" t="e">
        <f>(HYPERLINK("http://www.autodoc.ru/Web/price/art/3536AGN?analog=on","3536AGN"))*1</f>
        <v>#VALUE!</v>
      </c>
      <c r="B2392" s="1">
        <v>6969103</v>
      </c>
      <c r="C2392" t="s">
        <v>2555</v>
      </c>
      <c r="D2392" t="s">
        <v>2557</v>
      </c>
      <c r="E2392" t="s">
        <v>8</v>
      </c>
    </row>
    <row r="2393" spans="1:5" hidden="1" outlineLevel="2">
      <c r="A2393" s="3" t="e">
        <f>(HYPERLINK("http://www.autodoc.ru/Web/price/art/3536AGNBL?analog=on","3536AGNBL"))*1</f>
        <v>#VALUE!</v>
      </c>
      <c r="B2393" s="1">
        <v>6969112</v>
      </c>
      <c r="C2393" t="s">
        <v>2555</v>
      </c>
      <c r="D2393" t="s">
        <v>2558</v>
      </c>
      <c r="E2393" t="s">
        <v>8</v>
      </c>
    </row>
    <row r="2394" spans="1:5" hidden="1" outlineLevel="2">
      <c r="A2394" s="3" t="e">
        <f>(HYPERLINK("http://www.autodoc.ru/Web/price/art/3536ASRH1H?analog=on","3536ASRH1H"))*1</f>
        <v>#VALUE!</v>
      </c>
      <c r="B2394" s="1">
        <v>6100549</v>
      </c>
      <c r="C2394" t="s">
        <v>19</v>
      </c>
      <c r="D2394" t="s">
        <v>2559</v>
      </c>
      <c r="E2394" t="s">
        <v>21</v>
      </c>
    </row>
    <row r="2395" spans="1:5" hidden="1" outlineLevel="2">
      <c r="A2395" s="3" t="e">
        <f>(HYPERLINK("http://www.autodoc.ru/Web/price/art/3536BCLH?analog=on","3536BCLH"))*1</f>
        <v>#VALUE!</v>
      </c>
      <c r="B2395" s="1">
        <v>6998887</v>
      </c>
      <c r="C2395" t="s">
        <v>2555</v>
      </c>
      <c r="D2395" t="s">
        <v>2560</v>
      </c>
      <c r="E2395" t="s">
        <v>23</v>
      </c>
    </row>
    <row r="2396" spans="1:5" hidden="1" outlineLevel="2">
      <c r="A2396" s="3" t="e">
        <f>(HYPERLINK("http://www.autodoc.ru/Web/price/art/3536BGNH?analog=on","3536BGNH"))*1</f>
        <v>#VALUE!</v>
      </c>
      <c r="B2396" s="1">
        <v>6998642</v>
      </c>
      <c r="C2396" t="s">
        <v>2555</v>
      </c>
      <c r="D2396" t="s">
        <v>2561</v>
      </c>
      <c r="E2396" t="s">
        <v>23</v>
      </c>
    </row>
    <row r="2397" spans="1:5" hidden="1" outlineLevel="1">
      <c r="A2397" s="2">
        <v>0</v>
      </c>
      <c r="B2397" s="26" t="s">
        <v>2562</v>
      </c>
      <c r="C2397" s="27">
        <v>0</v>
      </c>
      <c r="D2397" s="27">
        <v>0</v>
      </c>
      <c r="E2397" s="27">
        <v>0</v>
      </c>
    </row>
    <row r="2398" spans="1:5" hidden="1" outlineLevel="2">
      <c r="A2398" s="3" t="e">
        <f>(HYPERLINK("http://www.autodoc.ru/Web/price/art/3544ACL?analog=on","3544ACL"))*1</f>
        <v>#VALUE!</v>
      </c>
      <c r="B2398" s="1">
        <v>6969107</v>
      </c>
      <c r="C2398" t="s">
        <v>2563</v>
      </c>
      <c r="D2398" t="s">
        <v>2564</v>
      </c>
      <c r="E2398" t="s">
        <v>8</v>
      </c>
    </row>
    <row r="2399" spans="1:5" hidden="1" outlineLevel="2">
      <c r="A2399" s="3" t="e">
        <f>(HYPERLINK("http://www.autodoc.ru/Web/price/art/3544AGN?analog=on","3544AGN"))*1</f>
        <v>#VALUE!</v>
      </c>
      <c r="B2399" s="1">
        <v>6969111</v>
      </c>
      <c r="C2399" t="s">
        <v>2563</v>
      </c>
      <c r="D2399" t="s">
        <v>2565</v>
      </c>
      <c r="E2399" t="s">
        <v>8</v>
      </c>
    </row>
    <row r="2400" spans="1:5" hidden="1" outlineLevel="2">
      <c r="A2400" s="3" t="e">
        <f>(HYPERLINK("http://www.autodoc.ru/Web/price/art/3544AGNBL?analog=on","3544AGNBL"))*1</f>
        <v>#VALUE!</v>
      </c>
      <c r="B2400" s="1">
        <v>6968105</v>
      </c>
      <c r="C2400" t="s">
        <v>2563</v>
      </c>
      <c r="D2400" t="s">
        <v>2566</v>
      </c>
      <c r="E2400" t="s">
        <v>8</v>
      </c>
    </row>
    <row r="2401" spans="1:5" hidden="1" outlineLevel="2">
      <c r="A2401" s="3" t="e">
        <f>(HYPERLINK("http://www.autodoc.ru/Web/price/art/3544AGNGN?analog=on","3544AGNGN"))*1</f>
        <v>#VALUE!</v>
      </c>
      <c r="B2401" s="1">
        <v>6968106</v>
      </c>
      <c r="C2401" t="s">
        <v>2563</v>
      </c>
      <c r="D2401" t="s">
        <v>2567</v>
      </c>
      <c r="E2401" t="s">
        <v>8</v>
      </c>
    </row>
    <row r="2402" spans="1:5" hidden="1" outlineLevel="2">
      <c r="A2402" s="3" t="e">
        <f>(HYPERLINK("http://www.autodoc.ru/Web/price/art/3544ASRH?analog=on","3544ASRH"))*1</f>
        <v>#VALUE!</v>
      </c>
      <c r="B2402" s="1">
        <v>6100065</v>
      </c>
      <c r="C2402" t="s">
        <v>19</v>
      </c>
      <c r="D2402" t="s">
        <v>2568</v>
      </c>
      <c r="E2402" t="s">
        <v>21</v>
      </c>
    </row>
    <row r="2403" spans="1:5" hidden="1" outlineLevel="2">
      <c r="A2403" s="3" t="e">
        <f>(HYPERLINK("http://www.autodoc.ru/Web/price/art/3544BCLH?analog=on","3544BCLH"))*1</f>
        <v>#VALUE!</v>
      </c>
      <c r="B2403" s="1">
        <v>6993535</v>
      </c>
      <c r="C2403" t="s">
        <v>2563</v>
      </c>
      <c r="D2403" t="s">
        <v>2569</v>
      </c>
      <c r="E2403" t="s">
        <v>23</v>
      </c>
    </row>
    <row r="2404" spans="1:5" hidden="1" outlineLevel="2">
      <c r="A2404" s="3" t="e">
        <f>(HYPERLINK("http://www.autodoc.ru/Web/price/art/3544BCLVL?analog=on","3544BCLVL"))*1</f>
        <v>#VALUE!</v>
      </c>
      <c r="B2404" s="1">
        <v>6998889</v>
      </c>
      <c r="C2404" t="s">
        <v>2563</v>
      </c>
      <c r="D2404" t="s">
        <v>2570</v>
      </c>
      <c r="E2404" t="s">
        <v>23</v>
      </c>
    </row>
    <row r="2405" spans="1:5" hidden="1" outlineLevel="2">
      <c r="A2405" s="3" t="e">
        <f>(HYPERLINK("http://www.autodoc.ru/Web/price/art/3544BCLVR?analog=on","3544BCLVR"))*1</f>
        <v>#VALUE!</v>
      </c>
      <c r="B2405" s="1">
        <v>6998890</v>
      </c>
      <c r="C2405" t="s">
        <v>2563</v>
      </c>
      <c r="D2405" t="s">
        <v>2571</v>
      </c>
      <c r="E2405" t="s">
        <v>23</v>
      </c>
    </row>
    <row r="2406" spans="1:5" hidden="1" outlineLevel="2">
      <c r="A2406" s="3" t="e">
        <f>(HYPERLINK("http://www.autodoc.ru/Web/price/art/3544BGNH?analog=on","3544BGNH"))*1</f>
        <v>#VALUE!</v>
      </c>
      <c r="B2406" s="1">
        <v>6993536</v>
      </c>
      <c r="C2406" t="s">
        <v>2563</v>
      </c>
      <c r="D2406" t="s">
        <v>2572</v>
      </c>
      <c r="E2406" t="s">
        <v>23</v>
      </c>
    </row>
    <row r="2407" spans="1:5" hidden="1" outlineLevel="2">
      <c r="A2407" s="3" t="e">
        <f>(HYPERLINK("http://www.autodoc.ru/Web/price/art/3544BSRH?analog=on","3544BSRH"))*1</f>
        <v>#VALUE!</v>
      </c>
      <c r="B2407" s="1">
        <v>6100066</v>
      </c>
      <c r="C2407" t="s">
        <v>19</v>
      </c>
      <c r="D2407" t="s">
        <v>2573</v>
      </c>
      <c r="E2407" t="s">
        <v>21</v>
      </c>
    </row>
    <row r="2408" spans="1:5" hidden="1" outlineLevel="2">
      <c r="A2408" s="3" t="e">
        <f>(HYPERLINK("http://www.autodoc.ru/Web/price/art/3544LCLH3FD?analog=on","3544LCLH3FD"))*1</f>
        <v>#VALUE!</v>
      </c>
      <c r="B2408" s="1">
        <v>6999023</v>
      </c>
      <c r="C2408" t="s">
        <v>2563</v>
      </c>
      <c r="D2408" t="s">
        <v>2574</v>
      </c>
      <c r="E2408" t="s">
        <v>10</v>
      </c>
    </row>
    <row r="2409" spans="1:5" hidden="1" outlineLevel="2">
      <c r="A2409" s="3" t="e">
        <f>(HYPERLINK("http://www.autodoc.ru/Web/price/art/3544LCLH3RQ?analog=on","3544LCLH3RQ"))*1</f>
        <v>#VALUE!</v>
      </c>
      <c r="B2409" s="1">
        <v>6996702</v>
      </c>
      <c r="C2409" t="s">
        <v>2563</v>
      </c>
      <c r="D2409" t="s">
        <v>2575</v>
      </c>
      <c r="E2409" t="s">
        <v>10</v>
      </c>
    </row>
    <row r="2410" spans="1:5" hidden="1" outlineLevel="2">
      <c r="A2410" s="3" t="e">
        <f>(HYPERLINK("http://www.autodoc.ru/Web/price/art/3544LCLH5FD?analog=on","3544LCLH5FD"))*1</f>
        <v>#VALUE!</v>
      </c>
      <c r="B2410" s="1">
        <v>6999009</v>
      </c>
      <c r="C2410" t="s">
        <v>2563</v>
      </c>
      <c r="D2410" t="s">
        <v>2576</v>
      </c>
      <c r="E2410" t="s">
        <v>10</v>
      </c>
    </row>
    <row r="2411" spans="1:5" hidden="1" outlineLevel="2">
      <c r="A2411" s="3" t="e">
        <f>(HYPERLINK("http://www.autodoc.ru/Web/price/art/3544LCLH5RD?analog=on","3544LCLH5RD"))*1</f>
        <v>#VALUE!</v>
      </c>
      <c r="B2411" s="1">
        <v>6999062</v>
      </c>
      <c r="C2411" t="s">
        <v>2563</v>
      </c>
      <c r="D2411" t="s">
        <v>2577</v>
      </c>
      <c r="E2411" t="s">
        <v>10</v>
      </c>
    </row>
    <row r="2412" spans="1:5" hidden="1" outlineLevel="2">
      <c r="A2412" s="3" t="e">
        <f>(HYPERLINK("http://www.autodoc.ru/Web/price/art/3544LCLH5RV?analog=on","3544LCLH5RV"))*1</f>
        <v>#VALUE!</v>
      </c>
      <c r="B2412" s="1">
        <v>6993521</v>
      </c>
      <c r="C2412" t="s">
        <v>2563</v>
      </c>
      <c r="D2412" t="s">
        <v>2578</v>
      </c>
      <c r="E2412" t="s">
        <v>10</v>
      </c>
    </row>
    <row r="2413" spans="1:5" hidden="1" outlineLevel="2">
      <c r="A2413" s="3" t="e">
        <f>(HYPERLINK("http://www.autodoc.ru/Web/price/art/3544LGNH3FD?analog=on","3544LGNH3FD"))*1</f>
        <v>#VALUE!</v>
      </c>
      <c r="B2413" s="1">
        <v>6999022</v>
      </c>
      <c r="C2413" t="s">
        <v>2563</v>
      </c>
      <c r="D2413" t="s">
        <v>2579</v>
      </c>
      <c r="E2413" t="s">
        <v>10</v>
      </c>
    </row>
    <row r="2414" spans="1:5" hidden="1" outlineLevel="2">
      <c r="A2414" s="3" t="e">
        <f>(HYPERLINK("http://www.autodoc.ru/Web/price/art/3544LGNH3RQ?analog=on","3544LGNH3RQ"))*1</f>
        <v>#VALUE!</v>
      </c>
      <c r="B2414" s="1">
        <v>6996704</v>
      </c>
      <c r="C2414" t="s">
        <v>2563</v>
      </c>
      <c r="D2414" t="s">
        <v>2580</v>
      </c>
      <c r="E2414" t="s">
        <v>10</v>
      </c>
    </row>
    <row r="2415" spans="1:5" hidden="1" outlineLevel="2">
      <c r="A2415" s="3" t="e">
        <f>(HYPERLINK("http://www.autodoc.ru/Web/price/art/3544LGNH3RQO?analog=on","3544LGNH3RQO"))*1</f>
        <v>#VALUE!</v>
      </c>
      <c r="B2415" s="1">
        <v>6994406</v>
      </c>
      <c r="C2415" t="s">
        <v>2563</v>
      </c>
      <c r="D2415" t="s">
        <v>2581</v>
      </c>
      <c r="E2415" t="s">
        <v>10</v>
      </c>
    </row>
    <row r="2416" spans="1:5" hidden="1" outlineLevel="2">
      <c r="A2416" s="3" t="e">
        <f>(HYPERLINK("http://www.autodoc.ru/Web/price/art/3544LGNH5FD?analog=on","3544LGNH5FD"))*1</f>
        <v>#VALUE!</v>
      </c>
      <c r="B2416" s="1">
        <v>6999012</v>
      </c>
      <c r="C2416" t="s">
        <v>2563</v>
      </c>
      <c r="D2416" t="s">
        <v>2582</v>
      </c>
      <c r="E2416" t="s">
        <v>10</v>
      </c>
    </row>
    <row r="2417" spans="1:5" hidden="1" outlineLevel="2">
      <c r="A2417" s="3" t="e">
        <f>(HYPERLINK("http://www.autodoc.ru/Web/price/art/3544LGNH5RD?analog=on","3544LGNH5RD"))*1</f>
        <v>#VALUE!</v>
      </c>
      <c r="B2417" s="1">
        <v>6999064</v>
      </c>
      <c r="C2417" t="s">
        <v>2563</v>
      </c>
      <c r="D2417" t="s">
        <v>2583</v>
      </c>
      <c r="E2417" t="s">
        <v>10</v>
      </c>
    </row>
    <row r="2418" spans="1:5" hidden="1" outlineLevel="2">
      <c r="A2418" s="3" t="e">
        <f>(HYPERLINK("http://www.autodoc.ru/Web/price/art/3544LGNH5RV?analog=on","3544LGNH5RV"))*1</f>
        <v>#VALUE!</v>
      </c>
      <c r="B2418" s="1">
        <v>6993523</v>
      </c>
      <c r="C2418" t="s">
        <v>2563</v>
      </c>
      <c r="D2418" t="s">
        <v>2584</v>
      </c>
      <c r="E2418" t="s">
        <v>10</v>
      </c>
    </row>
    <row r="2419" spans="1:5" hidden="1" outlineLevel="2">
      <c r="A2419" s="3" t="e">
        <f>(HYPERLINK("http://www.autodoc.ru/Web/price/art/3544RCLH3FD?analog=on","3544RCLH3FD"))*1</f>
        <v>#VALUE!</v>
      </c>
      <c r="B2419" s="1">
        <v>6999024</v>
      </c>
      <c r="C2419" t="s">
        <v>2563</v>
      </c>
      <c r="D2419" t="s">
        <v>2585</v>
      </c>
      <c r="E2419" t="s">
        <v>10</v>
      </c>
    </row>
    <row r="2420" spans="1:5" hidden="1" outlineLevel="2">
      <c r="A2420" s="3" t="e">
        <f>(HYPERLINK("http://www.autodoc.ru/Web/price/art/3544RCLH3RQ?analog=on","3544RCLH3RQ"))*1</f>
        <v>#VALUE!</v>
      </c>
      <c r="B2420" s="1">
        <v>6996703</v>
      </c>
      <c r="C2420" t="s">
        <v>2563</v>
      </c>
      <c r="D2420" t="s">
        <v>2586</v>
      </c>
      <c r="E2420" t="s">
        <v>10</v>
      </c>
    </row>
    <row r="2421" spans="1:5" hidden="1" outlineLevel="2">
      <c r="A2421" s="3" t="e">
        <f>(HYPERLINK("http://www.autodoc.ru/Web/price/art/3544RCLH5FD?analog=on","3544RCLH5FD"))*1</f>
        <v>#VALUE!</v>
      </c>
      <c r="B2421" s="1">
        <v>6999010</v>
      </c>
      <c r="C2421" t="s">
        <v>2563</v>
      </c>
      <c r="D2421" t="s">
        <v>2587</v>
      </c>
      <c r="E2421" t="s">
        <v>10</v>
      </c>
    </row>
    <row r="2422" spans="1:5" hidden="1" outlineLevel="2">
      <c r="A2422" s="3" t="e">
        <f>(HYPERLINK("http://www.autodoc.ru/Web/price/art/3544RCLH5RD?analog=on","3544RCLH5RD"))*1</f>
        <v>#VALUE!</v>
      </c>
      <c r="B2422" s="1">
        <v>6999061</v>
      </c>
      <c r="C2422" t="s">
        <v>2563</v>
      </c>
      <c r="D2422" t="s">
        <v>2588</v>
      </c>
      <c r="E2422" t="s">
        <v>10</v>
      </c>
    </row>
    <row r="2423" spans="1:5" hidden="1" outlineLevel="2">
      <c r="A2423" s="3" t="e">
        <f>(HYPERLINK("http://www.autodoc.ru/Web/price/art/3544RCLH5RV?analog=on","3544RCLH5RV"))*1</f>
        <v>#VALUE!</v>
      </c>
      <c r="B2423" s="1">
        <v>6993522</v>
      </c>
      <c r="C2423" t="s">
        <v>2563</v>
      </c>
      <c r="D2423" t="s">
        <v>2589</v>
      </c>
      <c r="E2423" t="s">
        <v>10</v>
      </c>
    </row>
    <row r="2424" spans="1:5" hidden="1" outlineLevel="2">
      <c r="A2424" s="3" t="e">
        <f>(HYPERLINK("http://www.autodoc.ru/Web/price/art/3544RGNH3FD?analog=on","3544RGNH3FD"))*1</f>
        <v>#VALUE!</v>
      </c>
      <c r="B2424" s="1">
        <v>6999021</v>
      </c>
      <c r="C2424" t="s">
        <v>2563</v>
      </c>
      <c r="D2424" t="s">
        <v>2590</v>
      </c>
      <c r="E2424" t="s">
        <v>10</v>
      </c>
    </row>
    <row r="2425" spans="1:5" hidden="1" outlineLevel="2">
      <c r="A2425" s="3" t="e">
        <f>(HYPERLINK("http://www.autodoc.ru/Web/price/art/3544RGNH3RQ?analog=on","3544RGNH3RQ"))*1</f>
        <v>#VALUE!</v>
      </c>
      <c r="B2425" s="1">
        <v>6996705</v>
      </c>
      <c r="C2425" t="s">
        <v>2563</v>
      </c>
      <c r="D2425" t="s">
        <v>2591</v>
      </c>
      <c r="E2425" t="s">
        <v>10</v>
      </c>
    </row>
    <row r="2426" spans="1:5" hidden="1" outlineLevel="2">
      <c r="A2426" s="3" t="e">
        <f>(HYPERLINK("http://www.autodoc.ru/Web/price/art/3544RGNH3RQO?analog=on","3544RGNH3RQO"))*1</f>
        <v>#VALUE!</v>
      </c>
      <c r="B2426" s="1">
        <v>6994407</v>
      </c>
      <c r="C2426" t="s">
        <v>2563</v>
      </c>
      <c r="D2426" t="s">
        <v>2592</v>
      </c>
      <c r="E2426" t="s">
        <v>10</v>
      </c>
    </row>
    <row r="2427" spans="1:5" hidden="1" outlineLevel="2">
      <c r="A2427" s="3" t="e">
        <f>(HYPERLINK("http://www.autodoc.ru/Web/price/art/3544RGNH5FD?analog=on","3544RGNH5FD"))*1</f>
        <v>#VALUE!</v>
      </c>
      <c r="B2427" s="1">
        <v>6999011</v>
      </c>
      <c r="C2427" t="s">
        <v>2563</v>
      </c>
      <c r="D2427" t="s">
        <v>2593</v>
      </c>
      <c r="E2427" t="s">
        <v>10</v>
      </c>
    </row>
    <row r="2428" spans="1:5" hidden="1" outlineLevel="2">
      <c r="A2428" s="3" t="e">
        <f>(HYPERLINK("http://www.autodoc.ru/Web/price/art/3544RGNH5RD?analog=on","3544RGNH5RD"))*1</f>
        <v>#VALUE!</v>
      </c>
      <c r="B2428" s="1">
        <v>6999063</v>
      </c>
      <c r="C2428" t="s">
        <v>2563</v>
      </c>
      <c r="D2428" t="s">
        <v>2594</v>
      </c>
      <c r="E2428" t="s">
        <v>10</v>
      </c>
    </row>
    <row r="2429" spans="1:5" hidden="1" outlineLevel="2">
      <c r="A2429" s="3" t="e">
        <f>(HYPERLINK("http://www.autodoc.ru/Web/price/art/3544RGNH5RV?analog=on","3544RGNH5RV"))*1</f>
        <v>#VALUE!</v>
      </c>
      <c r="B2429" s="1">
        <v>6993524</v>
      </c>
      <c r="C2429" t="s">
        <v>2563</v>
      </c>
      <c r="D2429" t="s">
        <v>2595</v>
      </c>
      <c r="E2429" t="s">
        <v>10</v>
      </c>
    </row>
    <row r="2430" spans="1:5" hidden="1" outlineLevel="1">
      <c r="A2430" s="2">
        <v>0</v>
      </c>
      <c r="B2430" s="26" t="s">
        <v>2596</v>
      </c>
      <c r="C2430" s="27">
        <v>0</v>
      </c>
      <c r="D2430" s="27">
        <v>0</v>
      </c>
      <c r="E2430" s="27">
        <v>0</v>
      </c>
    </row>
    <row r="2431" spans="1:5" hidden="1" outlineLevel="2">
      <c r="A2431" s="3" t="e">
        <f>(HYPERLINK("http://www.autodoc.ru/Web/price/art/3552ACL?analog=on","3552ACL"))*1</f>
        <v>#VALUE!</v>
      </c>
      <c r="B2431" s="1">
        <v>6968126</v>
      </c>
      <c r="C2431" t="s">
        <v>901</v>
      </c>
      <c r="D2431" t="s">
        <v>2597</v>
      </c>
      <c r="E2431" t="s">
        <v>8</v>
      </c>
    </row>
    <row r="2432" spans="1:5" hidden="1" outlineLevel="2">
      <c r="A2432" s="3" t="e">
        <f>(HYPERLINK("http://www.autodoc.ru/Web/price/art/3552ACL1B?analog=on","3552ACL1B"))*1</f>
        <v>#VALUE!</v>
      </c>
      <c r="B2432" s="1">
        <v>6961289</v>
      </c>
      <c r="C2432" t="s">
        <v>2598</v>
      </c>
      <c r="D2432" t="s">
        <v>2599</v>
      </c>
      <c r="E2432" t="s">
        <v>8</v>
      </c>
    </row>
    <row r="2433" spans="1:5" hidden="1" outlineLevel="2">
      <c r="A2433" s="3" t="e">
        <f>(HYPERLINK("http://www.autodoc.ru/Web/price/art/3552AGN?analog=on","3552AGN"))*1</f>
        <v>#VALUE!</v>
      </c>
      <c r="B2433" s="1">
        <v>6968127</v>
      </c>
      <c r="C2433" t="s">
        <v>901</v>
      </c>
      <c r="D2433" t="s">
        <v>2600</v>
      </c>
      <c r="E2433" t="s">
        <v>8</v>
      </c>
    </row>
    <row r="2434" spans="1:5" hidden="1" outlineLevel="2">
      <c r="A2434" s="3" t="e">
        <f>(HYPERLINK("http://www.autodoc.ru/Web/price/art/3552AGN1B?analog=on","3552AGN1B"))*1</f>
        <v>#VALUE!</v>
      </c>
      <c r="B2434" s="1">
        <v>6961290</v>
      </c>
      <c r="C2434" t="s">
        <v>2598</v>
      </c>
      <c r="D2434" t="s">
        <v>2601</v>
      </c>
      <c r="E2434" t="s">
        <v>8</v>
      </c>
    </row>
    <row r="2435" spans="1:5" hidden="1" outlineLevel="2">
      <c r="A2435" s="3" t="e">
        <f>(HYPERLINK("http://www.autodoc.ru/Web/price/art/3552AGNBL?analog=on","3552AGNBL"))*1</f>
        <v>#VALUE!</v>
      </c>
      <c r="B2435" s="1">
        <v>6963783</v>
      </c>
      <c r="C2435" t="s">
        <v>901</v>
      </c>
      <c r="D2435" t="s">
        <v>2602</v>
      </c>
      <c r="E2435" t="s">
        <v>8</v>
      </c>
    </row>
    <row r="2436" spans="1:5" hidden="1" outlineLevel="2">
      <c r="A2436" s="3" t="e">
        <f>(HYPERLINK("http://www.autodoc.ru/Web/price/art/3552AGNBL1B?analog=on","3552AGNBL1B"))*1</f>
        <v>#VALUE!</v>
      </c>
      <c r="B2436" s="1">
        <v>6961570</v>
      </c>
      <c r="C2436" t="s">
        <v>2598</v>
      </c>
      <c r="D2436" t="s">
        <v>2603</v>
      </c>
      <c r="E2436" t="s">
        <v>8</v>
      </c>
    </row>
    <row r="2437" spans="1:5" hidden="1" outlineLevel="2">
      <c r="A2437" s="3" t="e">
        <f>(HYPERLINK("http://www.autodoc.ru/Web/price/art/3552AGNGN?analog=on","3552AGNGN"))*1</f>
        <v>#VALUE!</v>
      </c>
      <c r="B2437" s="1">
        <v>6963784</v>
      </c>
      <c r="C2437" t="s">
        <v>901</v>
      </c>
      <c r="D2437" t="s">
        <v>2604</v>
      </c>
      <c r="E2437" t="s">
        <v>8</v>
      </c>
    </row>
    <row r="2438" spans="1:5" hidden="1" outlineLevel="2">
      <c r="A2438" s="3" t="e">
        <f>(HYPERLINK("http://www.autodoc.ru/Web/price/art/3552AGNH1B?analog=on","3552AGNH1B"))*1</f>
        <v>#VALUE!</v>
      </c>
      <c r="B2438" s="1">
        <v>6963306</v>
      </c>
      <c r="C2438" t="s">
        <v>2598</v>
      </c>
      <c r="D2438" t="s">
        <v>2605</v>
      </c>
      <c r="E2438" t="s">
        <v>8</v>
      </c>
    </row>
    <row r="2439" spans="1:5" hidden="1" outlineLevel="2">
      <c r="A2439" s="3" t="e">
        <f>(HYPERLINK("http://www.autodoc.ru/Web/price/art/3552ASMH?analog=on","3552ASMH"))*1</f>
        <v>#VALUE!</v>
      </c>
      <c r="B2439" s="1">
        <v>6100070</v>
      </c>
      <c r="C2439" t="s">
        <v>19</v>
      </c>
      <c r="D2439" t="s">
        <v>2606</v>
      </c>
      <c r="E2439" t="s">
        <v>21</v>
      </c>
    </row>
    <row r="2440" spans="1:5" hidden="1" outlineLevel="2">
      <c r="A2440" s="3" t="e">
        <f>(HYPERLINK("http://www.autodoc.ru/Web/price/art/3552BCLH?analog=on","3552BCLH"))*1</f>
        <v>#VALUE!</v>
      </c>
      <c r="B2440" s="1">
        <v>6998944</v>
      </c>
      <c r="C2440" t="s">
        <v>901</v>
      </c>
      <c r="D2440" t="s">
        <v>2607</v>
      </c>
      <c r="E2440" t="s">
        <v>23</v>
      </c>
    </row>
    <row r="2441" spans="1:5" hidden="1" outlineLevel="2">
      <c r="A2441" s="3" t="e">
        <f>(HYPERLINK("http://www.autodoc.ru/Web/price/art/3552BCLVLU?analog=on","3552BCLVLU"))*1</f>
        <v>#VALUE!</v>
      </c>
      <c r="B2441" s="1">
        <v>6900961</v>
      </c>
      <c r="C2441" t="s">
        <v>901</v>
      </c>
      <c r="D2441" t="s">
        <v>2608</v>
      </c>
      <c r="E2441" t="s">
        <v>23</v>
      </c>
    </row>
    <row r="2442" spans="1:5" hidden="1" outlineLevel="2">
      <c r="A2442" s="3" t="e">
        <f>(HYPERLINK("http://www.autodoc.ru/Web/price/art/3552BGNH?analog=on","3552BGNH"))*1</f>
        <v>#VALUE!</v>
      </c>
      <c r="B2442" s="1">
        <v>6998945</v>
      </c>
      <c r="C2442" t="s">
        <v>901</v>
      </c>
      <c r="D2442" t="s">
        <v>2609</v>
      </c>
      <c r="E2442" t="s">
        <v>23</v>
      </c>
    </row>
    <row r="2443" spans="1:5" hidden="1" outlineLevel="2">
      <c r="A2443" s="3" t="e">
        <f>(HYPERLINK("http://www.autodoc.ru/Web/price/art/3552BGNHB?analog=on","3552BGNHB"))*1</f>
        <v>#VALUE!</v>
      </c>
      <c r="B2443" s="1">
        <v>6980005</v>
      </c>
      <c r="C2443" t="s">
        <v>901</v>
      </c>
      <c r="D2443" t="s">
        <v>2610</v>
      </c>
      <c r="E2443" t="s">
        <v>23</v>
      </c>
    </row>
    <row r="2444" spans="1:5" hidden="1" outlineLevel="2">
      <c r="A2444" s="3" t="e">
        <f>(HYPERLINK("http://www.autodoc.ru/Web/price/art/3552BSRH?analog=on","3552BSRH"))*1</f>
        <v>#VALUE!</v>
      </c>
      <c r="B2444" s="1">
        <v>6101019</v>
      </c>
      <c r="C2444" t="s">
        <v>19</v>
      </c>
      <c r="D2444" t="s">
        <v>2611</v>
      </c>
      <c r="E2444" t="s">
        <v>21</v>
      </c>
    </row>
    <row r="2445" spans="1:5" hidden="1" outlineLevel="2">
      <c r="A2445" s="3" t="e">
        <f>(HYPERLINK("http://www.autodoc.ru/Web/price/art/3552LCLH3FD?analog=on","3552LCLH3FD"))*1</f>
        <v>#VALUE!</v>
      </c>
      <c r="B2445" s="1">
        <v>6190116</v>
      </c>
      <c r="C2445" t="s">
        <v>901</v>
      </c>
      <c r="D2445" t="s">
        <v>2612</v>
      </c>
      <c r="E2445" t="s">
        <v>10</v>
      </c>
    </row>
    <row r="2446" spans="1:5" hidden="1" outlineLevel="2">
      <c r="A2446" s="3" t="e">
        <f>(HYPERLINK("http://www.autodoc.ru/Web/price/art/3552LCLH5FD?analog=on","3552LCLH5FD"))*1</f>
        <v>#VALUE!</v>
      </c>
      <c r="B2446" s="1">
        <v>6190117</v>
      </c>
      <c r="C2446" t="s">
        <v>901</v>
      </c>
      <c r="D2446" t="s">
        <v>2613</v>
      </c>
      <c r="E2446" t="s">
        <v>10</v>
      </c>
    </row>
    <row r="2447" spans="1:5" hidden="1" outlineLevel="2">
      <c r="A2447" s="3" t="e">
        <f>(HYPERLINK("http://www.autodoc.ru/Web/price/art/3552LCLH5RD?analog=on","3552LCLH5RD"))*1</f>
        <v>#VALUE!</v>
      </c>
      <c r="B2447" s="1">
        <v>6190118</v>
      </c>
      <c r="C2447" t="s">
        <v>901</v>
      </c>
      <c r="D2447" t="s">
        <v>2614</v>
      </c>
      <c r="E2447" t="s">
        <v>10</v>
      </c>
    </row>
    <row r="2448" spans="1:5" hidden="1" outlineLevel="2">
      <c r="A2448" s="3" t="e">
        <f>(HYPERLINK("http://www.autodoc.ru/Web/price/art/3552LCLH5RV?analog=on","3552LCLH5RV"))*1</f>
        <v>#VALUE!</v>
      </c>
      <c r="B2448" s="1">
        <v>6190119</v>
      </c>
      <c r="C2448" t="s">
        <v>901</v>
      </c>
      <c r="D2448" t="s">
        <v>2615</v>
      </c>
      <c r="E2448" t="s">
        <v>10</v>
      </c>
    </row>
    <row r="2449" spans="1:5" hidden="1" outlineLevel="2">
      <c r="A2449" s="3" t="e">
        <f>(HYPERLINK("http://www.autodoc.ru/Web/price/art/3552LGNH3FD?analog=on","3552LGNH3FD"))*1</f>
        <v>#VALUE!</v>
      </c>
      <c r="B2449" s="1">
        <v>6190120</v>
      </c>
      <c r="C2449" t="s">
        <v>901</v>
      </c>
      <c r="D2449" t="s">
        <v>2616</v>
      </c>
      <c r="E2449" t="s">
        <v>10</v>
      </c>
    </row>
    <row r="2450" spans="1:5" hidden="1" outlineLevel="2">
      <c r="A2450" s="3" t="e">
        <f>(HYPERLINK("http://www.autodoc.ru/Web/price/art/3552LGNH3RQ?analog=on","3552LGNH3RQ"))*1</f>
        <v>#VALUE!</v>
      </c>
      <c r="B2450" s="1">
        <v>6995665</v>
      </c>
      <c r="C2450" t="s">
        <v>901</v>
      </c>
      <c r="D2450" t="s">
        <v>2617</v>
      </c>
      <c r="E2450" t="s">
        <v>10</v>
      </c>
    </row>
    <row r="2451" spans="1:5" hidden="1" outlineLevel="2">
      <c r="A2451" s="3" t="e">
        <f>(HYPERLINK("http://www.autodoc.ru/Web/price/art/3552LGNH3RQO?analog=on","3552LGNH3RQO"))*1</f>
        <v>#VALUE!</v>
      </c>
      <c r="B2451" s="1">
        <v>6994422</v>
      </c>
      <c r="C2451" t="s">
        <v>901</v>
      </c>
      <c r="D2451" t="s">
        <v>2618</v>
      </c>
      <c r="E2451" t="s">
        <v>10</v>
      </c>
    </row>
    <row r="2452" spans="1:5" hidden="1" outlineLevel="2">
      <c r="A2452" s="3" t="e">
        <f>(HYPERLINK("http://www.autodoc.ru/Web/price/art/3552LGNH5FD?analog=on","3552LGNH5FD"))*1</f>
        <v>#VALUE!</v>
      </c>
      <c r="B2452" s="1">
        <v>6190121</v>
      </c>
      <c r="C2452" t="s">
        <v>901</v>
      </c>
      <c r="D2452" t="s">
        <v>2619</v>
      </c>
      <c r="E2452" t="s">
        <v>10</v>
      </c>
    </row>
    <row r="2453" spans="1:5" hidden="1" outlineLevel="2">
      <c r="A2453" s="3" t="e">
        <f>(HYPERLINK("http://www.autodoc.ru/Web/price/art/3552LGNH5RD?analog=on","3552LGNH5RD"))*1</f>
        <v>#VALUE!</v>
      </c>
      <c r="B2453" s="1">
        <v>6190122</v>
      </c>
      <c r="C2453" t="s">
        <v>901</v>
      </c>
      <c r="D2453" t="s">
        <v>2620</v>
      </c>
      <c r="E2453" t="s">
        <v>10</v>
      </c>
    </row>
    <row r="2454" spans="1:5" hidden="1" outlineLevel="2">
      <c r="A2454" s="3" t="e">
        <f>(HYPERLINK("http://www.autodoc.ru/Web/price/art/3552LGNH5RV?analog=on","3552LGNH5RV"))*1</f>
        <v>#VALUE!</v>
      </c>
      <c r="B2454" s="1">
        <v>6190123</v>
      </c>
      <c r="C2454" t="s">
        <v>901</v>
      </c>
      <c r="D2454" t="s">
        <v>2621</v>
      </c>
      <c r="E2454" t="s">
        <v>10</v>
      </c>
    </row>
    <row r="2455" spans="1:5" hidden="1" outlineLevel="2">
      <c r="A2455" s="3" t="e">
        <f>(HYPERLINK("http://www.autodoc.ru/Web/price/art/3552RCLH3FD?analog=on","3552RCLH3FD"))*1</f>
        <v>#VALUE!</v>
      </c>
      <c r="B2455" s="1">
        <v>6190124</v>
      </c>
      <c r="C2455" t="s">
        <v>901</v>
      </c>
      <c r="D2455" t="s">
        <v>2622</v>
      </c>
      <c r="E2455" t="s">
        <v>10</v>
      </c>
    </row>
    <row r="2456" spans="1:5" hidden="1" outlineLevel="2">
      <c r="A2456" s="3" t="e">
        <f>(HYPERLINK("http://www.autodoc.ru/Web/price/art/3552RCLH3RQ?analog=on","3552RCLH3RQ"))*1</f>
        <v>#VALUE!</v>
      </c>
      <c r="B2456" s="1">
        <v>6994421</v>
      </c>
      <c r="C2456" t="s">
        <v>901</v>
      </c>
      <c r="D2456" t="s">
        <v>2623</v>
      </c>
      <c r="E2456" t="s">
        <v>10</v>
      </c>
    </row>
    <row r="2457" spans="1:5" hidden="1" outlineLevel="2">
      <c r="A2457" s="3" t="e">
        <f>(HYPERLINK("http://www.autodoc.ru/Web/price/art/3552RCLH5FD?analog=on","3552RCLH5FD"))*1</f>
        <v>#VALUE!</v>
      </c>
      <c r="B2457" s="1">
        <v>6190125</v>
      </c>
      <c r="C2457" t="s">
        <v>901</v>
      </c>
      <c r="D2457" t="s">
        <v>2624</v>
      </c>
      <c r="E2457" t="s">
        <v>10</v>
      </c>
    </row>
    <row r="2458" spans="1:5" hidden="1" outlineLevel="2">
      <c r="A2458" s="3" t="e">
        <f>(HYPERLINK("http://www.autodoc.ru/Web/price/art/3552RCLH5RD?analog=on","3552RCLH5RD"))*1</f>
        <v>#VALUE!</v>
      </c>
      <c r="B2458" s="1">
        <v>6190126</v>
      </c>
      <c r="C2458" t="s">
        <v>901</v>
      </c>
      <c r="D2458" t="s">
        <v>2625</v>
      </c>
      <c r="E2458" t="s">
        <v>10</v>
      </c>
    </row>
    <row r="2459" spans="1:5" hidden="1" outlineLevel="2">
      <c r="A2459" s="3" t="e">
        <f>(HYPERLINK("http://www.autodoc.ru/Web/price/art/3552RCLH5RV?analog=on","3552RCLH5RV"))*1</f>
        <v>#VALUE!</v>
      </c>
      <c r="B2459" s="1">
        <v>6190127</v>
      </c>
      <c r="C2459" t="s">
        <v>901</v>
      </c>
      <c r="D2459" t="s">
        <v>2626</v>
      </c>
      <c r="E2459" t="s">
        <v>10</v>
      </c>
    </row>
    <row r="2460" spans="1:5" hidden="1" outlineLevel="2">
      <c r="A2460" s="3" t="e">
        <f>(HYPERLINK("http://www.autodoc.ru/Web/price/art/3552RGNH3FD?analog=on","3552RGNH3FD"))*1</f>
        <v>#VALUE!</v>
      </c>
      <c r="B2460" s="1">
        <v>6190128</v>
      </c>
      <c r="C2460" t="s">
        <v>901</v>
      </c>
      <c r="D2460" t="s">
        <v>2627</v>
      </c>
      <c r="E2460" t="s">
        <v>10</v>
      </c>
    </row>
    <row r="2461" spans="1:5" hidden="1" outlineLevel="2">
      <c r="A2461" s="3" t="e">
        <f>(HYPERLINK("http://www.autodoc.ru/Web/price/art/3552RGNH3RQ?analog=on","3552RGNH3RQ"))*1</f>
        <v>#VALUE!</v>
      </c>
      <c r="B2461" s="1">
        <v>6995666</v>
      </c>
      <c r="C2461" t="s">
        <v>901</v>
      </c>
      <c r="D2461" t="s">
        <v>2628</v>
      </c>
      <c r="E2461" t="s">
        <v>10</v>
      </c>
    </row>
    <row r="2462" spans="1:5" hidden="1" outlineLevel="2">
      <c r="A2462" s="3" t="e">
        <f>(HYPERLINK("http://www.autodoc.ru/Web/price/art/3552RGNH5FD?analog=on","3552RGNH5FD"))*1</f>
        <v>#VALUE!</v>
      </c>
      <c r="B2462" s="1">
        <v>6190129</v>
      </c>
      <c r="C2462" t="s">
        <v>901</v>
      </c>
      <c r="D2462" t="s">
        <v>2629</v>
      </c>
      <c r="E2462" t="s">
        <v>10</v>
      </c>
    </row>
    <row r="2463" spans="1:5" hidden="1" outlineLevel="2">
      <c r="A2463" s="3" t="e">
        <f>(HYPERLINK("http://www.autodoc.ru/Web/price/art/3552RGNH5RD?analog=on","3552RGNH5RD"))*1</f>
        <v>#VALUE!</v>
      </c>
      <c r="B2463" s="1">
        <v>6190130</v>
      </c>
      <c r="C2463" t="s">
        <v>901</v>
      </c>
      <c r="D2463" t="s">
        <v>2630</v>
      </c>
      <c r="E2463" t="s">
        <v>10</v>
      </c>
    </row>
    <row r="2464" spans="1:5" hidden="1" outlineLevel="2">
      <c r="A2464" s="3" t="e">
        <f>(HYPERLINK("http://www.autodoc.ru/Web/price/art/3552RGNH5RV?analog=on","3552RGNH5RV"))*1</f>
        <v>#VALUE!</v>
      </c>
      <c r="B2464" s="1">
        <v>6190131</v>
      </c>
      <c r="C2464" t="s">
        <v>901</v>
      </c>
      <c r="D2464" t="s">
        <v>2631</v>
      </c>
      <c r="E2464" t="s">
        <v>10</v>
      </c>
    </row>
    <row r="2465" spans="1:5" hidden="1" outlineLevel="1">
      <c r="A2465" s="2">
        <v>0</v>
      </c>
      <c r="B2465" s="26" t="s">
        <v>2632</v>
      </c>
      <c r="C2465" s="27">
        <v>0</v>
      </c>
      <c r="D2465" s="27">
        <v>0</v>
      </c>
      <c r="E2465" s="27">
        <v>0</v>
      </c>
    </row>
    <row r="2466" spans="1:5" hidden="1" outlineLevel="2">
      <c r="A2466" s="3" t="e">
        <f>(HYPERLINK("http://www.autodoc.ru/Web/price/art/3562AGSHVW?analog=on","3562AGSHVW"))*1</f>
        <v>#VALUE!</v>
      </c>
      <c r="B2466" s="1">
        <v>6961760</v>
      </c>
      <c r="C2466" t="s">
        <v>2633</v>
      </c>
      <c r="D2466" t="s">
        <v>2634</v>
      </c>
      <c r="E2466" t="s">
        <v>8</v>
      </c>
    </row>
    <row r="2467" spans="1:5" hidden="1" outlineLevel="2">
      <c r="A2467" s="3" t="e">
        <f>(HYPERLINK("http://www.autodoc.ru/Web/price/art/3562AGSVW?analog=on","3562AGSVW"))*1</f>
        <v>#VALUE!</v>
      </c>
      <c r="B2467" s="1">
        <v>6960969</v>
      </c>
      <c r="C2467" t="s">
        <v>2633</v>
      </c>
      <c r="D2467" t="s">
        <v>2635</v>
      </c>
      <c r="E2467" t="s">
        <v>8</v>
      </c>
    </row>
    <row r="2468" spans="1:5" hidden="1" outlineLevel="2">
      <c r="A2468" s="3" t="e">
        <f>(HYPERLINK("http://www.autodoc.ru/Web/price/art/3562ASMH?analog=on","3562ASMH"))*1</f>
        <v>#VALUE!</v>
      </c>
      <c r="B2468" s="1">
        <v>6102098</v>
      </c>
      <c r="C2468" t="s">
        <v>19</v>
      </c>
      <c r="D2468" t="s">
        <v>2636</v>
      </c>
      <c r="E2468" t="s">
        <v>21</v>
      </c>
    </row>
    <row r="2469" spans="1:5" hidden="1" outlineLevel="2">
      <c r="A2469" s="3" t="e">
        <f>(HYPERLINK("http://www.autodoc.ru/Web/price/art/3562BGSHI?analog=on","3562BGSHI"))*1</f>
        <v>#VALUE!</v>
      </c>
      <c r="B2469" s="1">
        <v>6992704</v>
      </c>
      <c r="C2469" t="s">
        <v>2633</v>
      </c>
      <c r="D2469" t="s">
        <v>2637</v>
      </c>
      <c r="E2469" t="s">
        <v>23</v>
      </c>
    </row>
    <row r="2470" spans="1:5" hidden="1" outlineLevel="2">
      <c r="A2470" s="3" t="e">
        <f>(HYPERLINK("http://www.autodoc.ru/Web/price/art/3562BGSHI1J?analog=on","3562BGSHI1J"))*1</f>
        <v>#VALUE!</v>
      </c>
      <c r="B2470" s="1">
        <v>6992717</v>
      </c>
      <c r="C2470" t="s">
        <v>2633</v>
      </c>
      <c r="D2470" t="s">
        <v>2638</v>
      </c>
      <c r="E2470" t="s">
        <v>23</v>
      </c>
    </row>
    <row r="2471" spans="1:5" hidden="1" outlineLevel="2">
      <c r="A2471" s="3" t="e">
        <f>(HYPERLINK("http://www.autodoc.ru/Web/price/art/3562LGSH3FD?analog=on","3562LGSH3FD"))*1</f>
        <v>#VALUE!</v>
      </c>
      <c r="B2471" s="1">
        <v>6993724</v>
      </c>
      <c r="C2471" t="s">
        <v>2633</v>
      </c>
      <c r="D2471" t="s">
        <v>2639</v>
      </c>
      <c r="E2471" t="s">
        <v>10</v>
      </c>
    </row>
    <row r="2472" spans="1:5" hidden="1" outlineLevel="2">
      <c r="A2472" s="3" t="e">
        <f>(HYPERLINK("http://www.autodoc.ru/Web/price/art/3562LGSH5FDW1M?analog=on","3562LGSH5FDW1M"))*1</f>
        <v>#VALUE!</v>
      </c>
      <c r="B2472" s="1">
        <v>6993061</v>
      </c>
      <c r="C2472" t="s">
        <v>2633</v>
      </c>
      <c r="D2472" t="s">
        <v>2640</v>
      </c>
      <c r="E2472" t="s">
        <v>10</v>
      </c>
    </row>
    <row r="2473" spans="1:5" hidden="1" outlineLevel="2">
      <c r="A2473" s="3" t="e">
        <f>(HYPERLINK("http://www.autodoc.ru/Web/price/art/3562LGSH5RD?analog=on","3562LGSH5RD"))*1</f>
        <v>#VALUE!</v>
      </c>
      <c r="B2473" s="1">
        <v>6993725</v>
      </c>
      <c r="C2473" t="s">
        <v>2633</v>
      </c>
      <c r="D2473" t="s">
        <v>2641</v>
      </c>
      <c r="E2473" t="s">
        <v>10</v>
      </c>
    </row>
    <row r="2474" spans="1:5" hidden="1" outlineLevel="2">
      <c r="A2474" s="3" t="e">
        <f>(HYPERLINK("http://www.autodoc.ru/Web/price/art/3562LGSH5RQW?analog=on","3562LGSH5RQW"))*1</f>
        <v>#VALUE!</v>
      </c>
      <c r="B2474" s="1">
        <v>6993726</v>
      </c>
      <c r="C2474" t="s">
        <v>2633</v>
      </c>
      <c r="D2474" t="s">
        <v>2642</v>
      </c>
      <c r="E2474" t="s">
        <v>10</v>
      </c>
    </row>
    <row r="2475" spans="1:5" hidden="1" outlineLevel="2">
      <c r="A2475" s="3" t="e">
        <f>(HYPERLINK("http://www.autodoc.ru/Web/price/art/3562RGSH3FD?analog=on","3562RGSH3FD"))*1</f>
        <v>#VALUE!</v>
      </c>
      <c r="B2475" s="1">
        <v>6993727</v>
      </c>
      <c r="C2475" t="s">
        <v>2633</v>
      </c>
      <c r="D2475" t="s">
        <v>2643</v>
      </c>
      <c r="E2475" t="s">
        <v>10</v>
      </c>
    </row>
    <row r="2476" spans="1:5" hidden="1" outlineLevel="2">
      <c r="A2476" s="3" t="e">
        <f>(HYPERLINK("http://www.autodoc.ru/Web/price/art/3562RGSH3RQW?analog=on","3562RGSH3RQW"))*1</f>
        <v>#VALUE!</v>
      </c>
      <c r="B2476" s="1">
        <v>6996400</v>
      </c>
      <c r="C2476" t="s">
        <v>2633</v>
      </c>
      <c r="D2476" t="s">
        <v>2644</v>
      </c>
      <c r="E2476" t="s">
        <v>10</v>
      </c>
    </row>
    <row r="2477" spans="1:5" hidden="1" outlineLevel="2">
      <c r="A2477" s="3" t="e">
        <f>(HYPERLINK("http://www.autodoc.ru/Web/price/art/3562RGSH5FDW1M?analog=on","3562RGSH5FDW1M"))*1</f>
        <v>#VALUE!</v>
      </c>
      <c r="B2477" s="1">
        <v>6993063</v>
      </c>
      <c r="C2477" t="s">
        <v>2633</v>
      </c>
      <c r="D2477" t="s">
        <v>2645</v>
      </c>
      <c r="E2477" t="s">
        <v>10</v>
      </c>
    </row>
    <row r="2478" spans="1:5" hidden="1" outlineLevel="2">
      <c r="A2478" s="3" t="e">
        <f>(HYPERLINK("http://www.autodoc.ru/Web/price/art/3562RGSH5RD?analog=on","3562RGSH5RD"))*1</f>
        <v>#VALUE!</v>
      </c>
      <c r="B2478" s="1">
        <v>6993728</v>
      </c>
      <c r="C2478" t="s">
        <v>2633</v>
      </c>
      <c r="D2478" t="s">
        <v>2646</v>
      </c>
      <c r="E2478" t="s">
        <v>10</v>
      </c>
    </row>
    <row r="2479" spans="1:5" hidden="1" outlineLevel="1">
      <c r="A2479" s="2">
        <v>0</v>
      </c>
      <c r="B2479" s="26" t="s">
        <v>2647</v>
      </c>
      <c r="C2479" s="27">
        <v>0</v>
      </c>
      <c r="D2479" s="27">
        <v>0</v>
      </c>
      <c r="E2479" s="27">
        <v>0</v>
      </c>
    </row>
    <row r="2480" spans="1:5" hidden="1" outlineLevel="2">
      <c r="A2480" s="3" t="e">
        <f>(HYPERLINK("http://www.autodoc.ru/Web/price/art/3572AGSVW?analog=on","3572AGSVW"))*1</f>
        <v>#VALUE!</v>
      </c>
      <c r="B2480" s="1">
        <v>6963056</v>
      </c>
      <c r="C2480" t="s">
        <v>366</v>
      </c>
      <c r="D2480" t="s">
        <v>2648</v>
      </c>
      <c r="E2480" t="s">
        <v>8</v>
      </c>
    </row>
    <row r="2481" spans="1:5" hidden="1" outlineLevel="2">
      <c r="A2481" s="3" t="e">
        <f>(HYPERLINK("http://www.autodoc.ru/Web/price/art/3572AGSMVW1P?analog=on","3572AGSMVW1P"))*1</f>
        <v>#VALUE!</v>
      </c>
      <c r="B2481" s="1">
        <v>6963055</v>
      </c>
      <c r="C2481" t="s">
        <v>366</v>
      </c>
      <c r="D2481" t="s">
        <v>2649</v>
      </c>
      <c r="E2481" t="s">
        <v>8</v>
      </c>
    </row>
    <row r="2482" spans="1:5" hidden="1" outlineLevel="2">
      <c r="A2482" s="3" t="e">
        <f>(HYPERLINK("http://www.autodoc.ru/Web/price/art/3572LGSH5FD1M?analog=on","3572LGSH5FD1M"))*1</f>
        <v>#VALUE!</v>
      </c>
      <c r="B2482" s="1">
        <v>6996427</v>
      </c>
      <c r="C2482" t="s">
        <v>366</v>
      </c>
      <c r="D2482" t="s">
        <v>2650</v>
      </c>
      <c r="E2482" t="s">
        <v>10</v>
      </c>
    </row>
    <row r="2483" spans="1:5" hidden="1" outlineLevel="2">
      <c r="A2483" s="3" t="e">
        <f>(HYPERLINK("http://www.autodoc.ru/Web/price/art/3572LGSH5RD?analog=on","3572LGSH5RD"))*1</f>
        <v>#VALUE!</v>
      </c>
      <c r="B2483" s="1">
        <v>6996422</v>
      </c>
      <c r="C2483" t="s">
        <v>366</v>
      </c>
      <c r="D2483" t="s">
        <v>2651</v>
      </c>
      <c r="E2483" t="s">
        <v>10</v>
      </c>
    </row>
    <row r="2484" spans="1:5" hidden="1" outlineLevel="2">
      <c r="A2484" s="3" t="e">
        <f>(HYPERLINK("http://www.autodoc.ru/Web/price/art/3572LGSH3FD1M?analog=on","3572LGSH3FD1M"))*1</f>
        <v>#VALUE!</v>
      </c>
      <c r="B2484" s="1">
        <v>6996429</v>
      </c>
      <c r="C2484" t="s">
        <v>366</v>
      </c>
      <c r="D2484" t="s">
        <v>2652</v>
      </c>
      <c r="E2484" t="s">
        <v>10</v>
      </c>
    </row>
    <row r="2485" spans="1:5" hidden="1" outlineLevel="2">
      <c r="A2485" s="3" t="e">
        <f>(HYPERLINK("http://www.autodoc.ru/Web/price/art/3572LYPH5RD?analog=on","3572LYPH5RD"))*1</f>
        <v>#VALUE!</v>
      </c>
      <c r="B2485" s="1">
        <v>6996425</v>
      </c>
      <c r="C2485" t="s">
        <v>366</v>
      </c>
      <c r="D2485" t="s">
        <v>2653</v>
      </c>
      <c r="E2485" t="s">
        <v>10</v>
      </c>
    </row>
    <row r="2486" spans="1:5" hidden="1" outlineLevel="2">
      <c r="A2486" s="3" t="e">
        <f>(HYPERLINK("http://www.autodoc.ru/Web/price/art/3572RGSH5FD1M?analog=on","3572RGSH5FD1M"))*1</f>
        <v>#VALUE!</v>
      </c>
      <c r="B2486" s="1">
        <v>6996426</v>
      </c>
      <c r="C2486" t="s">
        <v>366</v>
      </c>
      <c r="D2486" t="s">
        <v>2654</v>
      </c>
      <c r="E2486" t="s">
        <v>10</v>
      </c>
    </row>
    <row r="2487" spans="1:5" hidden="1" outlineLevel="2">
      <c r="A2487" s="3" t="e">
        <f>(HYPERLINK("http://www.autodoc.ru/Web/price/art/3572RGSH3FD1M?analog=on","3572RGSH3FD1M"))*1</f>
        <v>#VALUE!</v>
      </c>
      <c r="B2487" s="1">
        <v>6996428</v>
      </c>
      <c r="C2487" t="s">
        <v>366</v>
      </c>
      <c r="D2487" t="s">
        <v>2655</v>
      </c>
      <c r="E2487" t="s">
        <v>10</v>
      </c>
    </row>
    <row r="2488" spans="1:5" hidden="1" outlineLevel="2">
      <c r="A2488" s="3" t="e">
        <f>(HYPERLINK("http://www.autodoc.ru/Web/price/art/3572RGSH5RD?analog=on","3572RGSH5RD"))*1</f>
        <v>#VALUE!</v>
      </c>
      <c r="B2488" s="1">
        <v>6996423</v>
      </c>
      <c r="C2488" t="s">
        <v>366</v>
      </c>
      <c r="D2488" t="s">
        <v>2656</v>
      </c>
      <c r="E2488" t="s">
        <v>10</v>
      </c>
    </row>
    <row r="2489" spans="1:5" hidden="1" outlineLevel="2">
      <c r="A2489" s="3" t="e">
        <f>(HYPERLINK("http://www.autodoc.ru/Web/price/art/3572RYPH5RD?analog=on","3572RYPH5RD"))*1</f>
        <v>#VALUE!</v>
      </c>
      <c r="B2489" s="1">
        <v>6996424</v>
      </c>
      <c r="C2489" t="s">
        <v>366</v>
      </c>
      <c r="D2489" t="s">
        <v>2657</v>
      </c>
      <c r="E2489" t="s">
        <v>10</v>
      </c>
    </row>
    <row r="2490" spans="1:5" hidden="1" outlineLevel="1">
      <c r="A2490" s="2">
        <v>0</v>
      </c>
      <c r="B2490" s="26" t="s">
        <v>2658</v>
      </c>
      <c r="C2490" s="27">
        <v>0</v>
      </c>
      <c r="D2490" s="27">
        <v>0</v>
      </c>
      <c r="E2490" s="27">
        <v>0</v>
      </c>
    </row>
    <row r="2491" spans="1:5" hidden="1" outlineLevel="2">
      <c r="A2491" s="3" t="e">
        <f>(HYPERLINK("http://www.autodoc.ru/Web/price/art/3556AGSBLVW?analog=on","3556AGSBLVW"))*1</f>
        <v>#VALUE!</v>
      </c>
      <c r="B2491" s="1">
        <v>6961036</v>
      </c>
      <c r="C2491" t="s">
        <v>319</v>
      </c>
      <c r="D2491" t="s">
        <v>2659</v>
      </c>
      <c r="E2491" t="s">
        <v>8</v>
      </c>
    </row>
    <row r="2492" spans="1:5" hidden="1" outlineLevel="2">
      <c r="A2492" s="3" t="e">
        <f>(HYPERLINK("http://www.autodoc.ru/Web/price/art/3556AGSGNVW?analog=on","3556AGSGNVW"))*1</f>
        <v>#VALUE!</v>
      </c>
      <c r="B2492" s="1">
        <v>6961037</v>
      </c>
      <c r="C2492" t="s">
        <v>319</v>
      </c>
      <c r="D2492" t="s">
        <v>2660</v>
      </c>
      <c r="E2492" t="s">
        <v>8</v>
      </c>
    </row>
    <row r="2493" spans="1:5" hidden="1" outlineLevel="2">
      <c r="A2493" s="3" t="e">
        <f>(HYPERLINK("http://www.autodoc.ru/Web/price/art/3556AGSHVW?analog=on","3556AGSHVW"))*1</f>
        <v>#VALUE!</v>
      </c>
      <c r="B2493" s="1">
        <v>6960727</v>
      </c>
      <c r="C2493" t="s">
        <v>319</v>
      </c>
      <c r="D2493" t="s">
        <v>2661</v>
      </c>
      <c r="E2493" t="s">
        <v>8</v>
      </c>
    </row>
    <row r="2494" spans="1:5" hidden="1" outlineLevel="2">
      <c r="A2494" s="3" t="e">
        <f>(HYPERLINK("http://www.autodoc.ru/Web/price/art/3556AGSHVW1E?analog=on","3556AGSHVW1E"))*1</f>
        <v>#VALUE!</v>
      </c>
      <c r="B2494" s="1">
        <v>6960734</v>
      </c>
      <c r="C2494" t="s">
        <v>2662</v>
      </c>
      <c r="D2494" t="s">
        <v>2663</v>
      </c>
      <c r="E2494" t="s">
        <v>8</v>
      </c>
    </row>
    <row r="2495" spans="1:5" hidden="1" outlineLevel="2">
      <c r="A2495" s="3" t="e">
        <f>(HYPERLINK("http://www.autodoc.ru/Web/price/art/3556AGSVW?analog=on","3556AGSVW"))*1</f>
        <v>#VALUE!</v>
      </c>
      <c r="B2495" s="1">
        <v>6963310</v>
      </c>
      <c r="C2495" t="s">
        <v>319</v>
      </c>
      <c r="D2495" t="s">
        <v>2664</v>
      </c>
      <c r="E2495" t="s">
        <v>8</v>
      </c>
    </row>
    <row r="2496" spans="1:5" hidden="1" outlineLevel="2">
      <c r="A2496" s="3" t="e">
        <f>(HYPERLINK("http://www.autodoc.ru/Web/price/art/3556AGSV?analog=on","3556AGSV"))*1</f>
        <v>#VALUE!</v>
      </c>
      <c r="B2496" s="1">
        <v>6961164</v>
      </c>
      <c r="C2496" t="s">
        <v>319</v>
      </c>
      <c r="D2496" t="s">
        <v>2665</v>
      </c>
      <c r="E2496" t="s">
        <v>8</v>
      </c>
    </row>
    <row r="2497" spans="1:5" hidden="1" outlineLevel="2">
      <c r="A2497" s="3" t="e">
        <f>(HYPERLINK("http://www.autodoc.ru/Web/price/art/3556ASMH?analog=on","3556ASMH"))*1</f>
        <v>#VALUE!</v>
      </c>
      <c r="B2497" s="1">
        <v>6100256</v>
      </c>
      <c r="C2497" t="s">
        <v>19</v>
      </c>
      <c r="D2497" t="s">
        <v>2666</v>
      </c>
      <c r="E2497" t="s">
        <v>21</v>
      </c>
    </row>
    <row r="2498" spans="1:5" hidden="1" outlineLevel="2">
      <c r="A2498" s="3" t="e">
        <f>(HYPERLINK("http://www.autodoc.ru/Web/price/art/3556BGSEB?analog=on","3556BGSEB"))*1</f>
        <v>#VALUE!</v>
      </c>
      <c r="B2498" s="1">
        <v>6998893</v>
      </c>
      <c r="C2498" t="s">
        <v>319</v>
      </c>
      <c r="D2498" t="s">
        <v>2667</v>
      </c>
      <c r="E2498" t="s">
        <v>23</v>
      </c>
    </row>
    <row r="2499" spans="1:5" hidden="1" outlineLevel="2">
      <c r="A2499" s="3" t="e">
        <f>(HYPERLINK("http://www.autodoc.ru/Web/price/art/3556BGSH?analog=on","3556BGSH"))*1</f>
        <v>#VALUE!</v>
      </c>
      <c r="B2499" s="1">
        <v>6998894</v>
      </c>
      <c r="C2499" t="s">
        <v>319</v>
      </c>
      <c r="D2499" t="s">
        <v>2668</v>
      </c>
      <c r="E2499" t="s">
        <v>23</v>
      </c>
    </row>
    <row r="2500" spans="1:5" hidden="1" outlineLevel="2">
      <c r="A2500" s="3" t="e">
        <f>(HYPERLINK("http://www.autodoc.ru/Web/price/art/3556BGSS?analog=on","3556BGSS"))*1</f>
        <v>#VALUE!</v>
      </c>
      <c r="B2500" s="1">
        <v>6998895</v>
      </c>
      <c r="C2500" t="s">
        <v>319</v>
      </c>
      <c r="D2500" t="s">
        <v>2669</v>
      </c>
      <c r="E2500" t="s">
        <v>23</v>
      </c>
    </row>
    <row r="2501" spans="1:5" hidden="1" outlineLevel="2">
      <c r="A2501" s="3" t="e">
        <f>(HYPERLINK("http://www.autodoc.ru/Web/price/art/3556LGSE5RDW?analog=on","3556LGSE5RDW"))*1</f>
        <v>#VALUE!</v>
      </c>
      <c r="B2501" s="1">
        <v>6995540</v>
      </c>
      <c r="C2501" t="s">
        <v>319</v>
      </c>
      <c r="D2501" t="s">
        <v>2670</v>
      </c>
      <c r="E2501" t="s">
        <v>10</v>
      </c>
    </row>
    <row r="2502" spans="1:5" hidden="1" outlineLevel="2">
      <c r="A2502" s="3" t="e">
        <f>(HYPERLINK("http://www.autodoc.ru/Web/price/art/3556LGSE5RQ?analog=on","3556LGSE5RQ"))*1</f>
        <v>#VALUE!</v>
      </c>
      <c r="B2502" s="1">
        <v>6995541</v>
      </c>
      <c r="C2502" t="s">
        <v>319</v>
      </c>
      <c r="D2502" t="s">
        <v>2671</v>
      </c>
      <c r="E2502" t="s">
        <v>10</v>
      </c>
    </row>
    <row r="2503" spans="1:5" hidden="1" outlineLevel="2">
      <c r="A2503" s="3" t="e">
        <f>(HYPERLINK("http://www.autodoc.ru/Web/price/art/3556LGSH3FD?analog=on","3556LGSH3FD"))*1</f>
        <v>#VALUE!</v>
      </c>
      <c r="B2503" s="1">
        <v>6994297</v>
      </c>
      <c r="C2503" t="s">
        <v>319</v>
      </c>
      <c r="D2503" t="s">
        <v>2672</v>
      </c>
      <c r="E2503" t="s">
        <v>10</v>
      </c>
    </row>
    <row r="2504" spans="1:5" hidden="1" outlineLevel="2">
      <c r="A2504" s="3" t="e">
        <f>(HYPERLINK("http://www.autodoc.ru/Web/price/art/3556LGSH3RQ?analog=on","3556LGSH3RQ"))*1</f>
        <v>#VALUE!</v>
      </c>
      <c r="B2504" s="1">
        <v>6994299</v>
      </c>
      <c r="C2504" t="s">
        <v>319</v>
      </c>
      <c r="D2504" t="s">
        <v>2673</v>
      </c>
      <c r="E2504" t="s">
        <v>10</v>
      </c>
    </row>
    <row r="2505" spans="1:5" hidden="1" outlineLevel="2">
      <c r="A2505" s="3" t="e">
        <f>(HYPERLINK("http://www.autodoc.ru/Web/price/art/3556LGSH5FD?analog=on","3556LGSH5FD"))*1</f>
        <v>#VALUE!</v>
      </c>
      <c r="B2505" s="1">
        <v>6995542</v>
      </c>
      <c r="C2505" t="s">
        <v>319</v>
      </c>
      <c r="D2505" t="s">
        <v>2674</v>
      </c>
      <c r="E2505" t="s">
        <v>10</v>
      </c>
    </row>
    <row r="2506" spans="1:5" hidden="1" outlineLevel="2">
      <c r="A2506" s="3" t="e">
        <f>(HYPERLINK("http://www.autodoc.ru/Web/price/art/3556LGSH5RDW?analog=on","3556LGSH5RDW"))*1</f>
        <v>#VALUE!</v>
      </c>
      <c r="B2506" s="1">
        <v>6995543</v>
      </c>
      <c r="C2506" t="s">
        <v>319</v>
      </c>
      <c r="D2506" t="s">
        <v>2675</v>
      </c>
      <c r="E2506" t="s">
        <v>10</v>
      </c>
    </row>
    <row r="2507" spans="1:5" hidden="1" outlineLevel="2">
      <c r="A2507" s="3" t="e">
        <f>(HYPERLINK("http://www.autodoc.ru/Web/price/art/3556LGSH5RQ?analog=on","3556LGSH5RQ"))*1</f>
        <v>#VALUE!</v>
      </c>
      <c r="B2507" s="1">
        <v>6995544</v>
      </c>
      <c r="C2507" t="s">
        <v>319</v>
      </c>
      <c r="D2507" t="s">
        <v>2676</v>
      </c>
      <c r="E2507" t="s">
        <v>10</v>
      </c>
    </row>
    <row r="2508" spans="1:5" hidden="1" outlineLevel="2">
      <c r="A2508" s="3" t="e">
        <f>(HYPERLINK("http://www.autodoc.ru/Web/price/art/3556LGSS4RQ?analog=on","3556LGSS4RQ"))*1</f>
        <v>#VALUE!</v>
      </c>
      <c r="B2508" s="1">
        <v>6995545</v>
      </c>
      <c r="C2508" t="s">
        <v>319</v>
      </c>
      <c r="D2508" t="s">
        <v>2677</v>
      </c>
      <c r="E2508" t="s">
        <v>10</v>
      </c>
    </row>
    <row r="2509" spans="1:5" hidden="1" outlineLevel="2">
      <c r="A2509" s="3" t="e">
        <f>(HYPERLINK("http://www.autodoc.ru/Web/price/art/3556RGSE5RDW?analog=on","3556RGSE5RDW"))*1</f>
        <v>#VALUE!</v>
      </c>
      <c r="B2509" s="1">
        <v>6995546</v>
      </c>
      <c r="C2509" t="s">
        <v>319</v>
      </c>
      <c r="D2509" t="s">
        <v>2678</v>
      </c>
      <c r="E2509" t="s">
        <v>10</v>
      </c>
    </row>
    <row r="2510" spans="1:5" hidden="1" outlineLevel="2">
      <c r="A2510" s="3" t="e">
        <f>(HYPERLINK("http://www.autodoc.ru/Web/price/art/3556RGSE5RQ?analog=on","3556RGSE5RQ"))*1</f>
        <v>#VALUE!</v>
      </c>
      <c r="B2510" s="1">
        <v>6995547</v>
      </c>
      <c r="C2510" t="s">
        <v>319</v>
      </c>
      <c r="D2510" t="s">
        <v>2679</v>
      </c>
      <c r="E2510" t="s">
        <v>10</v>
      </c>
    </row>
    <row r="2511" spans="1:5" hidden="1" outlineLevel="2">
      <c r="A2511" s="3" t="e">
        <f>(HYPERLINK("http://www.autodoc.ru/Web/price/art/3556RGSH3FD?analog=on","3556RGSH3FD"))*1</f>
        <v>#VALUE!</v>
      </c>
      <c r="B2511" s="1">
        <v>6994298</v>
      </c>
      <c r="C2511" t="s">
        <v>319</v>
      </c>
      <c r="D2511" t="s">
        <v>2680</v>
      </c>
      <c r="E2511" t="s">
        <v>10</v>
      </c>
    </row>
    <row r="2512" spans="1:5" hidden="1" outlineLevel="2">
      <c r="A2512" s="3" t="e">
        <f>(HYPERLINK("http://www.autodoc.ru/Web/price/art/3556RGSH3RQ?analog=on","3556RGSH3RQ"))*1</f>
        <v>#VALUE!</v>
      </c>
      <c r="B2512" s="1">
        <v>6994300</v>
      </c>
      <c r="C2512" t="s">
        <v>319</v>
      </c>
      <c r="D2512" t="s">
        <v>2681</v>
      </c>
      <c r="E2512" t="s">
        <v>10</v>
      </c>
    </row>
    <row r="2513" spans="1:5" hidden="1" outlineLevel="2">
      <c r="A2513" s="3" t="e">
        <f>(HYPERLINK("http://www.autodoc.ru/Web/price/art/3556RGSH5FD?analog=on","3556RGSH5FD"))*1</f>
        <v>#VALUE!</v>
      </c>
      <c r="B2513" s="1">
        <v>6995548</v>
      </c>
      <c r="C2513" t="s">
        <v>319</v>
      </c>
      <c r="D2513" t="s">
        <v>2682</v>
      </c>
      <c r="E2513" t="s">
        <v>10</v>
      </c>
    </row>
    <row r="2514" spans="1:5" hidden="1" outlineLevel="2">
      <c r="A2514" s="3" t="e">
        <f>(HYPERLINK("http://www.autodoc.ru/Web/price/art/3556RGSH5RDW?analog=on","3556RGSH5RDW"))*1</f>
        <v>#VALUE!</v>
      </c>
      <c r="B2514" s="1">
        <v>6995549</v>
      </c>
      <c r="C2514" t="s">
        <v>319</v>
      </c>
      <c r="D2514" t="s">
        <v>2683</v>
      </c>
      <c r="E2514" t="s">
        <v>10</v>
      </c>
    </row>
    <row r="2515" spans="1:5" hidden="1" outlineLevel="2">
      <c r="A2515" s="3" t="e">
        <f>(HYPERLINK("http://www.autodoc.ru/Web/price/art/3556RGSH5RQ?analog=on","3556RGSH5RQ"))*1</f>
        <v>#VALUE!</v>
      </c>
      <c r="B2515" s="1">
        <v>6995550</v>
      </c>
      <c r="C2515" t="s">
        <v>319</v>
      </c>
      <c r="D2515" t="s">
        <v>2684</v>
      </c>
      <c r="E2515" t="s">
        <v>10</v>
      </c>
    </row>
    <row r="2516" spans="1:5" hidden="1" outlineLevel="2">
      <c r="A2516" s="3" t="e">
        <f>(HYPERLINK("http://www.autodoc.ru/Web/price/art/3556RGSS4RQ?analog=on","3556RGSS4RQ"))*1</f>
        <v>#VALUE!</v>
      </c>
      <c r="B2516" s="1">
        <v>6995551</v>
      </c>
      <c r="C2516" t="s">
        <v>319</v>
      </c>
      <c r="D2516" t="s">
        <v>2685</v>
      </c>
      <c r="E2516" t="s">
        <v>10</v>
      </c>
    </row>
    <row r="2517" spans="1:5" hidden="1" outlineLevel="1">
      <c r="A2517" s="2">
        <v>0</v>
      </c>
      <c r="B2517" s="26" t="s">
        <v>2686</v>
      </c>
      <c r="C2517" s="27">
        <v>0</v>
      </c>
      <c r="D2517" s="27">
        <v>0</v>
      </c>
      <c r="E2517" s="27">
        <v>0</v>
      </c>
    </row>
    <row r="2518" spans="1:5" hidden="1" outlineLevel="2">
      <c r="A2518" s="3" t="e">
        <f>(HYPERLINK("http://www.autodoc.ru/Web/price/art/3566AGSHMVW6X?analog=on","3566AGSHMVW6X"))*1</f>
        <v>#VALUE!</v>
      </c>
      <c r="B2518" s="1">
        <v>6961704</v>
      </c>
      <c r="C2518" t="s">
        <v>122</v>
      </c>
      <c r="D2518" t="s">
        <v>2687</v>
      </c>
      <c r="E2518" t="s">
        <v>8</v>
      </c>
    </row>
    <row r="2519" spans="1:5" hidden="1" outlineLevel="2">
      <c r="A2519" s="3" t="e">
        <f>(HYPERLINK("http://www.autodoc.ru/Web/price/art/3566AGSHMVW7X?analog=on","3566AGSHMVW7X"))*1</f>
        <v>#VALUE!</v>
      </c>
      <c r="B2519" s="1">
        <v>6962383</v>
      </c>
      <c r="C2519" t="s">
        <v>122</v>
      </c>
      <c r="D2519" t="s">
        <v>2688</v>
      </c>
      <c r="E2519" t="s">
        <v>8</v>
      </c>
    </row>
    <row r="2520" spans="1:5" hidden="1" outlineLevel="2">
      <c r="A2520" s="3" t="e">
        <f>(HYPERLINK("http://www.autodoc.ru/Web/price/art/3566AGSHVW1R?analog=on","3566AGSHVW1R"))*1</f>
        <v>#VALUE!</v>
      </c>
      <c r="B2520" s="1">
        <v>6961703</v>
      </c>
      <c r="C2520" t="s">
        <v>122</v>
      </c>
      <c r="D2520" t="s">
        <v>2689</v>
      </c>
      <c r="E2520" t="s">
        <v>8</v>
      </c>
    </row>
    <row r="2521" spans="1:5" hidden="1" outlineLevel="2">
      <c r="A2521" s="3" t="e">
        <f>(HYPERLINK("http://www.autodoc.ru/Web/price/art/3566AGSHVW2R?analog=on","3566AGSHVW2R"))*1</f>
        <v>#VALUE!</v>
      </c>
      <c r="B2521" s="1">
        <v>6962938</v>
      </c>
      <c r="C2521" t="s">
        <v>122</v>
      </c>
      <c r="D2521" t="s">
        <v>2690</v>
      </c>
      <c r="E2521" t="s">
        <v>8</v>
      </c>
    </row>
    <row r="2522" spans="1:5" hidden="1" outlineLevel="2">
      <c r="A2522" s="3" t="e">
        <f>(HYPERLINK("http://www.autodoc.ru/Web/price/art/3566AGSMVW6X?analog=on","3566AGSMVW6X"))*1</f>
        <v>#VALUE!</v>
      </c>
      <c r="B2522" s="1">
        <v>6961447</v>
      </c>
      <c r="C2522" t="s">
        <v>122</v>
      </c>
      <c r="D2522" t="s">
        <v>2691</v>
      </c>
      <c r="E2522" t="s">
        <v>8</v>
      </c>
    </row>
    <row r="2523" spans="1:5" hidden="1" outlineLevel="2">
      <c r="A2523" s="3" t="e">
        <f>(HYPERLINK("http://www.autodoc.ru/Web/price/art/3566AGSMVW7X?analog=on","3566AGSMVW7X"))*1</f>
        <v>#VALUE!</v>
      </c>
      <c r="B2523" s="1">
        <v>6962218</v>
      </c>
      <c r="C2523" t="s">
        <v>122</v>
      </c>
      <c r="D2523" t="s">
        <v>2692</v>
      </c>
      <c r="E2523" t="s">
        <v>8</v>
      </c>
    </row>
    <row r="2524" spans="1:5" hidden="1" outlineLevel="2">
      <c r="A2524" s="3" t="e">
        <f>(HYPERLINK("http://www.autodoc.ru/Web/price/art/3566AGSVW1R?analog=on","3566AGSVW1R"))*1</f>
        <v>#VALUE!</v>
      </c>
      <c r="B2524" s="1">
        <v>6961448</v>
      </c>
      <c r="C2524" t="s">
        <v>122</v>
      </c>
      <c r="D2524" t="s">
        <v>2693</v>
      </c>
      <c r="E2524" t="s">
        <v>8</v>
      </c>
    </row>
    <row r="2525" spans="1:5" hidden="1" outlineLevel="2">
      <c r="A2525" s="3" t="e">
        <f>(HYPERLINK("http://www.autodoc.ru/Web/price/art/3566AGSV2R?analog=on","3566AGSV2R"))*1</f>
        <v>#VALUE!</v>
      </c>
      <c r="B2525" s="1">
        <v>6965863</v>
      </c>
      <c r="C2525" t="s">
        <v>122</v>
      </c>
      <c r="D2525" t="s">
        <v>2694</v>
      </c>
      <c r="E2525" t="s">
        <v>8</v>
      </c>
    </row>
    <row r="2526" spans="1:5" hidden="1" outlineLevel="2">
      <c r="A2526" s="3" t="e">
        <f>(HYPERLINK("http://www.autodoc.ru/Web/price/art/3566AGSVW2R?analog=on","3566AGSVW2R"))*1</f>
        <v>#VALUE!</v>
      </c>
      <c r="B2526" s="1">
        <v>6962217</v>
      </c>
      <c r="C2526" t="s">
        <v>122</v>
      </c>
      <c r="D2526" t="s">
        <v>2695</v>
      </c>
      <c r="E2526" t="s">
        <v>8</v>
      </c>
    </row>
    <row r="2527" spans="1:5" hidden="1" outlineLevel="2">
      <c r="A2527" s="3" t="e">
        <f>(HYPERLINK("http://www.autodoc.ru/Web/price/art/3566ASMH?analog=on","3566ASMH"))*1</f>
        <v>#VALUE!</v>
      </c>
      <c r="B2527" s="1">
        <v>6101635</v>
      </c>
      <c r="C2527" t="s">
        <v>19</v>
      </c>
      <c r="D2527" t="s">
        <v>2696</v>
      </c>
      <c r="E2527" t="s">
        <v>21</v>
      </c>
    </row>
    <row r="2528" spans="1:5" hidden="1" outlineLevel="2">
      <c r="A2528" s="3" t="e">
        <f>(HYPERLINK("http://www.autodoc.ru/Web/price/art/3566ASMHB?analog=on","3566ASMHB"))*1</f>
        <v>#VALUE!</v>
      </c>
      <c r="B2528" s="1">
        <v>6102783</v>
      </c>
      <c r="C2528" t="s">
        <v>19</v>
      </c>
      <c r="D2528" t="s">
        <v>2697</v>
      </c>
      <c r="E2528" t="s">
        <v>21</v>
      </c>
    </row>
    <row r="2529" spans="1:5" hidden="1" outlineLevel="2">
      <c r="A2529" s="3" t="e">
        <f>(HYPERLINK("http://www.autodoc.ru/Web/price/art/3566BGSE?analog=on","3566BGSE"))*1</f>
        <v>#VALUE!</v>
      </c>
      <c r="B2529" s="1">
        <v>6996093</v>
      </c>
      <c r="C2529" t="s">
        <v>122</v>
      </c>
      <c r="D2529" t="s">
        <v>2698</v>
      </c>
      <c r="E2529" t="s">
        <v>23</v>
      </c>
    </row>
    <row r="2530" spans="1:5" hidden="1" outlineLevel="2">
      <c r="A2530" s="3" t="e">
        <f>(HYPERLINK("http://www.autodoc.ru/Web/price/art/3566BGSH?analog=on","3566BGSH"))*1</f>
        <v>#VALUE!</v>
      </c>
      <c r="B2530" s="1">
        <v>6997533</v>
      </c>
      <c r="C2530" t="s">
        <v>122</v>
      </c>
      <c r="D2530" t="s">
        <v>2699</v>
      </c>
      <c r="E2530" t="s">
        <v>23</v>
      </c>
    </row>
    <row r="2531" spans="1:5" hidden="1" outlineLevel="2">
      <c r="A2531" s="3" t="e">
        <f>(HYPERLINK("http://www.autodoc.ru/Web/price/art/3566BGSH1J?analog=on","3566BGSH1J"))*1</f>
        <v>#VALUE!</v>
      </c>
      <c r="B2531" s="1">
        <v>6901177</v>
      </c>
      <c r="C2531" t="s">
        <v>122</v>
      </c>
      <c r="D2531" t="s">
        <v>2700</v>
      </c>
      <c r="E2531" t="s">
        <v>23</v>
      </c>
    </row>
    <row r="2532" spans="1:5" hidden="1" outlineLevel="2">
      <c r="A2532" s="3" t="e">
        <f>(HYPERLINK("http://www.autodoc.ru/Web/price/art/3566BGSSB?analog=on","3566BGSSB"))*1</f>
        <v>#VALUE!</v>
      </c>
      <c r="B2532" s="1">
        <v>6997741</v>
      </c>
      <c r="C2532" t="s">
        <v>122</v>
      </c>
      <c r="D2532" t="s">
        <v>2701</v>
      </c>
      <c r="E2532" t="s">
        <v>23</v>
      </c>
    </row>
    <row r="2533" spans="1:5" hidden="1" outlineLevel="2">
      <c r="A2533" s="3" t="e">
        <f>(HYPERLINK("http://www.autodoc.ru/Web/price/art/3566LGSE5RD?analog=on","3566LGSE5RD"))*1</f>
        <v>#VALUE!</v>
      </c>
      <c r="B2533" s="1">
        <v>6996589</v>
      </c>
      <c r="C2533" t="s">
        <v>122</v>
      </c>
      <c r="D2533" t="s">
        <v>2702</v>
      </c>
      <c r="E2533" t="s">
        <v>10</v>
      </c>
    </row>
    <row r="2534" spans="1:5" hidden="1" outlineLevel="2">
      <c r="A2534" s="3" t="e">
        <f>(HYPERLINK("http://www.autodoc.ru/Web/price/art/3566LGSH5RD?analog=on","3566LGSH5RD"))*1</f>
        <v>#VALUE!</v>
      </c>
      <c r="B2534" s="1">
        <v>6993542</v>
      </c>
      <c r="C2534" t="s">
        <v>122</v>
      </c>
      <c r="D2534" t="s">
        <v>2703</v>
      </c>
      <c r="E2534" t="s">
        <v>10</v>
      </c>
    </row>
    <row r="2535" spans="1:5" hidden="1" outlineLevel="2">
      <c r="A2535" s="3" t="e">
        <f>(HYPERLINK("http://www.autodoc.ru/Web/price/art/3566LGSE5RQW?analog=on","3566LGSE5RQW"))*1</f>
        <v>#VALUE!</v>
      </c>
      <c r="B2535" s="1">
        <v>6995111</v>
      </c>
      <c r="C2535" t="s">
        <v>122</v>
      </c>
      <c r="D2535" t="s">
        <v>2704</v>
      </c>
      <c r="E2535" t="s">
        <v>10</v>
      </c>
    </row>
    <row r="2536" spans="1:5" hidden="1" outlineLevel="2">
      <c r="A2536" s="3" t="e">
        <f>(HYPERLINK("http://www.autodoc.ru/Web/price/art/3566LGSH3FD1M?analog=on","3566LGSH3FD1M"))*1</f>
        <v>#VALUE!</v>
      </c>
      <c r="B2536" s="1">
        <v>6996168</v>
      </c>
      <c r="C2536" t="s">
        <v>122</v>
      </c>
      <c r="D2536" t="s">
        <v>2705</v>
      </c>
      <c r="E2536" t="s">
        <v>10</v>
      </c>
    </row>
    <row r="2537" spans="1:5" hidden="1" outlineLevel="2">
      <c r="A2537" s="3" t="e">
        <f>(HYPERLINK("http://www.autodoc.ru/Web/price/art/3566LGSH5FD1M?analog=on","3566LGSH5FD1M"))*1</f>
        <v>#VALUE!</v>
      </c>
      <c r="B2537" s="1">
        <v>6993540</v>
      </c>
      <c r="C2537" t="s">
        <v>122</v>
      </c>
      <c r="D2537" t="s">
        <v>2706</v>
      </c>
      <c r="E2537" t="s">
        <v>10</v>
      </c>
    </row>
    <row r="2538" spans="1:5" hidden="1" outlineLevel="2">
      <c r="A2538" s="3" t="e">
        <f>(HYPERLINK("http://www.autodoc.ru/Web/price/art/3566LGSH3RQW?analog=on","3566LGSH3RQW"))*1</f>
        <v>#VALUE!</v>
      </c>
      <c r="B2538" s="1">
        <v>6995109</v>
      </c>
      <c r="C2538" t="s">
        <v>122</v>
      </c>
      <c r="D2538" t="s">
        <v>2707</v>
      </c>
      <c r="E2538" t="s">
        <v>10</v>
      </c>
    </row>
    <row r="2539" spans="1:5" hidden="1" outlineLevel="2">
      <c r="A2539" s="3" t="e">
        <f>(HYPERLINK("http://www.autodoc.ru/Web/price/art/3566LGSH5RQW?analog=on","3566LGSH5RQW"))*1</f>
        <v>#VALUE!</v>
      </c>
      <c r="B2539" s="1">
        <v>6996587</v>
      </c>
      <c r="C2539" t="s">
        <v>122</v>
      </c>
      <c r="D2539" t="s">
        <v>2707</v>
      </c>
      <c r="E2539" t="s">
        <v>10</v>
      </c>
    </row>
    <row r="2540" spans="1:5" hidden="1" outlineLevel="2">
      <c r="A2540" s="3" t="e">
        <f>(HYPERLINK("http://www.autodoc.ru/Web/price/art/3566LGSH5RQ?analog=on","3566LGSH5RQ"))*1</f>
        <v>#VALUE!</v>
      </c>
      <c r="B2540" s="1">
        <v>6993544</v>
      </c>
      <c r="C2540" t="s">
        <v>122</v>
      </c>
      <c r="D2540" t="s">
        <v>2708</v>
      </c>
      <c r="E2540" t="s">
        <v>10</v>
      </c>
    </row>
    <row r="2541" spans="1:5" hidden="1" outlineLevel="2">
      <c r="A2541" s="3" t="e">
        <f>(HYPERLINK("http://www.autodoc.ru/Web/price/art/3566LGSS4RQ?analog=on","3566LGSS4RQ"))*1</f>
        <v>#VALUE!</v>
      </c>
      <c r="B2541" s="1">
        <v>6993546</v>
      </c>
      <c r="C2541" t="s">
        <v>122</v>
      </c>
      <c r="D2541" t="s">
        <v>2709</v>
      </c>
      <c r="E2541" t="s">
        <v>10</v>
      </c>
    </row>
    <row r="2542" spans="1:5" hidden="1" outlineLevel="2">
      <c r="A2542" s="3" t="e">
        <f>(HYPERLINK("http://www.autodoc.ru/Web/price/art/3566RGSE5RD?analog=on","3566RGSE5RD"))*1</f>
        <v>#VALUE!</v>
      </c>
      <c r="B2542" s="1">
        <v>6993872</v>
      </c>
      <c r="C2542" t="s">
        <v>122</v>
      </c>
      <c r="D2542" t="s">
        <v>2710</v>
      </c>
      <c r="E2542" t="s">
        <v>10</v>
      </c>
    </row>
    <row r="2543" spans="1:5" hidden="1" outlineLevel="2">
      <c r="A2543" s="3" t="e">
        <f>(HYPERLINK("http://www.autodoc.ru/Web/price/art/3566RGSE5RQW?analog=on","3566RGSE5RQW"))*1</f>
        <v>#VALUE!</v>
      </c>
      <c r="B2543" s="1">
        <v>6995110</v>
      </c>
      <c r="C2543" t="s">
        <v>122</v>
      </c>
      <c r="D2543" t="s">
        <v>2711</v>
      </c>
      <c r="E2543" t="s">
        <v>10</v>
      </c>
    </row>
    <row r="2544" spans="1:5" hidden="1" outlineLevel="2">
      <c r="A2544" s="3" t="e">
        <f>(HYPERLINK("http://www.autodoc.ru/Web/price/art/3566RGSH3FD1M?analog=on","3566RGSH3FD1M"))*1</f>
        <v>#VALUE!</v>
      </c>
      <c r="B2544" s="1">
        <v>6993871</v>
      </c>
      <c r="C2544" t="s">
        <v>122</v>
      </c>
      <c r="D2544" t="s">
        <v>2712</v>
      </c>
      <c r="E2544" t="s">
        <v>10</v>
      </c>
    </row>
    <row r="2545" spans="1:5" hidden="1" outlineLevel="2">
      <c r="A2545" s="3" t="e">
        <f>(HYPERLINK("http://www.autodoc.ru/Web/price/art/3566RGSH3RQW?analog=on","3566RGSH3RQW"))*1</f>
        <v>#VALUE!</v>
      </c>
      <c r="B2545" s="1">
        <v>6995108</v>
      </c>
      <c r="C2545" t="s">
        <v>122</v>
      </c>
      <c r="D2545" t="s">
        <v>2713</v>
      </c>
      <c r="E2545" t="s">
        <v>10</v>
      </c>
    </row>
    <row r="2546" spans="1:5" hidden="1" outlineLevel="2">
      <c r="A2546" s="3" t="e">
        <f>(HYPERLINK("http://www.autodoc.ru/Web/price/art/3566RGSH5RQ?analog=on","3566RGSH5RQ"))*1</f>
        <v>#VALUE!</v>
      </c>
      <c r="B2546" s="1">
        <v>6993543</v>
      </c>
      <c r="C2546" t="s">
        <v>122</v>
      </c>
      <c r="D2546" t="s">
        <v>2714</v>
      </c>
      <c r="E2546" t="s">
        <v>10</v>
      </c>
    </row>
    <row r="2547" spans="1:5" hidden="1" outlineLevel="2">
      <c r="A2547" s="3" t="e">
        <f>(HYPERLINK("http://www.autodoc.ru/Web/price/art/3566RGSS4RQ?analog=on","3566RGSS4RQ"))*1</f>
        <v>#VALUE!</v>
      </c>
      <c r="B2547" s="1">
        <v>6993545</v>
      </c>
      <c r="C2547" t="s">
        <v>122</v>
      </c>
      <c r="D2547" t="s">
        <v>2715</v>
      </c>
      <c r="E2547" t="s">
        <v>10</v>
      </c>
    </row>
    <row r="2548" spans="1:5" hidden="1" outlineLevel="2">
      <c r="A2548" s="3" t="e">
        <f>(HYPERLINK("http://www.autodoc.ru/Web/price/art/3566RGSH5FD1M?analog=on","3566RGSH5FD1M"))*1</f>
        <v>#VALUE!</v>
      </c>
      <c r="B2548" s="1">
        <v>6993537</v>
      </c>
      <c r="C2548" t="s">
        <v>122</v>
      </c>
      <c r="D2548" t="s">
        <v>2716</v>
      </c>
      <c r="E2548" t="s">
        <v>10</v>
      </c>
    </row>
    <row r="2549" spans="1:5" hidden="1" outlineLevel="2">
      <c r="A2549" s="3" t="e">
        <f>(HYPERLINK("http://www.autodoc.ru/Web/price/art/3566RGSH5RD?analog=on","3566RGSH5RD"))*1</f>
        <v>#VALUE!</v>
      </c>
      <c r="B2549" s="1">
        <v>6993541</v>
      </c>
      <c r="C2549" t="s">
        <v>122</v>
      </c>
      <c r="D2549" t="s">
        <v>2717</v>
      </c>
      <c r="E2549" t="s">
        <v>10</v>
      </c>
    </row>
    <row r="2550" spans="1:5" hidden="1" outlineLevel="2">
      <c r="A2550" s="3" t="e">
        <f>(HYPERLINK("http://www.autodoc.ru/Web/price/art/3566RGSH5RQW?analog=on","3566RGSH5RQW"))*1</f>
        <v>#VALUE!</v>
      </c>
      <c r="B2550" s="1">
        <v>6996588</v>
      </c>
      <c r="C2550" t="s">
        <v>122</v>
      </c>
      <c r="D2550" t="s">
        <v>2713</v>
      </c>
      <c r="E2550" t="s">
        <v>10</v>
      </c>
    </row>
    <row r="2551" spans="1:5" hidden="1" outlineLevel="1">
      <c r="A2551" s="2">
        <v>0</v>
      </c>
      <c r="B2551" s="26" t="s">
        <v>2718</v>
      </c>
      <c r="C2551" s="27">
        <v>0</v>
      </c>
      <c r="D2551" s="27">
        <v>0</v>
      </c>
      <c r="E2551" s="27">
        <v>0</v>
      </c>
    </row>
    <row r="2552" spans="1:5" hidden="1" outlineLevel="2">
      <c r="A2552" s="3" t="e">
        <f>(HYPERLINK("http://www.autodoc.ru/Web/price/art/3578AGSHMVW3P?analog=on","3578AGSHMVW3P"))*1</f>
        <v>#VALUE!</v>
      </c>
      <c r="B2552" s="1">
        <v>6964935</v>
      </c>
      <c r="C2552" t="s">
        <v>341</v>
      </c>
      <c r="D2552" t="s">
        <v>2719</v>
      </c>
      <c r="E2552" t="s">
        <v>8</v>
      </c>
    </row>
    <row r="2553" spans="1:5" hidden="1" outlineLevel="2">
      <c r="A2553" s="3" t="e">
        <f>(HYPERLINK("http://www.autodoc.ru/Web/price/art/3578AGSHVW1B?analog=on","3578AGSHVW1B"))*1</f>
        <v>#VALUE!</v>
      </c>
      <c r="B2553" s="1">
        <v>6964934</v>
      </c>
      <c r="C2553" t="s">
        <v>341</v>
      </c>
      <c r="D2553" t="s">
        <v>2720</v>
      </c>
      <c r="E2553" t="s">
        <v>8</v>
      </c>
    </row>
    <row r="2554" spans="1:5" hidden="1" outlineLevel="2">
      <c r="A2554" s="3" t="e">
        <f>(HYPERLINK("http://www.autodoc.ru/Web/price/art/3578AGSMVW1P?analog=on","3578AGSMVW1P"))*1</f>
        <v>#VALUE!</v>
      </c>
      <c r="B2554" s="1">
        <v>6964933</v>
      </c>
      <c r="C2554" t="s">
        <v>341</v>
      </c>
      <c r="D2554" t="s">
        <v>2721</v>
      </c>
      <c r="E2554" t="s">
        <v>8</v>
      </c>
    </row>
    <row r="2555" spans="1:5" hidden="1" outlineLevel="2">
      <c r="A2555" s="3" t="e">
        <f>(HYPERLINK("http://www.autodoc.ru/Web/price/art/3578AGSVW?analog=on","3578AGSVW"))*1</f>
        <v>#VALUE!</v>
      </c>
      <c r="B2555" s="1">
        <v>6964932</v>
      </c>
      <c r="C2555" t="s">
        <v>341</v>
      </c>
      <c r="D2555" t="s">
        <v>2722</v>
      </c>
      <c r="E2555" t="s">
        <v>8</v>
      </c>
    </row>
    <row r="2556" spans="1:5" hidden="1" outlineLevel="2">
      <c r="A2556" s="3" t="e">
        <f>(HYPERLINK("http://www.autodoc.ru/Web/price/art/3578AGAHMVW3P?analog=on","3578AGAHMVW3P"))*1</f>
        <v>#VALUE!</v>
      </c>
      <c r="B2556" s="1">
        <v>6965739</v>
      </c>
      <c r="C2556" t="s">
        <v>341</v>
      </c>
      <c r="D2556" t="s">
        <v>2723</v>
      </c>
      <c r="E2556" t="s">
        <v>8</v>
      </c>
    </row>
    <row r="2557" spans="1:5" hidden="1" outlineLevel="2">
      <c r="A2557" s="3" t="e">
        <f>(HYPERLINK("http://www.autodoc.ru/Web/price/art/3578AGAHVW1B?analog=on","3578AGAHVW1B"))*1</f>
        <v>#VALUE!</v>
      </c>
      <c r="B2557" s="1">
        <v>6965740</v>
      </c>
      <c r="C2557" t="s">
        <v>341</v>
      </c>
      <c r="D2557" t="s">
        <v>2724</v>
      </c>
      <c r="E2557" t="s">
        <v>8</v>
      </c>
    </row>
    <row r="2558" spans="1:5" hidden="1" outlineLevel="2">
      <c r="A2558" s="3" t="e">
        <f>(HYPERLINK("http://www.autodoc.ru/Web/price/art/3578AGAMVW1P?analog=on","3578AGAMVW1P"))*1</f>
        <v>#VALUE!</v>
      </c>
      <c r="B2558" s="1">
        <v>6965741</v>
      </c>
      <c r="C2558" t="s">
        <v>341</v>
      </c>
      <c r="D2558" t="s">
        <v>2725</v>
      </c>
      <c r="E2558" t="s">
        <v>8</v>
      </c>
    </row>
    <row r="2559" spans="1:5" hidden="1" outlineLevel="2">
      <c r="A2559" s="3" t="e">
        <f>(HYPERLINK("http://www.autodoc.ru/Web/price/art/3578AGAVW?analog=on","3578AGAVW"))*1</f>
        <v>#VALUE!</v>
      </c>
      <c r="B2559" s="1">
        <v>6965742</v>
      </c>
      <c r="C2559" t="s">
        <v>341</v>
      </c>
      <c r="D2559" t="s">
        <v>2726</v>
      </c>
      <c r="E2559" t="s">
        <v>8</v>
      </c>
    </row>
    <row r="2560" spans="1:5" hidden="1" outlineLevel="2">
      <c r="A2560" s="3" t="e">
        <f>(HYPERLINK("http://www.autodoc.ru/Web/price/art/3578LGSH5FD?analog=on","3578LGSH5FD"))*1</f>
        <v>#VALUE!</v>
      </c>
      <c r="B2560" s="1">
        <v>6901514</v>
      </c>
      <c r="C2560" t="s">
        <v>341</v>
      </c>
      <c r="D2560" t="s">
        <v>2727</v>
      </c>
      <c r="E2560" t="s">
        <v>10</v>
      </c>
    </row>
    <row r="2561" spans="1:5" hidden="1" outlineLevel="2">
      <c r="A2561" s="3" t="e">
        <f>(HYPERLINK("http://www.autodoc.ru/Web/price/art/3578RGSH5FD?analog=on","3578RGSH5FD"))*1</f>
        <v>#VALUE!</v>
      </c>
      <c r="B2561" s="1">
        <v>6901513</v>
      </c>
      <c r="C2561" t="s">
        <v>341</v>
      </c>
      <c r="D2561" t="s">
        <v>2728</v>
      </c>
      <c r="E2561" t="s">
        <v>10</v>
      </c>
    </row>
    <row r="2562" spans="1:5" hidden="1" outlineLevel="1">
      <c r="A2562" s="2">
        <v>0</v>
      </c>
      <c r="B2562" s="26" t="s">
        <v>2729</v>
      </c>
      <c r="C2562" s="27">
        <v>0</v>
      </c>
      <c r="D2562" s="27">
        <v>0</v>
      </c>
      <c r="E2562" s="27">
        <v>0</v>
      </c>
    </row>
    <row r="2563" spans="1:5" hidden="1" outlineLevel="2">
      <c r="A2563" s="3" t="e">
        <f>(HYPERLINK("http://www.autodoc.ru/Web/price/art/3565AGSGYVW?analog=on","3565AGSGYVW"))*1</f>
        <v>#VALUE!</v>
      </c>
      <c r="B2563" s="1">
        <v>6962939</v>
      </c>
      <c r="C2563" t="s">
        <v>670</v>
      </c>
      <c r="D2563" t="s">
        <v>2730</v>
      </c>
      <c r="E2563" t="s">
        <v>8</v>
      </c>
    </row>
    <row r="2564" spans="1:5" hidden="1" outlineLevel="2">
      <c r="A2564" s="3" t="e">
        <f>(HYPERLINK("http://www.autodoc.ru/Web/price/art/3565AGSHMVW1P?analog=on","3565AGSHMVW1P"))*1</f>
        <v>#VALUE!</v>
      </c>
      <c r="B2564" s="1">
        <v>6961764</v>
      </c>
      <c r="C2564" t="s">
        <v>670</v>
      </c>
      <c r="D2564" t="s">
        <v>2731</v>
      </c>
      <c r="E2564" t="s">
        <v>8</v>
      </c>
    </row>
    <row r="2565" spans="1:5" hidden="1" outlineLevel="2">
      <c r="A2565" s="3" t="e">
        <f>(HYPERLINK("http://www.autodoc.ru/Web/price/art/3565AGSHMVW2P?analog=on","3565AGSHMVW2P"))*1</f>
        <v>#VALUE!</v>
      </c>
      <c r="B2565" s="1">
        <v>6961951</v>
      </c>
      <c r="C2565" t="s">
        <v>904</v>
      </c>
      <c r="D2565" t="s">
        <v>2732</v>
      </c>
      <c r="E2565" t="s">
        <v>8</v>
      </c>
    </row>
    <row r="2566" spans="1:5" hidden="1" outlineLevel="2">
      <c r="A2566" s="3" t="e">
        <f>(HYPERLINK("http://www.autodoc.ru/Web/price/art/3565AGSHVW?analog=on","3565AGSHVW"))*1</f>
        <v>#VALUE!</v>
      </c>
      <c r="B2566" s="1">
        <v>6962405</v>
      </c>
      <c r="C2566" t="s">
        <v>670</v>
      </c>
      <c r="D2566" t="s">
        <v>2733</v>
      </c>
      <c r="E2566" t="s">
        <v>8</v>
      </c>
    </row>
    <row r="2567" spans="1:5" hidden="1" outlineLevel="2">
      <c r="A2567" s="3" t="e">
        <f>(HYPERLINK("http://www.autodoc.ru/Web/price/art/3565AGSHVW1B?analog=on","3565AGSHVW1B"))*1</f>
        <v>#VALUE!</v>
      </c>
      <c r="B2567" s="1">
        <v>6961817</v>
      </c>
      <c r="C2567" t="s">
        <v>904</v>
      </c>
      <c r="D2567" t="s">
        <v>2734</v>
      </c>
      <c r="E2567" t="s">
        <v>8</v>
      </c>
    </row>
    <row r="2568" spans="1:5" hidden="1" outlineLevel="2">
      <c r="A2568" s="3" t="e">
        <f>(HYPERLINK("http://www.autodoc.ru/Web/price/art/3565AGSMVW1P?analog=on","3565AGSMVW1P"))*1</f>
        <v>#VALUE!</v>
      </c>
      <c r="B2568" s="1">
        <v>6961349</v>
      </c>
      <c r="C2568" t="s">
        <v>670</v>
      </c>
      <c r="D2568" t="s">
        <v>2735</v>
      </c>
      <c r="E2568" t="s">
        <v>8</v>
      </c>
    </row>
    <row r="2569" spans="1:5" hidden="1" outlineLevel="2">
      <c r="A2569" s="3" t="e">
        <f>(HYPERLINK("http://www.autodoc.ru/Web/price/art/3565AGSMVW2P?analog=on","3565AGSMVW2P"))*1</f>
        <v>#VALUE!</v>
      </c>
      <c r="B2569" s="1">
        <v>6962305</v>
      </c>
      <c r="C2569" t="s">
        <v>904</v>
      </c>
      <c r="D2569" t="s">
        <v>2736</v>
      </c>
      <c r="E2569" t="s">
        <v>8</v>
      </c>
    </row>
    <row r="2570" spans="1:5" hidden="1" outlineLevel="2">
      <c r="A2570" s="3" t="e">
        <f>(HYPERLINK("http://www.autodoc.ru/Web/price/art/3565AGSVW?analog=on","3565AGSVW"))*1</f>
        <v>#VALUE!</v>
      </c>
      <c r="B2570" s="1">
        <v>6961350</v>
      </c>
      <c r="C2570" t="s">
        <v>670</v>
      </c>
      <c r="D2570" t="s">
        <v>2737</v>
      </c>
      <c r="E2570" t="s">
        <v>8</v>
      </c>
    </row>
    <row r="2571" spans="1:5" hidden="1" outlineLevel="2">
      <c r="A2571" s="3" t="e">
        <f>(HYPERLINK("http://www.autodoc.ru/Web/price/art/3565AGSVW1B?analog=on","3565AGSVW1B"))*1</f>
        <v>#VALUE!</v>
      </c>
      <c r="B2571" s="1">
        <v>6961818</v>
      </c>
      <c r="C2571" t="s">
        <v>904</v>
      </c>
      <c r="D2571" t="s">
        <v>2738</v>
      </c>
      <c r="E2571" t="s">
        <v>8</v>
      </c>
    </row>
    <row r="2572" spans="1:5" hidden="1" outlineLevel="2">
      <c r="A2572" s="3" t="e">
        <f>(HYPERLINK("http://www.autodoc.ru/Web/price/art/3565AGSBLVW?analog=on","3565AGSBLVW"))*1</f>
        <v>#VALUE!</v>
      </c>
      <c r="B2572" s="1">
        <v>6962200</v>
      </c>
      <c r="C2572" t="s">
        <v>670</v>
      </c>
      <c r="D2572" t="s">
        <v>2739</v>
      </c>
      <c r="E2572" t="s">
        <v>8</v>
      </c>
    </row>
    <row r="2573" spans="1:5" hidden="1" outlineLevel="2">
      <c r="A2573" s="3" t="e">
        <f>(HYPERLINK("http://www.autodoc.ru/Web/price/art/3565ASMV?analog=on","3565ASMV"))*1</f>
        <v>#VALUE!</v>
      </c>
      <c r="B2573" s="1">
        <v>6101634</v>
      </c>
      <c r="C2573" t="s">
        <v>19</v>
      </c>
      <c r="D2573" t="s">
        <v>2740</v>
      </c>
      <c r="E2573" t="s">
        <v>21</v>
      </c>
    </row>
    <row r="2574" spans="1:5" hidden="1" outlineLevel="2">
      <c r="A2574" s="3" t="e">
        <f>(HYPERLINK("http://www.autodoc.ru/Web/price/art/3565BGDV?analog=on","3565BGDV"))*1</f>
        <v>#VALUE!</v>
      </c>
      <c r="B2574" s="1">
        <v>6996169</v>
      </c>
      <c r="C2574" t="s">
        <v>670</v>
      </c>
      <c r="D2574" t="s">
        <v>2741</v>
      </c>
      <c r="E2574" t="s">
        <v>23</v>
      </c>
    </row>
    <row r="2575" spans="1:5" hidden="1" outlineLevel="2">
      <c r="A2575" s="3" t="e">
        <f>(HYPERLINK("http://www.autodoc.ru/Web/price/art/3565BGSV?analog=on","3565BGSV"))*1</f>
        <v>#VALUE!</v>
      </c>
      <c r="B2575" s="1">
        <v>6996170</v>
      </c>
      <c r="C2575" t="s">
        <v>670</v>
      </c>
      <c r="D2575" t="s">
        <v>2742</v>
      </c>
      <c r="E2575" t="s">
        <v>23</v>
      </c>
    </row>
    <row r="2576" spans="1:5" hidden="1" outlineLevel="2">
      <c r="A2576" s="3" t="e">
        <f>(HYPERLINK("http://www.autodoc.ru/Web/price/art/3565LGSV5FD?analog=on","3565LGSV5FD"))*1</f>
        <v>#VALUE!</v>
      </c>
      <c r="B2576" s="1">
        <v>6993930</v>
      </c>
      <c r="C2576" t="s">
        <v>670</v>
      </c>
      <c r="D2576" t="s">
        <v>2743</v>
      </c>
      <c r="E2576" t="s">
        <v>10</v>
      </c>
    </row>
    <row r="2577" spans="1:5" hidden="1" outlineLevel="2">
      <c r="A2577" s="3" t="e">
        <f>(HYPERLINK("http://www.autodoc.ru/Web/price/art/3565LGSV5FD1M?analog=on","3565LGSV5FD1M"))*1</f>
        <v>#VALUE!</v>
      </c>
      <c r="B2577" s="1">
        <v>6900885</v>
      </c>
      <c r="C2577" t="s">
        <v>670</v>
      </c>
      <c r="D2577" t="s">
        <v>2743</v>
      </c>
      <c r="E2577" t="s">
        <v>10</v>
      </c>
    </row>
    <row r="2578" spans="1:5" hidden="1" outlineLevel="2">
      <c r="A2578" s="3" t="e">
        <f>(HYPERLINK("http://www.autodoc.ru/Web/price/art/3565LGSV5FQZ?analog=on","3565LGSV5FQZ"))*1</f>
        <v>#VALUE!</v>
      </c>
      <c r="B2578" s="1">
        <v>6997580</v>
      </c>
      <c r="C2578" t="s">
        <v>670</v>
      </c>
      <c r="D2578" t="s">
        <v>2744</v>
      </c>
      <c r="E2578" t="s">
        <v>10</v>
      </c>
    </row>
    <row r="2579" spans="1:5" hidden="1" outlineLevel="2">
      <c r="A2579" s="3" t="e">
        <f>(HYPERLINK("http://www.autodoc.ru/Web/price/art/3565LGSV5RD?analog=on","3565LGSV5RD"))*1</f>
        <v>#VALUE!</v>
      </c>
      <c r="B2579" s="1">
        <v>6993931</v>
      </c>
      <c r="C2579" t="s">
        <v>670</v>
      </c>
      <c r="D2579" t="s">
        <v>2745</v>
      </c>
      <c r="E2579" t="s">
        <v>10</v>
      </c>
    </row>
    <row r="2580" spans="1:5" hidden="1" outlineLevel="2">
      <c r="A2580" s="3" t="e">
        <f>(HYPERLINK("http://www.autodoc.ru/Web/price/art/3565LGSV5RQ?analog=on","3565LGSV5RQ"))*1</f>
        <v>#VALUE!</v>
      </c>
      <c r="B2580" s="1">
        <v>6993932</v>
      </c>
      <c r="C2580" t="s">
        <v>670</v>
      </c>
      <c r="D2580" t="s">
        <v>2746</v>
      </c>
      <c r="E2580" t="s">
        <v>10</v>
      </c>
    </row>
    <row r="2581" spans="1:5" hidden="1" outlineLevel="2">
      <c r="A2581" s="3" t="e">
        <f>(HYPERLINK("http://www.autodoc.ru/Web/price/art/3565RGDV5RD?analog=on","3565RGDV5RD"))*1</f>
        <v>#VALUE!</v>
      </c>
      <c r="B2581" s="1">
        <v>6900219</v>
      </c>
      <c r="C2581" t="s">
        <v>670</v>
      </c>
      <c r="D2581" t="s">
        <v>2747</v>
      </c>
      <c r="E2581" t="s">
        <v>10</v>
      </c>
    </row>
    <row r="2582" spans="1:5" hidden="1" outlineLevel="2">
      <c r="A2582" s="3" t="e">
        <f>(HYPERLINK("http://www.autodoc.ru/Web/price/art/3565RGSV5FD?analog=on","3565RGSV5FD"))*1</f>
        <v>#VALUE!</v>
      </c>
      <c r="B2582" s="1">
        <v>6993874</v>
      </c>
      <c r="C2582" t="s">
        <v>670</v>
      </c>
      <c r="D2582" t="s">
        <v>2748</v>
      </c>
      <c r="E2582" t="s">
        <v>10</v>
      </c>
    </row>
    <row r="2583" spans="1:5" hidden="1" outlineLevel="2">
      <c r="A2583" s="3" t="e">
        <f>(HYPERLINK("http://www.autodoc.ru/Web/price/art/3565RGSV5FD1M?analog=on","3565RGSV5FD1M"))*1</f>
        <v>#VALUE!</v>
      </c>
      <c r="B2583" s="1">
        <v>6900886</v>
      </c>
      <c r="C2583" t="s">
        <v>670</v>
      </c>
      <c r="D2583" t="s">
        <v>2748</v>
      </c>
      <c r="E2583" t="s">
        <v>10</v>
      </c>
    </row>
    <row r="2584" spans="1:5" hidden="1" outlineLevel="2">
      <c r="A2584" s="3" t="e">
        <f>(HYPERLINK("http://www.autodoc.ru/Web/price/art/3565RGSV5FQZ?analog=on","3565RGSV5FQZ"))*1</f>
        <v>#VALUE!</v>
      </c>
      <c r="B2584" s="1">
        <v>6997581</v>
      </c>
      <c r="C2584" t="s">
        <v>670</v>
      </c>
      <c r="D2584" t="s">
        <v>2749</v>
      </c>
      <c r="E2584" t="s">
        <v>10</v>
      </c>
    </row>
    <row r="2585" spans="1:5" hidden="1" outlineLevel="2">
      <c r="A2585" s="3" t="e">
        <f>(HYPERLINK("http://www.autodoc.ru/Web/price/art/3565RGSV5RD?analog=on","3565RGSV5RD"))*1</f>
        <v>#VALUE!</v>
      </c>
      <c r="B2585" s="1">
        <v>6993875</v>
      </c>
      <c r="C2585" t="s">
        <v>670</v>
      </c>
      <c r="D2585" t="s">
        <v>2750</v>
      </c>
      <c r="E2585" t="s">
        <v>10</v>
      </c>
    </row>
    <row r="2586" spans="1:5" hidden="1" outlineLevel="2">
      <c r="A2586" s="3" t="e">
        <f>(HYPERLINK("http://www.autodoc.ru/Web/price/art/3565RGSV5RQ?analog=on","3565RGSV5RQ"))*1</f>
        <v>#VALUE!</v>
      </c>
      <c r="B2586" s="1">
        <v>6993933</v>
      </c>
      <c r="C2586" t="s">
        <v>670</v>
      </c>
      <c r="D2586" t="s">
        <v>2751</v>
      </c>
      <c r="E2586" t="s">
        <v>10</v>
      </c>
    </row>
    <row r="2587" spans="1:5" hidden="1" outlineLevel="1">
      <c r="A2587" s="2">
        <v>0</v>
      </c>
      <c r="B2587" s="26" t="s">
        <v>2752</v>
      </c>
      <c r="C2587" s="27">
        <v>0</v>
      </c>
      <c r="D2587" s="27">
        <v>0</v>
      </c>
      <c r="E2587" s="27">
        <v>0</v>
      </c>
    </row>
    <row r="2588" spans="1:5" hidden="1" outlineLevel="2">
      <c r="A2588" s="3" t="e">
        <f>(HYPERLINK("http://www.autodoc.ru/Web/price/art/3563AGSBLVW?analog=on","3563AGSBLVW"))*1</f>
        <v>#VALUE!</v>
      </c>
      <c r="B2588" s="1">
        <v>6962164</v>
      </c>
      <c r="C2588" t="s">
        <v>2753</v>
      </c>
      <c r="D2588" t="s">
        <v>2754</v>
      </c>
      <c r="E2588" t="s">
        <v>8</v>
      </c>
    </row>
    <row r="2589" spans="1:5" hidden="1" outlineLevel="2">
      <c r="A2589" s="3" t="e">
        <f>(HYPERLINK("http://www.autodoc.ru/Web/price/art/3563AGSHMVW1B?analog=on","3563AGSHMVW1B"))*1</f>
        <v>#VALUE!</v>
      </c>
      <c r="B2589" s="1">
        <v>6961762</v>
      </c>
      <c r="C2589" t="s">
        <v>1053</v>
      </c>
      <c r="D2589" t="s">
        <v>2755</v>
      </c>
      <c r="E2589" t="s">
        <v>8</v>
      </c>
    </row>
    <row r="2590" spans="1:5" hidden="1" outlineLevel="2">
      <c r="A2590" s="3" t="e">
        <f>(HYPERLINK("http://www.autodoc.ru/Web/price/art/3563AGSHVW?analog=on","3563AGSHVW"))*1</f>
        <v>#VALUE!</v>
      </c>
      <c r="B2590" s="1">
        <v>6961373</v>
      </c>
      <c r="C2590" t="s">
        <v>2753</v>
      </c>
      <c r="D2590" t="s">
        <v>2756</v>
      </c>
      <c r="E2590" t="s">
        <v>8</v>
      </c>
    </row>
    <row r="2591" spans="1:5" hidden="1" outlineLevel="2">
      <c r="A2591" s="3" t="e">
        <f>(HYPERLINK("http://www.autodoc.ru/Web/price/art/3563AGSMVW1B?analog=on","3563AGSMVW1B"))*1</f>
        <v>#VALUE!</v>
      </c>
      <c r="B2591" s="1">
        <v>6961763</v>
      </c>
      <c r="C2591" t="s">
        <v>1053</v>
      </c>
      <c r="D2591" t="s">
        <v>2757</v>
      </c>
      <c r="E2591" t="s">
        <v>8</v>
      </c>
    </row>
    <row r="2592" spans="1:5" hidden="1" outlineLevel="2">
      <c r="A2592" s="3" t="e">
        <f>(HYPERLINK("http://www.autodoc.ru/Web/price/art/3563AGSVW?analog=on","3563AGSVW"))*1</f>
        <v>#VALUE!</v>
      </c>
      <c r="B2592" s="1">
        <v>6960968</v>
      </c>
      <c r="C2592" t="s">
        <v>2753</v>
      </c>
      <c r="D2592" t="s">
        <v>2758</v>
      </c>
      <c r="E2592" t="s">
        <v>8</v>
      </c>
    </row>
    <row r="2593" spans="1:5" hidden="1" outlineLevel="2">
      <c r="A2593" s="3" t="e">
        <f>(HYPERLINK("http://www.autodoc.ru/Web/price/art/3563ASMV?analog=on","3563ASMV"))*1</f>
        <v>#VALUE!</v>
      </c>
      <c r="B2593" s="1">
        <v>6101771</v>
      </c>
      <c r="C2593" t="s">
        <v>19</v>
      </c>
      <c r="D2593" t="s">
        <v>2759</v>
      </c>
      <c r="E2593" t="s">
        <v>21</v>
      </c>
    </row>
    <row r="2594" spans="1:5" hidden="1" outlineLevel="2">
      <c r="A2594" s="3" t="e">
        <f>(HYPERLINK("http://www.autodoc.ru/Web/price/art/3563BGSVI?analog=on","3563BGSVI"))*1</f>
        <v>#VALUE!</v>
      </c>
      <c r="B2594" s="1">
        <v>6980802</v>
      </c>
      <c r="C2594" t="s">
        <v>2753</v>
      </c>
      <c r="D2594" t="s">
        <v>2760</v>
      </c>
      <c r="E2594" t="s">
        <v>23</v>
      </c>
    </row>
    <row r="2595" spans="1:5" hidden="1" outlineLevel="2">
      <c r="A2595" s="3" t="e">
        <f>(HYPERLINK("http://www.autodoc.ru/Web/price/art/3563LGSV5FD?analog=on","3563LGSV5FD"))*1</f>
        <v>#VALUE!</v>
      </c>
      <c r="B2595" s="1">
        <v>6995237</v>
      </c>
      <c r="C2595" t="s">
        <v>2753</v>
      </c>
      <c r="D2595" t="s">
        <v>2761</v>
      </c>
      <c r="E2595" t="s">
        <v>10</v>
      </c>
    </row>
    <row r="2596" spans="1:5" hidden="1" outlineLevel="2">
      <c r="A2596" s="3" t="e">
        <f>(HYPERLINK("http://www.autodoc.ru/Web/price/art/3563LGSV5RD?analog=on","3563LGSV5RD"))*1</f>
        <v>#VALUE!</v>
      </c>
      <c r="B2596" s="1">
        <v>6996403</v>
      </c>
      <c r="C2596" t="s">
        <v>2753</v>
      </c>
      <c r="D2596" t="s">
        <v>2762</v>
      </c>
      <c r="E2596" t="s">
        <v>10</v>
      </c>
    </row>
    <row r="2597" spans="1:5" hidden="1" outlineLevel="2">
      <c r="A2597" s="3" t="e">
        <f>(HYPERLINK("http://www.autodoc.ru/Web/price/art/3563LGSV5RV?analog=on","3563LGSV5RV"))*1</f>
        <v>#VALUE!</v>
      </c>
      <c r="B2597" s="1">
        <v>6996463</v>
      </c>
      <c r="C2597" t="s">
        <v>2633</v>
      </c>
      <c r="D2597" t="s">
        <v>2763</v>
      </c>
      <c r="E2597" t="s">
        <v>10</v>
      </c>
    </row>
    <row r="2598" spans="1:5" hidden="1" outlineLevel="2">
      <c r="A2598" s="3" t="e">
        <f>(HYPERLINK("http://www.autodoc.ru/Web/price/art/3563RGSV5FD?analog=on","3563RGSV5FD"))*1</f>
        <v>#VALUE!</v>
      </c>
      <c r="B2598" s="1">
        <v>6995238</v>
      </c>
      <c r="C2598" t="s">
        <v>2753</v>
      </c>
      <c r="D2598" t="s">
        <v>2764</v>
      </c>
      <c r="E2598" t="s">
        <v>10</v>
      </c>
    </row>
    <row r="2599" spans="1:5" hidden="1" outlineLevel="2">
      <c r="A2599" s="3" t="e">
        <f>(HYPERLINK("http://www.autodoc.ru/Web/price/art/3563RGSV5RD?analog=on","3563RGSV5RD"))*1</f>
        <v>#VALUE!</v>
      </c>
      <c r="B2599" s="1">
        <v>6993877</v>
      </c>
      <c r="C2599" t="s">
        <v>2753</v>
      </c>
      <c r="D2599" t="s">
        <v>2765</v>
      </c>
      <c r="E2599" t="s">
        <v>10</v>
      </c>
    </row>
    <row r="2600" spans="1:5" hidden="1" outlineLevel="2">
      <c r="A2600" s="3" t="e">
        <f>(HYPERLINK("http://www.autodoc.ru/Web/price/art/3563RGSV5RV?analog=on","3563RGSV5RV"))*1</f>
        <v>#VALUE!</v>
      </c>
      <c r="B2600" s="1">
        <v>6996464</v>
      </c>
      <c r="C2600" t="s">
        <v>2633</v>
      </c>
      <c r="D2600" t="s">
        <v>2766</v>
      </c>
      <c r="E2600" t="s">
        <v>10</v>
      </c>
    </row>
    <row r="2601" spans="1:5" hidden="1" outlineLevel="1">
      <c r="A2601" s="2">
        <v>0</v>
      </c>
      <c r="B2601" s="26" t="s">
        <v>2767</v>
      </c>
      <c r="C2601" s="27">
        <v>0</v>
      </c>
      <c r="D2601" s="27">
        <v>0</v>
      </c>
      <c r="E2601" s="27">
        <v>0</v>
      </c>
    </row>
    <row r="2602" spans="1:5" hidden="1" outlineLevel="2">
      <c r="A2602" s="3" t="e">
        <f>(HYPERLINK("http://www.autodoc.ru/Web/price/art/3550AGN?analog=on","3550AGN"))*1</f>
        <v>#VALUE!</v>
      </c>
      <c r="B2602" s="1">
        <v>6968130</v>
      </c>
      <c r="C2602" t="s">
        <v>2768</v>
      </c>
      <c r="D2602" t="s">
        <v>2769</v>
      </c>
      <c r="E2602" t="s">
        <v>8</v>
      </c>
    </row>
    <row r="2603" spans="1:5" hidden="1" outlineLevel="2">
      <c r="A2603" s="3" t="e">
        <f>(HYPERLINK("http://www.autodoc.ru/Web/price/art/3550AGNBL?analog=on","3550AGNBL"))*1</f>
        <v>#VALUE!</v>
      </c>
      <c r="B2603" s="1">
        <v>6961050</v>
      </c>
      <c r="C2603" t="s">
        <v>2768</v>
      </c>
      <c r="D2603" t="s">
        <v>2770</v>
      </c>
      <c r="E2603" t="s">
        <v>8</v>
      </c>
    </row>
    <row r="2604" spans="1:5" hidden="1" outlineLevel="2">
      <c r="A2604" s="3" t="e">
        <f>(HYPERLINK("http://www.autodoc.ru/Web/price/art/3550AGNBLHV2P?analog=on","3550AGNBLHV2P"))*1</f>
        <v>#VALUE!</v>
      </c>
      <c r="B2604" s="1">
        <v>6961903</v>
      </c>
      <c r="C2604" t="s">
        <v>831</v>
      </c>
      <c r="D2604" t="s">
        <v>2771</v>
      </c>
      <c r="E2604" t="s">
        <v>8</v>
      </c>
    </row>
    <row r="2605" spans="1:5" hidden="1" outlineLevel="2">
      <c r="A2605" s="3" t="e">
        <f>(HYPERLINK("http://www.autodoc.ru/Web/price/art/3550AGNBLV2P?analog=on","3550AGNBLV2P"))*1</f>
        <v>#VALUE!</v>
      </c>
      <c r="B2605" s="1">
        <v>6961048</v>
      </c>
      <c r="C2605" t="s">
        <v>831</v>
      </c>
      <c r="D2605" t="s">
        <v>2772</v>
      </c>
      <c r="E2605" t="s">
        <v>8</v>
      </c>
    </row>
    <row r="2606" spans="1:5" hidden="1" outlineLevel="2">
      <c r="A2606" s="3" t="e">
        <f>(HYPERLINK("http://www.autodoc.ru/Web/price/art/3550AGNGN?analog=on","3550AGNGN"))*1</f>
        <v>#VALUE!</v>
      </c>
      <c r="B2606" s="1">
        <v>6963260</v>
      </c>
      <c r="C2606" t="s">
        <v>2768</v>
      </c>
      <c r="D2606" t="s">
        <v>2773</v>
      </c>
      <c r="E2606" t="s">
        <v>8</v>
      </c>
    </row>
    <row r="2607" spans="1:5" hidden="1" outlineLevel="2">
      <c r="A2607" s="3" t="e">
        <f>(HYPERLINK("http://www.autodoc.ru/Web/price/art/3550AGNGNV2P?analog=on","3550AGNGNV2P"))*1</f>
        <v>#VALUE!</v>
      </c>
      <c r="B2607" s="1">
        <v>6961049</v>
      </c>
      <c r="C2607" t="s">
        <v>831</v>
      </c>
      <c r="D2607" t="s">
        <v>2774</v>
      </c>
      <c r="E2607" t="s">
        <v>8</v>
      </c>
    </row>
    <row r="2608" spans="1:5" hidden="1" outlineLevel="2">
      <c r="A2608" s="3" t="e">
        <f>(HYPERLINK("http://www.autodoc.ru/Web/price/art/3550AGNHV1P?analog=on","3550AGNHV1P"))*1</f>
        <v>#VALUE!</v>
      </c>
      <c r="B2608" s="1">
        <v>6963261</v>
      </c>
      <c r="C2608" t="s">
        <v>2768</v>
      </c>
      <c r="D2608" t="s">
        <v>2775</v>
      </c>
      <c r="E2608" t="s">
        <v>8</v>
      </c>
    </row>
    <row r="2609" spans="1:5" hidden="1" outlineLevel="2">
      <c r="A2609" s="3" t="e">
        <f>(HYPERLINK("http://www.autodoc.ru/Web/price/art/3550AGNHV2P?analog=on","3550AGNHV2P"))*1</f>
        <v>#VALUE!</v>
      </c>
      <c r="B2609" s="1">
        <v>6962371</v>
      </c>
      <c r="C2609" t="s">
        <v>831</v>
      </c>
      <c r="D2609" t="s">
        <v>2776</v>
      </c>
      <c r="E2609" t="s">
        <v>8</v>
      </c>
    </row>
    <row r="2610" spans="1:5" hidden="1" outlineLevel="2">
      <c r="A2610" s="3" t="e">
        <f>(HYPERLINK("http://www.autodoc.ru/Web/price/art/3550AGNV2P?analog=on","3550AGNV2P"))*1</f>
        <v>#VALUE!</v>
      </c>
      <c r="B2610" s="1">
        <v>6960931</v>
      </c>
      <c r="C2610" t="s">
        <v>831</v>
      </c>
      <c r="D2610" t="s">
        <v>2777</v>
      </c>
      <c r="E2610" t="s">
        <v>8</v>
      </c>
    </row>
    <row r="2611" spans="1:5" hidden="1" outlineLevel="2">
      <c r="A2611" s="3" t="e">
        <f>(HYPERLINK("http://www.autodoc.ru/Web/price/art/3550AGNVW2P?analog=on","3550AGNVW2P"))*1</f>
        <v>#VALUE!</v>
      </c>
      <c r="B2611" s="1">
        <v>6961904</v>
      </c>
      <c r="C2611" t="s">
        <v>879</v>
      </c>
      <c r="D2611" t="s">
        <v>2778</v>
      </c>
      <c r="E2611" t="s">
        <v>8</v>
      </c>
    </row>
    <row r="2612" spans="1:5" hidden="1" outlineLevel="2">
      <c r="A2612" s="3" t="e">
        <f>(HYPERLINK("http://www.autodoc.ru/Web/price/art/3550ASMVT?analog=on","3550ASMVT"))*1</f>
        <v>#VALUE!</v>
      </c>
      <c r="B2612" s="1">
        <v>6100069</v>
      </c>
      <c r="C2612" t="s">
        <v>19</v>
      </c>
      <c r="D2612" t="s">
        <v>2779</v>
      </c>
      <c r="E2612" t="s">
        <v>21</v>
      </c>
    </row>
    <row r="2613" spans="1:5" hidden="1" outlineLevel="2">
      <c r="A2613" s="3" t="e">
        <f>(HYPERLINK("http://www.autodoc.ru/Web/price/art/3550BGNV?analog=on","3550BGNV"))*1</f>
        <v>#VALUE!</v>
      </c>
      <c r="B2613" s="1">
        <v>6998644</v>
      </c>
      <c r="C2613" t="s">
        <v>2768</v>
      </c>
      <c r="D2613" t="s">
        <v>2780</v>
      </c>
      <c r="E2613" t="s">
        <v>23</v>
      </c>
    </row>
    <row r="2614" spans="1:5" hidden="1" outlineLevel="2">
      <c r="A2614" s="3" t="e">
        <f>(HYPERLINK("http://www.autodoc.ru/Web/price/art/3550BGNVB?analog=on","3550BGNVB"))*1</f>
        <v>#VALUE!</v>
      </c>
      <c r="B2614" s="1">
        <v>6998748</v>
      </c>
      <c r="C2614" t="s">
        <v>2768</v>
      </c>
      <c r="D2614" t="s">
        <v>2781</v>
      </c>
      <c r="E2614" t="s">
        <v>23</v>
      </c>
    </row>
    <row r="2615" spans="1:5" hidden="1" outlineLevel="2">
      <c r="A2615" s="3" t="e">
        <f>(HYPERLINK("http://www.autodoc.ru/Web/price/art/3550BGSVZ2N?analog=on","3550BGSVZ2N"))*1</f>
        <v>#VALUE!</v>
      </c>
      <c r="B2615" s="1">
        <v>6900360</v>
      </c>
      <c r="C2615" t="s">
        <v>831</v>
      </c>
      <c r="D2615" t="s">
        <v>2782</v>
      </c>
      <c r="E2615" t="s">
        <v>23</v>
      </c>
    </row>
    <row r="2616" spans="1:5" hidden="1" outlineLevel="2">
      <c r="A2616" s="3" t="e">
        <f>(HYPERLINK("http://www.autodoc.ru/Web/price/art/3550BSMV?analog=on","3550BSMV"))*1</f>
        <v>#VALUE!</v>
      </c>
      <c r="B2616" s="1">
        <v>6101117</v>
      </c>
      <c r="C2616" t="s">
        <v>19</v>
      </c>
      <c r="D2616" t="s">
        <v>2783</v>
      </c>
      <c r="E2616" t="s">
        <v>21</v>
      </c>
    </row>
    <row r="2617" spans="1:5" hidden="1" outlineLevel="2">
      <c r="A2617" s="3" t="e">
        <f>(HYPERLINK("http://www.autodoc.ru/Web/price/art/3550LGNV5FD?analog=on","3550LGNV5FD"))*1</f>
        <v>#VALUE!</v>
      </c>
      <c r="B2617" s="1">
        <v>6995538</v>
      </c>
      <c r="C2617" t="s">
        <v>2768</v>
      </c>
      <c r="D2617" t="s">
        <v>2784</v>
      </c>
      <c r="E2617" t="s">
        <v>10</v>
      </c>
    </row>
    <row r="2618" spans="1:5" hidden="1" outlineLevel="2">
      <c r="A2618" s="3" t="e">
        <f>(HYPERLINK("http://www.autodoc.ru/Web/price/art/3550LGNV5RD?analog=on","3550LGNV5RD"))*1</f>
        <v>#VALUE!</v>
      </c>
      <c r="B2618" s="1">
        <v>6994152</v>
      </c>
      <c r="C2618" t="s">
        <v>2768</v>
      </c>
      <c r="D2618" t="s">
        <v>2785</v>
      </c>
      <c r="E2618" t="s">
        <v>10</v>
      </c>
    </row>
    <row r="2619" spans="1:5" hidden="1" outlineLevel="2">
      <c r="A2619" s="3" t="e">
        <f>(HYPERLINK("http://www.autodoc.ru/Web/price/art/3550RGNV5FD?analog=on","3550RGNV5FD"))*1</f>
        <v>#VALUE!</v>
      </c>
      <c r="B2619" s="1">
        <v>6995539</v>
      </c>
      <c r="C2619" t="s">
        <v>2768</v>
      </c>
      <c r="D2619" t="s">
        <v>2786</v>
      </c>
      <c r="E2619" t="s">
        <v>10</v>
      </c>
    </row>
    <row r="2620" spans="1:5" hidden="1" outlineLevel="2">
      <c r="A2620" s="3" t="e">
        <f>(HYPERLINK("http://www.autodoc.ru/Web/price/art/3550RGNV5RD?analog=on","3550RGNV5RD"))*1</f>
        <v>#VALUE!</v>
      </c>
      <c r="B2620" s="1">
        <v>6994157</v>
      </c>
      <c r="C2620" t="s">
        <v>2768</v>
      </c>
      <c r="D2620" t="s">
        <v>2787</v>
      </c>
      <c r="E2620" t="s">
        <v>10</v>
      </c>
    </row>
    <row r="2621" spans="1:5" hidden="1" outlineLevel="1">
      <c r="A2621" s="2">
        <v>0</v>
      </c>
      <c r="B2621" s="26" t="s">
        <v>2788</v>
      </c>
      <c r="C2621" s="27">
        <v>0</v>
      </c>
      <c r="D2621" s="27">
        <v>0</v>
      </c>
      <c r="E2621" s="27">
        <v>0</v>
      </c>
    </row>
    <row r="2622" spans="1:5" hidden="1" outlineLevel="2">
      <c r="A2622" s="3" t="e">
        <f>(HYPERLINK("http://www.autodoc.ru/Web/price/art/3567AGSHMVW1P?analog=on","3567AGSHMVW1P"))*1</f>
        <v>#VALUE!</v>
      </c>
      <c r="B2622" s="1">
        <v>6962259</v>
      </c>
      <c r="C2622" t="s">
        <v>389</v>
      </c>
      <c r="D2622" t="s">
        <v>2789</v>
      </c>
      <c r="E2622" t="s">
        <v>8</v>
      </c>
    </row>
    <row r="2623" spans="1:5" hidden="1" outlineLevel="2">
      <c r="A2623" s="3" t="e">
        <f>(HYPERLINK("http://www.autodoc.ru/Web/price/art/3567AGSHVW?analog=on","3567AGSHVW"))*1</f>
        <v>#VALUE!</v>
      </c>
      <c r="B2623" s="1">
        <v>6962260</v>
      </c>
      <c r="C2623" t="s">
        <v>389</v>
      </c>
      <c r="D2623" t="s">
        <v>2790</v>
      </c>
      <c r="E2623" t="s">
        <v>8</v>
      </c>
    </row>
    <row r="2624" spans="1:5" hidden="1" outlineLevel="2">
      <c r="A2624" s="3" t="e">
        <f>(HYPERLINK("http://www.autodoc.ru/Web/price/art/3567AGSMVW1P?analog=on","3567AGSMVW1P"))*1</f>
        <v>#VALUE!</v>
      </c>
      <c r="B2624" s="1">
        <v>6961779</v>
      </c>
      <c r="C2624" t="s">
        <v>389</v>
      </c>
      <c r="D2624" t="s">
        <v>2791</v>
      </c>
      <c r="E2624" t="s">
        <v>8</v>
      </c>
    </row>
    <row r="2625" spans="1:5" hidden="1" outlineLevel="2">
      <c r="A2625" s="3" t="e">
        <f>(HYPERLINK("http://www.autodoc.ru/Web/price/art/3567AGSVW?analog=on","3567AGSVW"))*1</f>
        <v>#VALUE!</v>
      </c>
      <c r="B2625" s="1">
        <v>6961778</v>
      </c>
      <c r="C2625" t="s">
        <v>389</v>
      </c>
      <c r="D2625" t="s">
        <v>2792</v>
      </c>
      <c r="E2625" t="s">
        <v>8</v>
      </c>
    </row>
    <row r="2626" spans="1:5" hidden="1" outlineLevel="2">
      <c r="A2626" s="3" t="e">
        <f>(HYPERLINK("http://www.autodoc.ru/Web/price/art/3567BGSMW?analog=on","3567BGSMW"))*1</f>
        <v>#VALUE!</v>
      </c>
      <c r="B2626" s="1">
        <v>6900817</v>
      </c>
      <c r="C2626" t="s">
        <v>389</v>
      </c>
      <c r="D2626" t="s">
        <v>2793</v>
      </c>
      <c r="E2626" t="s">
        <v>23</v>
      </c>
    </row>
    <row r="2627" spans="1:5" hidden="1" outlineLevel="2">
      <c r="A2627" s="3" t="e">
        <f>(HYPERLINK("http://www.autodoc.ru/Web/price/art/3567LGSM5FD1M?analog=on","3567LGSM5FD1M"))*1</f>
        <v>#VALUE!</v>
      </c>
      <c r="B2627" s="1">
        <v>6900683</v>
      </c>
      <c r="C2627" t="s">
        <v>389</v>
      </c>
      <c r="D2627" t="s">
        <v>2794</v>
      </c>
      <c r="E2627" t="s">
        <v>10</v>
      </c>
    </row>
    <row r="2628" spans="1:5" hidden="1" outlineLevel="2">
      <c r="A2628" s="3" t="e">
        <f>(HYPERLINK("http://www.autodoc.ru/Web/price/art/3567LGSM5RD?analog=on","3567LGSM5RD"))*1</f>
        <v>#VALUE!</v>
      </c>
      <c r="B2628" s="1">
        <v>6900685</v>
      </c>
      <c r="C2628" t="s">
        <v>389</v>
      </c>
      <c r="D2628" t="s">
        <v>2795</v>
      </c>
      <c r="E2628" t="s">
        <v>10</v>
      </c>
    </row>
    <row r="2629" spans="1:5" hidden="1" outlineLevel="2">
      <c r="A2629" s="3" t="e">
        <f>(HYPERLINK("http://www.autodoc.ru/Web/price/art/3567RGSM5RD?analog=on","3567RGSM5RD"))*1</f>
        <v>#VALUE!</v>
      </c>
      <c r="B2629" s="1">
        <v>6900686</v>
      </c>
      <c r="C2629" t="s">
        <v>389</v>
      </c>
      <c r="D2629" t="s">
        <v>2796</v>
      </c>
      <c r="E2629" t="s">
        <v>10</v>
      </c>
    </row>
    <row r="2630" spans="1:5" hidden="1" outlineLevel="1">
      <c r="A2630" s="2">
        <v>0</v>
      </c>
      <c r="B2630" s="26" t="s">
        <v>2797</v>
      </c>
      <c r="C2630" s="27">
        <v>0</v>
      </c>
      <c r="D2630" s="27">
        <v>0</v>
      </c>
      <c r="E2630" s="27">
        <v>0</v>
      </c>
    </row>
    <row r="2631" spans="1:5" hidden="1" outlineLevel="2">
      <c r="A2631" s="3" t="e">
        <f>(HYPERLINK("http://www.autodoc.ru/Web/price/art/3554AGN1B?analog=on","3554AGN1B"))*1</f>
        <v>#VALUE!</v>
      </c>
      <c r="B2631" s="1">
        <v>6968132</v>
      </c>
      <c r="C2631" t="s">
        <v>1230</v>
      </c>
      <c r="D2631" t="s">
        <v>2798</v>
      </c>
      <c r="E2631" t="s">
        <v>8</v>
      </c>
    </row>
    <row r="2632" spans="1:5" hidden="1" outlineLevel="2">
      <c r="A2632" s="3" t="e">
        <f>(HYPERLINK("http://www.autodoc.ru/Web/price/art/3554AGNBL1B?analog=on","3554AGNBL1B"))*1</f>
        <v>#VALUE!</v>
      </c>
      <c r="B2632" s="1">
        <v>6961040</v>
      </c>
      <c r="C2632" t="s">
        <v>1230</v>
      </c>
      <c r="D2632" t="s">
        <v>2799</v>
      </c>
      <c r="E2632" t="s">
        <v>8</v>
      </c>
    </row>
    <row r="2633" spans="1:5" hidden="1" outlineLevel="2">
      <c r="A2633" s="3" t="e">
        <f>(HYPERLINK("http://www.autodoc.ru/Web/price/art/3554AGNGN1B?analog=on","3554AGNGN1B"))*1</f>
        <v>#VALUE!</v>
      </c>
      <c r="B2633" s="1">
        <v>6961041</v>
      </c>
      <c r="C2633" t="s">
        <v>1230</v>
      </c>
      <c r="D2633" t="s">
        <v>2800</v>
      </c>
      <c r="E2633" t="s">
        <v>8</v>
      </c>
    </row>
    <row r="2634" spans="1:5" hidden="1" outlineLevel="2">
      <c r="A2634" s="3" t="e">
        <f>(HYPERLINK("http://www.autodoc.ru/Web/price/art/3554ASMH?analog=on","3554ASMH"))*1</f>
        <v>#VALUE!</v>
      </c>
      <c r="B2634" s="1">
        <v>6100071</v>
      </c>
      <c r="C2634" t="s">
        <v>19</v>
      </c>
      <c r="D2634" t="s">
        <v>2801</v>
      </c>
      <c r="E2634" t="s">
        <v>21</v>
      </c>
    </row>
    <row r="2635" spans="1:5" hidden="1" outlineLevel="2">
      <c r="A2635" s="3" t="e">
        <f>(HYPERLINK("http://www.autodoc.ru/Web/price/art/3554BGNH?analog=on","3554BGNH"))*1</f>
        <v>#VALUE!</v>
      </c>
      <c r="B2635" s="1">
        <v>6998749</v>
      </c>
      <c r="C2635" t="s">
        <v>1230</v>
      </c>
      <c r="D2635" t="s">
        <v>2802</v>
      </c>
      <c r="E2635" t="s">
        <v>23</v>
      </c>
    </row>
    <row r="2636" spans="1:5" hidden="1" outlineLevel="2">
      <c r="A2636" s="3" t="e">
        <f>(HYPERLINK("http://www.autodoc.ru/Web/price/art/3554BGNHB?analog=on","3554BGNHB"))*1</f>
        <v>#VALUE!</v>
      </c>
      <c r="B2636" s="1">
        <v>6998750</v>
      </c>
      <c r="C2636" t="s">
        <v>1230</v>
      </c>
      <c r="D2636" t="s">
        <v>2803</v>
      </c>
      <c r="E2636" t="s">
        <v>23</v>
      </c>
    </row>
    <row r="2637" spans="1:5" hidden="1" outlineLevel="2">
      <c r="A2637" s="3" t="e">
        <f>(HYPERLINK("http://www.autodoc.ru/Web/price/art/3554LGNH3FDW?analog=on","3554LGNH3FDW"))*1</f>
        <v>#VALUE!</v>
      </c>
      <c r="B2637" s="1">
        <v>6994424</v>
      </c>
      <c r="C2637" t="s">
        <v>1230</v>
      </c>
      <c r="D2637" t="s">
        <v>2804</v>
      </c>
      <c r="E2637" t="s">
        <v>10</v>
      </c>
    </row>
    <row r="2638" spans="1:5" hidden="1" outlineLevel="2">
      <c r="A2638" s="3" t="e">
        <f>(HYPERLINK("http://www.autodoc.ru/Web/price/art/3554LGNH3RQOW?analog=on","3554LGNH3RQOW"))*1</f>
        <v>#VALUE!</v>
      </c>
      <c r="B2638" s="1">
        <v>6994425</v>
      </c>
      <c r="C2638" t="s">
        <v>1230</v>
      </c>
      <c r="D2638" t="s">
        <v>2805</v>
      </c>
      <c r="E2638" t="s">
        <v>10</v>
      </c>
    </row>
    <row r="2639" spans="1:5" hidden="1" outlineLevel="2">
      <c r="A2639" s="3" t="e">
        <f>(HYPERLINK("http://www.autodoc.ru/Web/price/art/3554RGNH3FDW?analog=on","3554RGNH3FDW"))*1</f>
        <v>#VALUE!</v>
      </c>
      <c r="B2639" s="1">
        <v>6994426</v>
      </c>
      <c r="C2639" t="s">
        <v>1230</v>
      </c>
      <c r="D2639" t="s">
        <v>2806</v>
      </c>
      <c r="E2639" t="s">
        <v>10</v>
      </c>
    </row>
    <row r="2640" spans="1:5" hidden="1" outlineLevel="2">
      <c r="A2640" s="3" t="e">
        <f>(HYPERLINK("http://www.autodoc.ru/Web/price/art/3554RGNH3RQOW?analog=on","3554RGNH3RQOW"))*1</f>
        <v>#VALUE!</v>
      </c>
      <c r="B2640" s="1">
        <v>6994427</v>
      </c>
      <c r="C2640" t="s">
        <v>1230</v>
      </c>
      <c r="D2640" t="s">
        <v>2807</v>
      </c>
      <c r="E2640" t="s">
        <v>10</v>
      </c>
    </row>
    <row r="2641" spans="1:5" hidden="1" outlineLevel="1">
      <c r="A2641" s="2">
        <v>0</v>
      </c>
      <c r="B2641" s="26" t="s">
        <v>2808</v>
      </c>
      <c r="C2641" s="27">
        <v>0</v>
      </c>
      <c r="D2641" s="27">
        <v>0</v>
      </c>
      <c r="E2641" s="27">
        <v>0</v>
      </c>
    </row>
    <row r="2642" spans="1:5" hidden="1" outlineLevel="2">
      <c r="A2642" s="3" t="e">
        <f>(HYPERLINK("http://www.autodoc.ru/Web/price/art/3561AGSHW?analog=on","3561AGSHW"))*1</f>
        <v>#VALUE!</v>
      </c>
      <c r="B2642" s="1">
        <v>6960536</v>
      </c>
      <c r="C2642" t="s">
        <v>1053</v>
      </c>
      <c r="D2642" t="s">
        <v>2809</v>
      </c>
      <c r="E2642" t="s">
        <v>8</v>
      </c>
    </row>
    <row r="2643" spans="1:5" hidden="1" outlineLevel="2">
      <c r="A2643" s="3" t="e">
        <f>(HYPERLINK("http://www.autodoc.ru/Web/price/art/3561AGSW?analog=on","3561AGSW"))*1</f>
        <v>#VALUE!</v>
      </c>
      <c r="B2643" s="1">
        <v>6960430</v>
      </c>
      <c r="C2643" t="s">
        <v>782</v>
      </c>
      <c r="D2643" t="s">
        <v>2810</v>
      </c>
      <c r="E2643" t="s">
        <v>8</v>
      </c>
    </row>
    <row r="2644" spans="1:5" hidden="1" outlineLevel="2">
      <c r="A2644" s="3" t="e">
        <f>(HYPERLINK("http://www.autodoc.ru/Web/price/art/3561LGST2FD?analog=on","3561LGST2FD"))*1</f>
        <v>#VALUE!</v>
      </c>
      <c r="B2644" s="1">
        <v>6991764</v>
      </c>
      <c r="C2644" t="s">
        <v>782</v>
      </c>
      <c r="D2644" t="s">
        <v>2811</v>
      </c>
      <c r="E2644" t="s">
        <v>10</v>
      </c>
    </row>
    <row r="2645" spans="1:5" hidden="1" outlineLevel="2">
      <c r="A2645" s="3" t="e">
        <f>(HYPERLINK("http://www.autodoc.ru/Web/price/art/3561RGST2FD?analog=on","3561RGST2FD"))*1</f>
        <v>#VALUE!</v>
      </c>
      <c r="B2645" s="1">
        <v>6991766</v>
      </c>
      <c r="C2645" t="s">
        <v>782</v>
      </c>
      <c r="D2645" t="s">
        <v>2812</v>
      </c>
      <c r="E2645" t="s">
        <v>10</v>
      </c>
    </row>
    <row r="2646" spans="1:5" hidden="1" outlineLevel="1">
      <c r="A2646" s="2">
        <v>0</v>
      </c>
      <c r="B2646" s="26" t="s">
        <v>2813</v>
      </c>
      <c r="C2646" s="27">
        <v>0</v>
      </c>
      <c r="D2646" s="27">
        <v>0</v>
      </c>
      <c r="E2646" s="27">
        <v>0</v>
      </c>
    </row>
    <row r="2647" spans="1:5" hidden="1" outlineLevel="2">
      <c r="A2647" s="3" t="e">
        <f>(HYPERLINK("http://www.autodoc.ru/Web/price/art/3575AGSHVZ?analog=on","3575AGSHVZ"))*1</f>
        <v>#VALUE!</v>
      </c>
      <c r="B2647" s="1">
        <v>6963199</v>
      </c>
      <c r="C2647" t="s">
        <v>366</v>
      </c>
      <c r="D2647" t="s">
        <v>2814</v>
      </c>
      <c r="E2647" t="s">
        <v>8</v>
      </c>
    </row>
    <row r="2648" spans="1:5" hidden="1" outlineLevel="2">
      <c r="A2648" s="3" t="e">
        <f>(HYPERLINK("http://www.autodoc.ru/Web/price/art/3575AGSVZ?analog=on","3575AGSVZ"))*1</f>
        <v>#VALUE!</v>
      </c>
      <c r="B2648" s="1">
        <v>6964002</v>
      </c>
      <c r="C2648" t="s">
        <v>366</v>
      </c>
      <c r="D2648" t="s">
        <v>2815</v>
      </c>
      <c r="E2648" t="s">
        <v>8</v>
      </c>
    </row>
    <row r="2649" spans="1:5" hidden="1" outlineLevel="1">
      <c r="A2649" s="2">
        <v>0</v>
      </c>
      <c r="B2649" s="26" t="s">
        <v>2816</v>
      </c>
      <c r="C2649" s="27">
        <v>0</v>
      </c>
      <c r="D2649" s="27">
        <v>0</v>
      </c>
      <c r="E2649" s="27">
        <v>0</v>
      </c>
    </row>
    <row r="2650" spans="1:5" hidden="1" outlineLevel="2">
      <c r="A2650" s="3" t="e">
        <f>(HYPERLINK("http://www.autodoc.ru/Web/price/art/3574AGNVW?analog=on","3574AGNVW"))*1</f>
        <v>#VALUE!</v>
      </c>
      <c r="B2650" s="1">
        <v>6963154</v>
      </c>
      <c r="C2650" t="s">
        <v>366</v>
      </c>
      <c r="D2650" t="s">
        <v>2817</v>
      </c>
      <c r="E2650" t="s">
        <v>8</v>
      </c>
    </row>
    <row r="2651" spans="1:5" hidden="1" outlineLevel="2">
      <c r="A2651" s="3" t="e">
        <f>(HYPERLINK("http://www.autodoc.ru/Web/price/art/3574ABSHMVW1P?analog=on","3574ABSHMVW1P"))*1</f>
        <v>#VALUE!</v>
      </c>
      <c r="B2651" s="1">
        <v>6963152</v>
      </c>
      <c r="C2651" t="s">
        <v>366</v>
      </c>
      <c r="D2651" t="s">
        <v>2818</v>
      </c>
      <c r="E2651" t="s">
        <v>8</v>
      </c>
    </row>
    <row r="2652" spans="1:5" hidden="1" outlineLevel="2">
      <c r="A2652" s="3" t="e">
        <f>(HYPERLINK("http://www.autodoc.ru/Web/price/art/3574AGNHVW?analog=on","3574AGNHVW"))*1</f>
        <v>#VALUE!</v>
      </c>
      <c r="B2652" s="1">
        <v>6963155</v>
      </c>
      <c r="C2652" t="s">
        <v>366</v>
      </c>
      <c r="D2652" t="s">
        <v>2819</v>
      </c>
      <c r="E2652" t="s">
        <v>8</v>
      </c>
    </row>
    <row r="2653" spans="1:5" hidden="1" outlineLevel="2">
      <c r="A2653" s="3" t="e">
        <f>(HYPERLINK("http://www.autodoc.ru/Web/price/art/3574AGNHMVW1P?analog=on","3574AGNHMVW1P"))*1</f>
        <v>#VALUE!</v>
      </c>
      <c r="B2653" s="1">
        <v>6963156</v>
      </c>
      <c r="C2653" t="s">
        <v>366</v>
      </c>
      <c r="D2653" t="s">
        <v>2820</v>
      </c>
      <c r="E2653" t="s">
        <v>8</v>
      </c>
    </row>
    <row r="2654" spans="1:5" hidden="1" outlineLevel="2">
      <c r="A2654" s="3" t="e">
        <f>(HYPERLINK("http://www.autodoc.ru/Web/price/art/3574BGSR?analog=on","3574BGSR"))*1</f>
        <v>#VALUE!</v>
      </c>
      <c r="B2654" s="1">
        <v>6902822</v>
      </c>
      <c r="C2654" t="s">
        <v>366</v>
      </c>
      <c r="D2654" t="s">
        <v>2821</v>
      </c>
      <c r="E2654" t="s">
        <v>23</v>
      </c>
    </row>
    <row r="2655" spans="1:5" hidden="1" outlineLevel="2">
      <c r="A2655" s="3" t="e">
        <f>(HYPERLINK("http://www.autodoc.ru/Web/price/art/3574LGSR5FD1M?analog=on","3574LGSR5FD1M"))*1</f>
        <v>#VALUE!</v>
      </c>
      <c r="B2655" s="1">
        <v>6900818</v>
      </c>
      <c r="C2655" t="s">
        <v>366</v>
      </c>
      <c r="D2655" t="s">
        <v>2822</v>
      </c>
      <c r="E2655" t="s">
        <v>10</v>
      </c>
    </row>
    <row r="2656" spans="1:5" hidden="1" outlineLevel="2">
      <c r="A2656" s="3" t="e">
        <f>(HYPERLINK("http://www.autodoc.ru/Web/price/art/3574LGSR5RD?analog=on","3574LGSR5RD"))*1</f>
        <v>#VALUE!</v>
      </c>
      <c r="B2656" s="1">
        <v>6900820</v>
      </c>
      <c r="C2656" t="s">
        <v>366</v>
      </c>
      <c r="D2656" t="s">
        <v>2823</v>
      </c>
      <c r="E2656" t="s">
        <v>10</v>
      </c>
    </row>
    <row r="2657" spans="1:5" hidden="1" outlineLevel="2">
      <c r="A2657" s="3" t="e">
        <f>(HYPERLINK("http://www.autodoc.ru/Web/price/art/3574LYPR5RD?analog=on","3574LYPR5RD"))*1</f>
        <v>#VALUE!</v>
      </c>
      <c r="B2657" s="1">
        <v>6900821</v>
      </c>
      <c r="C2657" t="s">
        <v>366</v>
      </c>
      <c r="D2657" t="s">
        <v>2824</v>
      </c>
      <c r="E2657" t="s">
        <v>10</v>
      </c>
    </row>
    <row r="2658" spans="1:5" hidden="1" outlineLevel="2">
      <c r="A2658" s="3" t="e">
        <f>(HYPERLINK("http://www.autodoc.ru/Web/price/art/3574RGSR5FD1M?analog=on","3574RGSR5FD1M"))*1</f>
        <v>#VALUE!</v>
      </c>
      <c r="B2658" s="1">
        <v>6900819</v>
      </c>
      <c r="C2658" t="s">
        <v>366</v>
      </c>
      <c r="D2658" t="s">
        <v>2825</v>
      </c>
      <c r="E2658" t="s">
        <v>10</v>
      </c>
    </row>
    <row r="2659" spans="1:5" hidden="1" outlineLevel="2">
      <c r="A2659" s="3" t="e">
        <f>(HYPERLINK("http://www.autodoc.ru/Web/price/art/3574RGSR5RD?analog=on","3574RGSR5RD"))*1</f>
        <v>#VALUE!</v>
      </c>
      <c r="B2659" s="1">
        <v>6900822</v>
      </c>
      <c r="C2659" t="s">
        <v>366</v>
      </c>
      <c r="D2659" t="s">
        <v>2826</v>
      </c>
      <c r="E2659" t="s">
        <v>10</v>
      </c>
    </row>
    <row r="2660" spans="1:5" hidden="1" outlineLevel="2">
      <c r="A2660" s="3" t="e">
        <f>(HYPERLINK("http://www.autodoc.ru/Web/price/art/3574RYPR5RD?analog=on","3574RYPR5RD"))*1</f>
        <v>#VALUE!</v>
      </c>
      <c r="B2660" s="1">
        <v>6900823</v>
      </c>
      <c r="C2660" t="s">
        <v>366</v>
      </c>
      <c r="D2660" t="s">
        <v>2827</v>
      </c>
      <c r="E2660" t="s">
        <v>10</v>
      </c>
    </row>
    <row r="2661" spans="1:5" hidden="1" outlineLevel="1">
      <c r="A2661" s="2">
        <v>0</v>
      </c>
      <c r="B2661" s="26" t="s">
        <v>2828</v>
      </c>
      <c r="C2661" s="27">
        <v>0</v>
      </c>
      <c r="D2661" s="27">
        <v>0</v>
      </c>
      <c r="E2661" s="27">
        <v>0</v>
      </c>
    </row>
    <row r="2662" spans="1:5" hidden="1" outlineLevel="2">
      <c r="A2662" s="3" t="e">
        <f>(HYPERLINK("http://www.autodoc.ru/Web/price/art/3547AGN?analog=on","3547AGN"))*1</f>
        <v>#VALUE!</v>
      </c>
      <c r="B2662" s="1">
        <v>6190132</v>
      </c>
      <c r="C2662" t="s">
        <v>1125</v>
      </c>
      <c r="D2662" t="s">
        <v>2829</v>
      </c>
      <c r="E2662" t="s">
        <v>8</v>
      </c>
    </row>
    <row r="2663" spans="1:5" hidden="1" outlineLevel="2">
      <c r="A2663" s="3" t="e">
        <f>(HYPERLINK("http://www.autodoc.ru/Web/price/art/3547AGN1B?analog=on","3547AGN1B"))*1</f>
        <v>#VALUE!</v>
      </c>
      <c r="B2663" s="1">
        <v>6190868</v>
      </c>
      <c r="C2663" t="s">
        <v>1125</v>
      </c>
      <c r="D2663" t="s">
        <v>2830</v>
      </c>
      <c r="E2663" t="s">
        <v>8</v>
      </c>
    </row>
    <row r="2664" spans="1:5" hidden="1" outlineLevel="2">
      <c r="A2664" s="3" t="e">
        <f>(HYPERLINK("http://www.autodoc.ru/Web/price/art/3547AGNBL?analog=on","3547AGNBL"))*1</f>
        <v>#VALUE!</v>
      </c>
      <c r="B2664" s="1">
        <v>6190133</v>
      </c>
      <c r="C2664" t="s">
        <v>1125</v>
      </c>
      <c r="D2664" t="s">
        <v>2831</v>
      </c>
      <c r="E2664" t="s">
        <v>8</v>
      </c>
    </row>
    <row r="2665" spans="1:5" hidden="1" outlineLevel="2">
      <c r="A2665" s="3" t="e">
        <f>(HYPERLINK("http://www.autodoc.ru/Web/price/art/3547AGNBL1B?analog=on","3547AGNBL1B"))*1</f>
        <v>#VALUE!</v>
      </c>
      <c r="B2665" s="1">
        <v>6190869</v>
      </c>
      <c r="C2665" t="s">
        <v>1125</v>
      </c>
      <c r="D2665" t="s">
        <v>2832</v>
      </c>
      <c r="E2665" t="s">
        <v>8</v>
      </c>
    </row>
    <row r="2666" spans="1:5" hidden="1" outlineLevel="2">
      <c r="A2666" s="3" t="e">
        <f>(HYPERLINK("http://www.autodoc.ru/Web/price/art/3547LGNR3FDW?analog=on","3547LGNR3FDW"))*1</f>
        <v>#VALUE!</v>
      </c>
      <c r="B2666" s="1">
        <v>6992937</v>
      </c>
      <c r="C2666" t="s">
        <v>1125</v>
      </c>
      <c r="D2666" t="s">
        <v>2833</v>
      </c>
      <c r="E2666" t="s">
        <v>10</v>
      </c>
    </row>
    <row r="2667" spans="1:5" hidden="1" outlineLevel="2">
      <c r="A2667" s="3" t="e">
        <f>(HYPERLINK("http://www.autodoc.ru/Web/price/art/3547LGNR5RDW?analog=on","3547LGNR5RDW"))*1</f>
        <v>#VALUE!</v>
      </c>
      <c r="B2667" s="1">
        <v>6992939</v>
      </c>
      <c r="C2667" t="s">
        <v>1125</v>
      </c>
      <c r="D2667" t="s">
        <v>2834</v>
      </c>
      <c r="E2667" t="s">
        <v>10</v>
      </c>
    </row>
    <row r="2668" spans="1:5" hidden="1" outlineLevel="2">
      <c r="A2668" s="3" t="e">
        <f>(HYPERLINK("http://www.autodoc.ru/Web/price/art/3547RGNR3FDW?analog=on","3547RGNR3FDW"))*1</f>
        <v>#VALUE!</v>
      </c>
      <c r="B2668" s="1">
        <v>6992938</v>
      </c>
      <c r="C2668" t="s">
        <v>1125</v>
      </c>
      <c r="D2668" t="s">
        <v>2835</v>
      </c>
      <c r="E2668" t="s">
        <v>10</v>
      </c>
    </row>
    <row r="2669" spans="1:5" hidden="1" outlineLevel="2">
      <c r="A2669" s="3" t="e">
        <f>(HYPERLINK("http://www.autodoc.ru/Web/price/art/3547RGNR5RDW?analog=on","3547RGNR5RDW"))*1</f>
        <v>#VALUE!</v>
      </c>
      <c r="B2669" s="1">
        <v>6992940</v>
      </c>
      <c r="C2669" t="s">
        <v>1125</v>
      </c>
      <c r="D2669" t="s">
        <v>2836</v>
      </c>
      <c r="E2669" t="s">
        <v>10</v>
      </c>
    </row>
    <row r="2670" spans="1:5" hidden="1" outlineLevel="1">
      <c r="A2670" s="2">
        <v>0</v>
      </c>
      <c r="B2670" s="26" t="s">
        <v>2837</v>
      </c>
      <c r="C2670" s="27">
        <v>0</v>
      </c>
      <c r="D2670" s="27">
        <v>0</v>
      </c>
      <c r="E2670" s="27">
        <v>0</v>
      </c>
    </row>
    <row r="2671" spans="1:5" hidden="1" outlineLevel="2">
      <c r="A2671" s="3" t="e">
        <f>(HYPERLINK("http://www.autodoc.ru/Web/price/art/3558AGSBLVW?analog=on","3558AGSBLVW"))*1</f>
        <v>#VALUE!</v>
      </c>
      <c r="B2671" s="1">
        <v>6190237</v>
      </c>
      <c r="C2671" t="s">
        <v>779</v>
      </c>
      <c r="D2671" t="s">
        <v>2838</v>
      </c>
      <c r="E2671" t="s">
        <v>8</v>
      </c>
    </row>
    <row r="2672" spans="1:5" hidden="1" outlineLevel="2">
      <c r="A2672" s="3" t="e">
        <f>(HYPERLINK("http://www.autodoc.ru/Web/price/art/3558AGSVW?analog=on","3558AGSVW"))*1</f>
        <v>#VALUE!</v>
      </c>
      <c r="B2672" s="1">
        <v>6190913</v>
      </c>
      <c r="C2672" t="s">
        <v>779</v>
      </c>
      <c r="D2672" t="s">
        <v>2839</v>
      </c>
      <c r="E2672" t="s">
        <v>8</v>
      </c>
    </row>
    <row r="2673" spans="1:5" hidden="1" outlineLevel="2">
      <c r="A2673" s="3" t="e">
        <f>(HYPERLINK("http://www.autodoc.ru/Web/price/art/3558ASMR?analog=on","3558ASMR"))*1</f>
        <v>#VALUE!</v>
      </c>
      <c r="B2673" s="1">
        <v>6101569</v>
      </c>
      <c r="C2673" t="s">
        <v>19</v>
      </c>
      <c r="D2673" t="s">
        <v>2840</v>
      </c>
      <c r="E2673" t="s">
        <v>21</v>
      </c>
    </row>
    <row r="2674" spans="1:5" hidden="1" outlineLevel="2">
      <c r="A2674" s="3" t="e">
        <f>(HYPERLINK("http://www.autodoc.ru/Web/price/art/3558BGSR?analog=on","3558BGSR"))*1</f>
        <v>#VALUE!</v>
      </c>
      <c r="B2674" s="1">
        <v>6900503</v>
      </c>
      <c r="C2674" t="s">
        <v>779</v>
      </c>
      <c r="D2674" t="s">
        <v>2841</v>
      </c>
      <c r="E2674" t="s">
        <v>23</v>
      </c>
    </row>
    <row r="2675" spans="1:5" hidden="1" outlineLevel="2">
      <c r="A2675" s="3" t="e">
        <f>(HYPERLINK("http://www.autodoc.ru/Web/price/art/3558RGSR5RD?analog=on","3558RGSR5RD"))*1</f>
        <v>#VALUE!</v>
      </c>
      <c r="B2675" s="1">
        <v>6900220</v>
      </c>
      <c r="C2675" t="s">
        <v>779</v>
      </c>
      <c r="D2675" t="s">
        <v>2842</v>
      </c>
      <c r="E2675" t="s">
        <v>10</v>
      </c>
    </row>
    <row r="2676" spans="1:5" hidden="1" outlineLevel="1">
      <c r="A2676" s="2">
        <v>0</v>
      </c>
      <c r="B2676" s="26" t="s">
        <v>2843</v>
      </c>
      <c r="C2676" s="27">
        <v>0</v>
      </c>
      <c r="D2676" s="27">
        <v>0</v>
      </c>
      <c r="E2676" s="27">
        <v>0</v>
      </c>
    </row>
    <row r="2677" spans="1:5" hidden="1" outlineLevel="2">
      <c r="A2677" s="3" t="e">
        <f>(HYPERLINK("http://www.autodoc.ru/Web/price/art/3546AGNBLHV?analog=on","3546AGNBLHV"))*1</f>
        <v>#VALUE!</v>
      </c>
      <c r="B2677" s="1">
        <v>6963304</v>
      </c>
      <c r="C2677" t="s">
        <v>1573</v>
      </c>
      <c r="D2677" t="s">
        <v>2844</v>
      </c>
      <c r="E2677" t="s">
        <v>8</v>
      </c>
    </row>
    <row r="2678" spans="1:5" hidden="1" outlineLevel="2">
      <c r="A2678" s="3" t="e">
        <f>(HYPERLINK("http://www.autodoc.ru/Web/price/art/3546AGNBLV?analog=on","3546AGNBLV"))*1</f>
        <v>#VALUE!</v>
      </c>
      <c r="B2678" s="1">
        <v>6968110</v>
      </c>
      <c r="C2678" t="s">
        <v>1573</v>
      </c>
      <c r="D2678" t="s">
        <v>2845</v>
      </c>
      <c r="E2678" t="s">
        <v>8</v>
      </c>
    </row>
    <row r="2679" spans="1:5" hidden="1" outlineLevel="2">
      <c r="A2679" s="3" t="e">
        <f>(HYPERLINK("http://www.autodoc.ru/Web/price/art/3546AGNHV1B?analog=on","3546AGNHV1B"))*1</f>
        <v>#VALUE!</v>
      </c>
      <c r="B2679" s="1">
        <v>6963305</v>
      </c>
      <c r="C2679" t="s">
        <v>1573</v>
      </c>
      <c r="D2679" t="s">
        <v>2846</v>
      </c>
      <c r="E2679" t="s">
        <v>8</v>
      </c>
    </row>
    <row r="2680" spans="1:5" hidden="1" outlineLevel="2">
      <c r="A2680" s="3" t="e">
        <f>(HYPERLINK("http://www.autodoc.ru/Web/price/art/3546AGNV?analog=on","3546AGNV"))*1</f>
        <v>#VALUE!</v>
      </c>
      <c r="B2680" s="1">
        <v>6968109</v>
      </c>
      <c r="C2680" t="s">
        <v>1573</v>
      </c>
      <c r="D2680" t="s">
        <v>2847</v>
      </c>
      <c r="E2680" t="s">
        <v>8</v>
      </c>
    </row>
    <row r="2681" spans="1:5" hidden="1" outlineLevel="2">
      <c r="A2681" s="3" t="e">
        <f>(HYPERLINK("http://www.autodoc.ru/Web/price/art/3546ASMHT?analog=on","3546ASMHT"))*1</f>
        <v>#VALUE!</v>
      </c>
      <c r="B2681" s="1">
        <v>6100068</v>
      </c>
      <c r="C2681" t="s">
        <v>19</v>
      </c>
      <c r="D2681" t="s">
        <v>2848</v>
      </c>
      <c r="E2681" t="s">
        <v>21</v>
      </c>
    </row>
    <row r="2682" spans="1:5" hidden="1" outlineLevel="2">
      <c r="A2682" s="3" t="e">
        <f>(HYPERLINK("http://www.autodoc.ru/Web/price/art/3546BGNE?analog=on","3546BGNE"))*1</f>
        <v>#VALUE!</v>
      </c>
      <c r="B2682" s="1">
        <v>6998739</v>
      </c>
      <c r="C2682" t="s">
        <v>1573</v>
      </c>
      <c r="D2682" t="s">
        <v>2849</v>
      </c>
      <c r="E2682" t="s">
        <v>23</v>
      </c>
    </row>
    <row r="2683" spans="1:5" hidden="1" outlineLevel="2">
      <c r="A2683" s="3" t="e">
        <f>(HYPERLINK("http://www.autodoc.ru/Web/price/art/3546BGNEB1B?analog=on","3546BGNEB1B"))*1</f>
        <v>#VALUE!</v>
      </c>
      <c r="B2683" s="1">
        <v>6998740</v>
      </c>
      <c r="C2683" t="s">
        <v>1173</v>
      </c>
      <c r="D2683" t="s">
        <v>2850</v>
      </c>
      <c r="E2683" t="s">
        <v>23</v>
      </c>
    </row>
    <row r="2684" spans="1:5" hidden="1" outlineLevel="2">
      <c r="A2684" s="3" t="e">
        <f>(HYPERLINK("http://www.autodoc.ru/Web/price/art/3546BGNEBX1B?analog=on","3546BGNEBX1B"))*1</f>
        <v>#VALUE!</v>
      </c>
      <c r="B2684" s="1">
        <v>6998741</v>
      </c>
      <c r="C2684" t="s">
        <v>1173</v>
      </c>
      <c r="D2684" t="s">
        <v>2851</v>
      </c>
      <c r="E2684" t="s">
        <v>23</v>
      </c>
    </row>
    <row r="2685" spans="1:5" hidden="1" outlineLevel="2">
      <c r="A2685" s="3" t="e">
        <f>(HYPERLINK("http://www.autodoc.ru/Web/price/art/3546BGNEX?analog=on","3546BGNEX"))*1</f>
        <v>#VALUE!</v>
      </c>
      <c r="B2685" s="1">
        <v>6998742</v>
      </c>
      <c r="C2685" t="s">
        <v>1883</v>
      </c>
      <c r="D2685" t="s">
        <v>2852</v>
      </c>
      <c r="E2685" t="s">
        <v>23</v>
      </c>
    </row>
    <row r="2686" spans="1:5" hidden="1" outlineLevel="2">
      <c r="A2686" s="3" t="e">
        <f>(HYPERLINK("http://www.autodoc.ru/Web/price/art/3546BGNS?analog=on","3546BGNS"))*1</f>
        <v>#VALUE!</v>
      </c>
      <c r="B2686" s="1">
        <v>6998745</v>
      </c>
      <c r="C2686" t="s">
        <v>1573</v>
      </c>
      <c r="D2686" t="s">
        <v>2853</v>
      </c>
      <c r="E2686" t="s">
        <v>23</v>
      </c>
    </row>
    <row r="2687" spans="1:5" hidden="1" outlineLevel="2">
      <c r="A2687" s="3" t="e">
        <f>(HYPERLINK("http://www.autodoc.ru/Web/price/art/3546BGNS1H?analog=on","3546BGNS1H"))*1</f>
        <v>#VALUE!</v>
      </c>
      <c r="B2687" s="1">
        <v>6998746</v>
      </c>
      <c r="C2687" t="s">
        <v>1573</v>
      </c>
      <c r="D2687" t="s">
        <v>2854</v>
      </c>
      <c r="E2687" t="s">
        <v>23</v>
      </c>
    </row>
    <row r="2688" spans="1:5" hidden="1" outlineLevel="2">
      <c r="A2688" s="3" t="e">
        <f>(HYPERLINK("http://www.autodoc.ru/Web/price/art/3546BGNSB1B?analog=on","3546BGNSB1B"))*1</f>
        <v>#VALUE!</v>
      </c>
      <c r="B2688" s="1">
        <v>6998747</v>
      </c>
      <c r="C2688" t="s">
        <v>1173</v>
      </c>
      <c r="D2688" t="s">
        <v>2855</v>
      </c>
      <c r="E2688" t="s">
        <v>23</v>
      </c>
    </row>
    <row r="2689" spans="1:5" hidden="1" outlineLevel="2">
      <c r="A2689" s="3" t="e">
        <f>(HYPERLINK("http://www.autodoc.ru/Web/price/art/3546BGNSB1H?analog=on","3546BGNSB1H"))*1</f>
        <v>#VALUE!</v>
      </c>
      <c r="B2689" s="1">
        <v>6998643</v>
      </c>
      <c r="C2689" t="s">
        <v>2856</v>
      </c>
      <c r="D2689" t="s">
        <v>2857</v>
      </c>
      <c r="E2689" t="s">
        <v>23</v>
      </c>
    </row>
    <row r="2690" spans="1:5" hidden="1" outlineLevel="2">
      <c r="A2690" s="3" t="e">
        <f>(HYPERLINK("http://www.autodoc.ru/Web/price/art/3546BGNSB1Q?analog=on","3546BGNSB1Q"))*1</f>
        <v>#VALUE!</v>
      </c>
      <c r="B2690" s="1">
        <v>6999504</v>
      </c>
      <c r="C2690" t="s">
        <v>1173</v>
      </c>
      <c r="D2690" t="s">
        <v>2858</v>
      </c>
      <c r="E2690" t="s">
        <v>23</v>
      </c>
    </row>
    <row r="2691" spans="1:5" hidden="1" outlineLevel="2">
      <c r="A2691" s="3" t="e">
        <f>(HYPERLINK("http://www.autodoc.ru/Web/price/art/3546LGNE5RDW1K?analog=on","3546LGNE5RDW1K"))*1</f>
        <v>#VALUE!</v>
      </c>
      <c r="B2691" s="1">
        <v>6995536</v>
      </c>
      <c r="C2691" t="s">
        <v>36</v>
      </c>
      <c r="D2691" t="s">
        <v>2859</v>
      </c>
      <c r="E2691" t="s">
        <v>10</v>
      </c>
    </row>
    <row r="2692" spans="1:5" hidden="1" outlineLevel="2">
      <c r="A2692" s="3" t="e">
        <f>(HYPERLINK("http://www.autodoc.ru/Web/price/art/3546LGNE5RQ1J?analog=on","3546LGNE5RQ1J"))*1</f>
        <v>#VALUE!</v>
      </c>
      <c r="B2692" s="1">
        <v>6994418</v>
      </c>
      <c r="C2692" t="s">
        <v>33</v>
      </c>
      <c r="D2692" t="s">
        <v>2860</v>
      </c>
      <c r="E2692" t="s">
        <v>10</v>
      </c>
    </row>
    <row r="2693" spans="1:5" hidden="1" outlineLevel="2">
      <c r="A2693" s="3" t="e">
        <f>(HYPERLINK("http://www.autodoc.ru/Web/price/art/3546LGNH5FDW?analog=on","3546LGNH5FDW"))*1</f>
        <v>#VALUE!</v>
      </c>
      <c r="B2693" s="1">
        <v>6993539</v>
      </c>
      <c r="C2693" t="s">
        <v>979</v>
      </c>
      <c r="D2693" t="s">
        <v>2861</v>
      </c>
      <c r="E2693" t="s">
        <v>10</v>
      </c>
    </row>
    <row r="2694" spans="1:5" hidden="1" outlineLevel="2">
      <c r="A2694" s="3" t="e">
        <f>(HYPERLINK("http://www.autodoc.ru/Web/price/art/3546LGNH5FDW1K?analog=on","3546LGNH5FDW1K"))*1</f>
        <v>#VALUE!</v>
      </c>
      <c r="B2694" s="1">
        <v>6993155</v>
      </c>
      <c r="C2694" t="s">
        <v>36</v>
      </c>
      <c r="D2694" t="s">
        <v>2862</v>
      </c>
      <c r="E2694" t="s">
        <v>10</v>
      </c>
    </row>
    <row r="2695" spans="1:5" hidden="1" outlineLevel="2">
      <c r="A2695" s="3" t="e">
        <f>(HYPERLINK("http://www.autodoc.ru/Web/price/art/3546LGNH5RDW?analog=on","3546LGNH5RDW"))*1</f>
        <v>#VALUE!</v>
      </c>
      <c r="B2695" s="1">
        <v>6995663</v>
      </c>
      <c r="C2695" t="s">
        <v>979</v>
      </c>
      <c r="D2695" t="s">
        <v>2863</v>
      </c>
      <c r="E2695" t="s">
        <v>10</v>
      </c>
    </row>
    <row r="2696" spans="1:5" hidden="1" outlineLevel="2">
      <c r="A2696" s="3" t="e">
        <f>(HYPERLINK("http://www.autodoc.ru/Web/price/art/3546LGNH5RDW1K?analog=on","3546LGNH5RDW1K"))*1</f>
        <v>#VALUE!</v>
      </c>
      <c r="B2696" s="1">
        <v>6993153</v>
      </c>
      <c r="C2696" t="s">
        <v>36</v>
      </c>
      <c r="D2696" t="s">
        <v>2864</v>
      </c>
      <c r="E2696" t="s">
        <v>10</v>
      </c>
    </row>
    <row r="2697" spans="1:5" hidden="1" outlineLevel="2">
      <c r="A2697" s="3" t="e">
        <f>(HYPERLINK("http://www.autodoc.ru/Web/price/art/3546RGNE5RDW1K?analog=on","3546RGNE5RDW1K"))*1</f>
        <v>#VALUE!</v>
      </c>
      <c r="B2697" s="1">
        <v>6995537</v>
      </c>
      <c r="C2697" t="s">
        <v>36</v>
      </c>
      <c r="D2697" t="s">
        <v>2865</v>
      </c>
      <c r="E2697" t="s">
        <v>10</v>
      </c>
    </row>
    <row r="2698" spans="1:5" hidden="1" outlineLevel="2">
      <c r="A2698" s="3" t="e">
        <f>(HYPERLINK("http://www.autodoc.ru/Web/price/art/3546RGNE5RQ1J?analog=on","3546RGNE5RQ1J"))*1</f>
        <v>#VALUE!</v>
      </c>
      <c r="B2698" s="1">
        <v>6994419</v>
      </c>
      <c r="C2698" t="s">
        <v>33</v>
      </c>
      <c r="D2698" t="s">
        <v>2866</v>
      </c>
      <c r="E2698" t="s">
        <v>10</v>
      </c>
    </row>
    <row r="2699" spans="1:5" hidden="1" outlineLevel="2">
      <c r="A2699" s="3" t="e">
        <f>(HYPERLINK("http://www.autodoc.ru/Web/price/art/3546RGNH5FDW?analog=on","3546RGNH5FDW"))*1</f>
        <v>#VALUE!</v>
      </c>
      <c r="B2699" s="1">
        <v>6993538</v>
      </c>
      <c r="C2699" t="s">
        <v>979</v>
      </c>
      <c r="D2699" t="s">
        <v>2867</v>
      </c>
      <c r="E2699" t="s">
        <v>10</v>
      </c>
    </row>
    <row r="2700" spans="1:5" hidden="1" outlineLevel="2">
      <c r="A2700" s="3" t="e">
        <f>(HYPERLINK("http://www.autodoc.ru/Web/price/art/3546RGNH5FDW1K?analog=on","3546RGNH5FDW1K"))*1</f>
        <v>#VALUE!</v>
      </c>
      <c r="B2700" s="1">
        <v>6993156</v>
      </c>
      <c r="C2700" t="s">
        <v>36</v>
      </c>
      <c r="D2700" t="s">
        <v>2868</v>
      </c>
      <c r="E2700" t="s">
        <v>10</v>
      </c>
    </row>
    <row r="2701" spans="1:5" hidden="1" outlineLevel="2">
      <c r="A2701" s="3" t="e">
        <f>(HYPERLINK("http://www.autodoc.ru/Web/price/art/3546RGNH5RDW?analog=on","3546RGNH5RDW"))*1</f>
        <v>#VALUE!</v>
      </c>
      <c r="B2701" s="1">
        <v>6995664</v>
      </c>
      <c r="C2701" t="s">
        <v>979</v>
      </c>
      <c r="D2701" t="s">
        <v>2869</v>
      </c>
      <c r="E2701" t="s">
        <v>10</v>
      </c>
    </row>
    <row r="2702" spans="1:5" hidden="1" outlineLevel="2">
      <c r="A2702" s="3" t="e">
        <f>(HYPERLINK("http://www.autodoc.ru/Web/price/art/3546RGNH5RDW1K?analog=on","3546RGNH5RDW1K"))*1</f>
        <v>#VALUE!</v>
      </c>
      <c r="B2702" s="1">
        <v>6993154</v>
      </c>
      <c r="C2702" t="s">
        <v>36</v>
      </c>
      <c r="D2702" t="s">
        <v>2870</v>
      </c>
      <c r="E2702" t="s">
        <v>10</v>
      </c>
    </row>
    <row r="2703" spans="1:5" hidden="1" outlineLevel="1">
      <c r="A2703" s="2">
        <v>0</v>
      </c>
      <c r="B2703" s="26" t="s">
        <v>2871</v>
      </c>
      <c r="C2703" s="27">
        <v>0</v>
      </c>
      <c r="D2703" s="27">
        <v>0</v>
      </c>
      <c r="E2703" s="27">
        <v>0</v>
      </c>
    </row>
    <row r="2704" spans="1:5" hidden="1" outlineLevel="2">
      <c r="A2704" s="3" t="e">
        <f>(HYPERLINK("http://www.autodoc.ru/Web/price/art/3559AGSHMVW1S?analog=on","3559AGSHMVW1S"))*1</f>
        <v>#VALUE!</v>
      </c>
      <c r="B2704" s="1">
        <v>6961148</v>
      </c>
      <c r="C2704" t="s">
        <v>896</v>
      </c>
      <c r="D2704" t="s">
        <v>2872</v>
      </c>
      <c r="E2704" t="s">
        <v>8</v>
      </c>
    </row>
    <row r="2705" spans="1:5" hidden="1" outlineLevel="2">
      <c r="A2705" s="3" t="e">
        <f>(HYPERLINK("http://www.autodoc.ru/Web/price/art/3559AGSHMVW2S?analog=on","3559AGSHMVW2S"))*1</f>
        <v>#VALUE!</v>
      </c>
      <c r="B2705" s="1">
        <v>6962552</v>
      </c>
      <c r="C2705" t="s">
        <v>1433</v>
      </c>
      <c r="D2705" t="s">
        <v>2873</v>
      </c>
      <c r="E2705" t="s">
        <v>8</v>
      </c>
    </row>
    <row r="2706" spans="1:5" hidden="1" outlineLevel="2">
      <c r="A2706" s="3" t="e">
        <f>(HYPERLINK("http://www.autodoc.ru/Web/price/art/3559AGSHVW1B?analog=on","3559AGSHVW1B"))*1</f>
        <v>#VALUE!</v>
      </c>
      <c r="B2706" s="1">
        <v>6961143</v>
      </c>
      <c r="C2706" t="s">
        <v>896</v>
      </c>
      <c r="D2706" t="s">
        <v>2874</v>
      </c>
      <c r="E2706" t="s">
        <v>8</v>
      </c>
    </row>
    <row r="2707" spans="1:5" hidden="1" outlineLevel="2">
      <c r="A2707" s="3" t="e">
        <f>(HYPERLINK("http://www.autodoc.ru/Web/price/art/3559AGSHVW2P?analog=on","3559AGSHVW2P"))*1</f>
        <v>#VALUE!</v>
      </c>
      <c r="B2707" s="1">
        <v>6962551</v>
      </c>
      <c r="C2707" t="s">
        <v>1433</v>
      </c>
      <c r="D2707" t="s">
        <v>2875</v>
      </c>
      <c r="E2707" t="s">
        <v>8</v>
      </c>
    </row>
    <row r="2708" spans="1:5" hidden="1" outlineLevel="2">
      <c r="A2708" s="3" t="e">
        <f>(HYPERLINK("http://www.autodoc.ru/Web/price/art/3559AGSHVZ?analog=on","3559AGSHVZ"))*1</f>
        <v>#VALUE!</v>
      </c>
      <c r="B2708" s="1">
        <v>6960729</v>
      </c>
      <c r="C2708" t="s">
        <v>216</v>
      </c>
      <c r="D2708" t="s">
        <v>2876</v>
      </c>
      <c r="E2708" t="s">
        <v>8</v>
      </c>
    </row>
    <row r="2709" spans="1:5" hidden="1" outlineLevel="2">
      <c r="A2709" s="3" t="e">
        <f>(HYPERLINK("http://www.autodoc.ru/Web/price/art/3559AGSVW1B?analog=on","3559AGSVW1B"))*1</f>
        <v>#VALUE!</v>
      </c>
      <c r="B2709" s="1">
        <v>6961147</v>
      </c>
      <c r="C2709" t="s">
        <v>896</v>
      </c>
      <c r="D2709" t="s">
        <v>2877</v>
      </c>
      <c r="E2709" t="s">
        <v>8</v>
      </c>
    </row>
    <row r="2710" spans="1:5" hidden="1" outlineLevel="2">
      <c r="A2710" s="3" t="e">
        <f>(HYPERLINK("http://www.autodoc.ru/Web/price/art/3559AGSVW1P?analog=on","3559AGSVW1P"))*1</f>
        <v>#VALUE!</v>
      </c>
      <c r="B2710" s="1">
        <v>6961451</v>
      </c>
      <c r="C2710" t="s">
        <v>265</v>
      </c>
      <c r="D2710" t="s">
        <v>2878</v>
      </c>
      <c r="E2710" t="s">
        <v>8</v>
      </c>
    </row>
    <row r="2711" spans="1:5" hidden="1" outlineLevel="2">
      <c r="A2711" s="3" t="e">
        <f>(HYPERLINK("http://www.autodoc.ru/Web/price/art/3559AGSVZ?analog=on","3559AGSVZ"))*1</f>
        <v>#VALUE!</v>
      </c>
      <c r="B2711" s="1">
        <v>6960732</v>
      </c>
      <c r="C2711" t="s">
        <v>216</v>
      </c>
      <c r="D2711" t="s">
        <v>2879</v>
      </c>
      <c r="E2711" t="s">
        <v>8</v>
      </c>
    </row>
    <row r="2712" spans="1:5" hidden="1" outlineLevel="2">
      <c r="A2712" s="3" t="e">
        <f>(HYPERLINK("http://www.autodoc.ru/Web/price/art/3559ASGHL?analog=on","3559ASGHL"))*1</f>
        <v>#VALUE!</v>
      </c>
      <c r="B2712" s="1">
        <v>6102129</v>
      </c>
      <c r="C2712" t="s">
        <v>19</v>
      </c>
      <c r="D2712" t="s">
        <v>2880</v>
      </c>
      <c r="E2712" t="s">
        <v>21</v>
      </c>
    </row>
    <row r="2713" spans="1:5" hidden="1" outlineLevel="2">
      <c r="A2713" s="3" t="e">
        <f>(HYPERLINK("http://www.autodoc.ru/Web/price/art/3559ASGHR?analog=on","3559ASGHR"))*1</f>
        <v>#VALUE!</v>
      </c>
      <c r="B2713" s="1">
        <v>6102130</v>
      </c>
      <c r="C2713" t="s">
        <v>19</v>
      </c>
      <c r="D2713" t="s">
        <v>2881</v>
      </c>
      <c r="E2713" t="s">
        <v>21</v>
      </c>
    </row>
    <row r="2714" spans="1:5" hidden="1" outlineLevel="2">
      <c r="A2714" s="3" t="e">
        <f>(HYPERLINK("http://www.autodoc.ru/Web/price/art/3559BGPHAB1J?analog=on","3559BGPHAB1J"))*1</f>
        <v>#VALUE!</v>
      </c>
      <c r="B2714" s="1">
        <v>6999503</v>
      </c>
      <c r="C2714" t="s">
        <v>896</v>
      </c>
      <c r="D2714" t="s">
        <v>2882</v>
      </c>
      <c r="E2714" t="s">
        <v>23</v>
      </c>
    </row>
    <row r="2715" spans="1:5" hidden="1" outlineLevel="2">
      <c r="A2715" s="3" t="e">
        <f>(HYPERLINK("http://www.autodoc.ru/Web/price/art/3559BGPSAB1J?analog=on","3559BGPSAB1J"))*1</f>
        <v>#VALUE!</v>
      </c>
      <c r="B2715" s="1">
        <v>6999502</v>
      </c>
      <c r="C2715" t="s">
        <v>896</v>
      </c>
      <c r="D2715" t="s">
        <v>2883</v>
      </c>
      <c r="E2715" t="s">
        <v>23</v>
      </c>
    </row>
    <row r="2716" spans="1:5" hidden="1" outlineLevel="2">
      <c r="A2716" s="3" t="e">
        <f>(HYPERLINK("http://www.autodoc.ru/Web/price/art/3559BGSEBW?analog=on","3559BGSEBW"))*1</f>
        <v>#VALUE!</v>
      </c>
      <c r="B2716" s="1">
        <v>6992761</v>
      </c>
      <c r="C2716" t="s">
        <v>216</v>
      </c>
      <c r="D2716" t="s">
        <v>2884</v>
      </c>
      <c r="E2716" t="s">
        <v>23</v>
      </c>
    </row>
    <row r="2717" spans="1:5" hidden="1" outlineLevel="2">
      <c r="A2717" s="3" t="e">
        <f>(HYPERLINK("http://www.autodoc.ru/Web/price/art/3559BGSHAB1J?analog=on","3559BGSHAB1J"))*1</f>
        <v>#VALUE!</v>
      </c>
      <c r="B2717" s="1">
        <v>6996179</v>
      </c>
      <c r="C2717" t="s">
        <v>896</v>
      </c>
      <c r="D2717" t="s">
        <v>2885</v>
      </c>
      <c r="E2717" t="s">
        <v>23</v>
      </c>
    </row>
    <row r="2718" spans="1:5" hidden="1" outlineLevel="2">
      <c r="A2718" s="3" t="e">
        <f>(HYPERLINK("http://www.autodoc.ru/Web/price/art/3559BGSHZ?analog=on","3559BGSHZ"))*1</f>
        <v>#VALUE!</v>
      </c>
      <c r="B2718" s="1">
        <v>6992762</v>
      </c>
      <c r="C2718" t="s">
        <v>216</v>
      </c>
      <c r="D2718" t="s">
        <v>2886</v>
      </c>
      <c r="E2718" t="s">
        <v>23</v>
      </c>
    </row>
    <row r="2719" spans="1:5" hidden="1" outlineLevel="2">
      <c r="A2719" s="3" t="e">
        <f>(HYPERLINK("http://www.autodoc.ru/Web/price/art/3559BGSSAB1J?analog=on","3559BGSSAB1J"))*1</f>
        <v>#VALUE!</v>
      </c>
      <c r="B2719" s="1">
        <v>6999065</v>
      </c>
      <c r="C2719" t="s">
        <v>896</v>
      </c>
      <c r="D2719" t="s">
        <v>2887</v>
      </c>
      <c r="E2719" t="s">
        <v>23</v>
      </c>
    </row>
    <row r="2720" spans="1:5" hidden="1" outlineLevel="2">
      <c r="A2720" s="3" t="e">
        <f>(HYPERLINK("http://www.autodoc.ru/Web/price/art/3559LGSE5RD?analog=on","3559LGSE5RD"))*1</f>
        <v>#VALUE!</v>
      </c>
      <c r="B2720" s="1">
        <v>6993722</v>
      </c>
      <c r="C2720" t="s">
        <v>216</v>
      </c>
      <c r="D2720" t="s">
        <v>2888</v>
      </c>
      <c r="E2720" t="s">
        <v>10</v>
      </c>
    </row>
    <row r="2721" spans="1:5" hidden="1" outlineLevel="2">
      <c r="A2721" s="3" t="e">
        <f>(HYPERLINK("http://www.autodoc.ru/Web/price/art/3559LGSE5RQ?analog=on","3559LGSE5RQ"))*1</f>
        <v>#VALUE!</v>
      </c>
      <c r="B2721" s="1">
        <v>6996180</v>
      </c>
      <c r="C2721" t="s">
        <v>216</v>
      </c>
      <c r="D2721" t="s">
        <v>2889</v>
      </c>
      <c r="E2721" t="s">
        <v>10</v>
      </c>
    </row>
    <row r="2722" spans="1:5" hidden="1" outlineLevel="2">
      <c r="A2722" s="3" t="e">
        <f>(HYPERLINK("http://www.autodoc.ru/Web/price/art/3559LGSE5RVZ?analog=on","3559LGSE5RVZ"))*1</f>
        <v>#VALUE!</v>
      </c>
      <c r="B2722" s="1">
        <v>6980096</v>
      </c>
      <c r="C2722" t="s">
        <v>216</v>
      </c>
      <c r="D2722" t="s">
        <v>2890</v>
      </c>
      <c r="E2722" t="s">
        <v>10</v>
      </c>
    </row>
    <row r="2723" spans="1:5" hidden="1" outlineLevel="2">
      <c r="A2723" s="3" t="e">
        <f>(HYPERLINK("http://www.autodoc.ru/Web/price/art/3559LGSH5FD?analog=on","3559LGSH5FD"))*1</f>
        <v>#VALUE!</v>
      </c>
      <c r="B2723" s="1">
        <v>6993262</v>
      </c>
      <c r="C2723" t="s">
        <v>216</v>
      </c>
      <c r="D2723" t="s">
        <v>2891</v>
      </c>
      <c r="E2723" t="s">
        <v>10</v>
      </c>
    </row>
    <row r="2724" spans="1:5" hidden="1" outlineLevel="2">
      <c r="A2724" s="3" t="e">
        <f>(HYPERLINK("http://www.autodoc.ru/Web/price/art/3559LGSH5RD?analog=on","3559LGSH5RD"))*1</f>
        <v>#VALUE!</v>
      </c>
      <c r="B2724" s="1">
        <v>6993265</v>
      </c>
      <c r="C2724" t="s">
        <v>216</v>
      </c>
      <c r="D2724" t="s">
        <v>2892</v>
      </c>
      <c r="E2724" t="s">
        <v>10</v>
      </c>
    </row>
    <row r="2725" spans="1:5" hidden="1" outlineLevel="2">
      <c r="A2725" s="3" t="e">
        <f>(HYPERLINK("http://www.autodoc.ru/Web/price/art/3559LGSH5RVZ?analog=on","3559LGSH5RVZ"))*1</f>
        <v>#VALUE!</v>
      </c>
      <c r="B2725" s="1">
        <v>6980092</v>
      </c>
      <c r="C2725" t="s">
        <v>216</v>
      </c>
      <c r="D2725" t="s">
        <v>2893</v>
      </c>
      <c r="E2725" t="s">
        <v>10</v>
      </c>
    </row>
    <row r="2726" spans="1:5" hidden="1" outlineLevel="2">
      <c r="A2726" s="3" t="e">
        <f>(HYPERLINK("http://www.autodoc.ru/Web/price/art/3559RGSE5RD?analog=on","3559RGSE5RD"))*1</f>
        <v>#VALUE!</v>
      </c>
      <c r="B2726" s="1">
        <v>6993723</v>
      </c>
      <c r="C2726" t="s">
        <v>216</v>
      </c>
      <c r="D2726" t="s">
        <v>2894</v>
      </c>
      <c r="E2726" t="s">
        <v>10</v>
      </c>
    </row>
    <row r="2727" spans="1:5" hidden="1" outlineLevel="2">
      <c r="A2727" s="3" t="e">
        <f>(HYPERLINK("http://www.autodoc.ru/Web/price/art/3559RGSE5RQ?analog=on","3559RGSE5RQ"))*1</f>
        <v>#VALUE!</v>
      </c>
      <c r="B2727" s="1">
        <v>6996181</v>
      </c>
      <c r="C2727" t="s">
        <v>216</v>
      </c>
      <c r="D2727" t="s">
        <v>2895</v>
      </c>
      <c r="E2727" t="s">
        <v>10</v>
      </c>
    </row>
    <row r="2728" spans="1:5" hidden="1" outlineLevel="2">
      <c r="A2728" s="3" t="e">
        <f>(HYPERLINK("http://www.autodoc.ru/Web/price/art/3559RGSE5RQA?analog=on","3559RGSE5RQA"))*1</f>
        <v>#VALUE!</v>
      </c>
      <c r="B2728" s="1">
        <v>6900346</v>
      </c>
      <c r="C2728" t="s">
        <v>216</v>
      </c>
      <c r="D2728" t="s">
        <v>2896</v>
      </c>
      <c r="E2728" t="s">
        <v>10</v>
      </c>
    </row>
    <row r="2729" spans="1:5" hidden="1" outlineLevel="2">
      <c r="A2729" s="3" t="e">
        <f>(HYPERLINK("http://www.autodoc.ru/Web/price/art/3559RGSE5RVZ?analog=on","3559RGSE5RVZ"))*1</f>
        <v>#VALUE!</v>
      </c>
      <c r="B2729" s="1">
        <v>6980097</v>
      </c>
      <c r="C2729" t="s">
        <v>216</v>
      </c>
      <c r="D2729" t="s">
        <v>2897</v>
      </c>
      <c r="E2729" t="s">
        <v>10</v>
      </c>
    </row>
    <row r="2730" spans="1:5" hidden="1" outlineLevel="2">
      <c r="A2730" s="3" t="e">
        <f>(HYPERLINK("http://www.autodoc.ru/Web/price/art/3559RGSH5FD?analog=on","3559RGSH5FD"))*1</f>
        <v>#VALUE!</v>
      </c>
      <c r="B2730" s="1">
        <v>6993263</v>
      </c>
      <c r="C2730" t="s">
        <v>216</v>
      </c>
      <c r="D2730" t="s">
        <v>2898</v>
      </c>
      <c r="E2730" t="s">
        <v>10</v>
      </c>
    </row>
    <row r="2731" spans="1:5" hidden="1" outlineLevel="2">
      <c r="A2731" s="3" t="e">
        <f>(HYPERLINK("http://www.autodoc.ru/Web/price/art/3559RGSH5RD?analog=on","3559RGSH5RD"))*1</f>
        <v>#VALUE!</v>
      </c>
      <c r="B2731" s="1">
        <v>6993264</v>
      </c>
      <c r="C2731" t="s">
        <v>216</v>
      </c>
      <c r="D2731" t="s">
        <v>2899</v>
      </c>
      <c r="E2731" t="s">
        <v>10</v>
      </c>
    </row>
    <row r="2732" spans="1:5" hidden="1" outlineLevel="2">
      <c r="A2732" s="3" t="e">
        <f>(HYPERLINK("http://www.autodoc.ru/Web/price/art/3559RGSH5RVZ?analog=on","3559RGSH5RVZ"))*1</f>
        <v>#VALUE!</v>
      </c>
      <c r="B2732" s="1">
        <v>6980093</v>
      </c>
      <c r="C2732" t="s">
        <v>216</v>
      </c>
      <c r="D2732" t="s">
        <v>2900</v>
      </c>
      <c r="E2732" t="s">
        <v>10</v>
      </c>
    </row>
    <row r="2733" spans="1:5" hidden="1" outlineLevel="1">
      <c r="A2733" s="2">
        <v>0</v>
      </c>
      <c r="B2733" s="26" t="s">
        <v>2901</v>
      </c>
      <c r="C2733" s="27">
        <v>0</v>
      </c>
      <c r="D2733" s="27">
        <v>0</v>
      </c>
      <c r="E2733" s="27">
        <v>0</v>
      </c>
    </row>
    <row r="2734" spans="1:5" hidden="1" outlineLevel="2">
      <c r="A2734" s="3" t="e">
        <f>(HYPERLINK("http://www.autodoc.ru/Web/price/art/3569AGSHMVW2P?analog=on","3569AGSHMVW2P"))*1</f>
        <v>#VALUE!</v>
      </c>
      <c r="B2734" s="1">
        <v>6962557</v>
      </c>
      <c r="C2734" t="s">
        <v>290</v>
      </c>
      <c r="D2734" t="s">
        <v>2902</v>
      </c>
      <c r="E2734" t="s">
        <v>8</v>
      </c>
    </row>
    <row r="2735" spans="1:5" hidden="1" outlineLevel="2">
      <c r="A2735" s="3" t="e">
        <f>(HYPERLINK("http://www.autodoc.ru/Web/price/art/3569AGSHVW?analog=on","3569AGSHVW"))*1</f>
        <v>#VALUE!</v>
      </c>
      <c r="B2735" s="1">
        <v>6962465</v>
      </c>
      <c r="C2735" t="s">
        <v>290</v>
      </c>
      <c r="D2735" t="s">
        <v>2903</v>
      </c>
      <c r="E2735" t="s">
        <v>8</v>
      </c>
    </row>
    <row r="2736" spans="1:5" hidden="1" outlineLevel="2">
      <c r="A2736" s="3" t="e">
        <f>(HYPERLINK("http://www.autodoc.ru/Web/price/art/3569AGSMVW2P?analog=on","3569AGSMVW2P"))*1</f>
        <v>#VALUE!</v>
      </c>
      <c r="B2736" s="1">
        <v>6962558</v>
      </c>
      <c r="C2736" t="s">
        <v>290</v>
      </c>
      <c r="D2736" t="s">
        <v>2904</v>
      </c>
      <c r="E2736" t="s">
        <v>8</v>
      </c>
    </row>
    <row r="2737" spans="1:5" hidden="1" outlineLevel="2">
      <c r="A2737" s="3" t="e">
        <f>(HYPERLINK("http://www.autodoc.ru/Web/price/art/3569AGSVW?analog=on","3569AGSVW"))*1</f>
        <v>#VALUE!</v>
      </c>
      <c r="B2737" s="1">
        <v>6962466</v>
      </c>
      <c r="C2737" t="s">
        <v>290</v>
      </c>
      <c r="D2737" t="s">
        <v>2905</v>
      </c>
      <c r="E2737" t="s">
        <v>8</v>
      </c>
    </row>
    <row r="2738" spans="1:5" hidden="1" outlineLevel="2">
      <c r="A2738" s="3" t="e">
        <f>(HYPERLINK("http://www.autodoc.ru/Web/price/art/3569ABSHVW1P?analog=on","3569ABSHVW1P"))*1</f>
        <v>#VALUE!</v>
      </c>
      <c r="B2738" s="1">
        <v>6962553</v>
      </c>
      <c r="C2738" t="s">
        <v>290</v>
      </c>
      <c r="D2738" t="s">
        <v>2906</v>
      </c>
      <c r="E2738" t="s">
        <v>8</v>
      </c>
    </row>
    <row r="2739" spans="1:5" hidden="1" outlineLevel="2">
      <c r="A2739" s="3" t="e">
        <f>(HYPERLINK("http://www.autodoc.ru/Web/price/art/3569ABAHMVW3P?analog=on","3569ABAHMVW3P"))*1</f>
        <v>#VALUE!</v>
      </c>
      <c r="B2739" s="1">
        <v>6964949</v>
      </c>
      <c r="C2739" t="s">
        <v>290</v>
      </c>
      <c r="D2739" t="s">
        <v>2907</v>
      </c>
      <c r="E2739" t="s">
        <v>8</v>
      </c>
    </row>
    <row r="2740" spans="1:5" hidden="1" outlineLevel="2">
      <c r="A2740" s="3" t="e">
        <f>(HYPERLINK("http://www.autodoc.ru/Web/price/art/3569ACDHMVW3P?analog=on","3569ACDHMVW3P"))*1</f>
        <v>#VALUE!</v>
      </c>
      <c r="B2740" s="1">
        <v>6965518</v>
      </c>
      <c r="C2740" t="s">
        <v>290</v>
      </c>
      <c r="D2740" t="s">
        <v>2908</v>
      </c>
      <c r="E2740" t="s">
        <v>8</v>
      </c>
    </row>
    <row r="2741" spans="1:5" hidden="1" outlineLevel="2">
      <c r="A2741" s="3" t="e">
        <f>(HYPERLINK("http://www.autodoc.ru/Web/price/art/3569AGAHMVW3P?analog=on","3569AGAHMVW3P"))*1</f>
        <v>#VALUE!</v>
      </c>
      <c r="B2741" s="1">
        <v>6965064</v>
      </c>
      <c r="C2741" t="s">
        <v>290</v>
      </c>
      <c r="D2741" t="s">
        <v>2909</v>
      </c>
      <c r="E2741" t="s">
        <v>8</v>
      </c>
    </row>
    <row r="2742" spans="1:5" hidden="1" outlineLevel="2">
      <c r="A2742" s="3" t="e">
        <f>(HYPERLINK("http://www.autodoc.ru/Web/price/art/3569BGSS?analog=on","3569BGSS"))*1</f>
        <v>#VALUE!</v>
      </c>
      <c r="B2742" s="1">
        <v>6901235</v>
      </c>
      <c r="C2742" t="s">
        <v>290</v>
      </c>
      <c r="D2742" t="s">
        <v>2910</v>
      </c>
      <c r="E2742" t="s">
        <v>23</v>
      </c>
    </row>
    <row r="2743" spans="1:5" hidden="1" outlineLevel="2">
      <c r="A2743" s="3" t="e">
        <f>(HYPERLINK("http://www.autodoc.ru/Web/price/art/3569RBSH5FD1M?analog=on","3569RBSH5FD1M"))*1</f>
        <v>#VALUE!</v>
      </c>
      <c r="B2743" s="1">
        <v>6900949</v>
      </c>
      <c r="C2743" t="s">
        <v>290</v>
      </c>
      <c r="D2743" t="s">
        <v>2911</v>
      </c>
      <c r="E2743" t="s">
        <v>10</v>
      </c>
    </row>
    <row r="2744" spans="1:5" hidden="1" outlineLevel="2">
      <c r="A2744" s="3" t="e">
        <f>(HYPERLINK("http://www.autodoc.ru/Web/price/art/3569LGSH5FD1M?analog=on","3569LGSH5FD1M"))*1</f>
        <v>#VALUE!</v>
      </c>
      <c r="B2744" s="1">
        <v>6900689</v>
      </c>
      <c r="C2744" t="s">
        <v>290</v>
      </c>
      <c r="D2744" t="s">
        <v>2912</v>
      </c>
      <c r="E2744" t="s">
        <v>10</v>
      </c>
    </row>
    <row r="2745" spans="1:5" hidden="1" outlineLevel="2">
      <c r="A2745" s="3" t="e">
        <f>(HYPERLINK("http://www.autodoc.ru/Web/price/art/3569LGSH5RD?analog=on","3569LGSH5RD"))*1</f>
        <v>#VALUE!</v>
      </c>
      <c r="B2745" s="1">
        <v>6900691</v>
      </c>
      <c r="C2745" t="s">
        <v>290</v>
      </c>
      <c r="D2745" t="s">
        <v>2913</v>
      </c>
      <c r="E2745" t="s">
        <v>10</v>
      </c>
    </row>
    <row r="2746" spans="1:5" hidden="1" outlineLevel="2">
      <c r="A2746" s="3" t="e">
        <f>(HYPERLINK("http://www.autodoc.ru/Web/price/art/3569RGSH5FD1M?analog=on","3569RGSH5FD1M"))*1</f>
        <v>#VALUE!</v>
      </c>
      <c r="B2746" s="1">
        <v>6900690</v>
      </c>
      <c r="C2746" t="s">
        <v>290</v>
      </c>
      <c r="D2746" t="s">
        <v>2914</v>
      </c>
      <c r="E2746" t="s">
        <v>10</v>
      </c>
    </row>
    <row r="2747" spans="1:5" hidden="1" outlineLevel="2">
      <c r="A2747" s="3" t="e">
        <f>(HYPERLINK("http://www.autodoc.ru/Web/price/art/3569RGSH5RD?analog=on","3569RGSH5RD"))*1</f>
        <v>#VALUE!</v>
      </c>
      <c r="B2747" s="1">
        <v>6900692</v>
      </c>
      <c r="C2747" t="s">
        <v>290</v>
      </c>
      <c r="D2747" t="s">
        <v>2915</v>
      </c>
      <c r="E2747" t="s">
        <v>10</v>
      </c>
    </row>
    <row r="2748" spans="1:5" hidden="1" outlineLevel="1">
      <c r="A2748" s="2">
        <v>0</v>
      </c>
      <c r="B2748" s="26" t="s">
        <v>2916</v>
      </c>
      <c r="C2748" s="27">
        <v>0</v>
      </c>
      <c r="D2748" s="27">
        <v>0</v>
      </c>
      <c r="E2748" s="27">
        <v>0</v>
      </c>
    </row>
    <row r="2749" spans="1:5" hidden="1" outlineLevel="2">
      <c r="A2749" s="3" t="e">
        <f>(HYPERLINK("http://www.autodoc.ru/Web/price/art/AF13AGNBLV1P?analog=on","AF13AGNBLV1P"))*1</f>
        <v>#VALUE!</v>
      </c>
      <c r="B2749" s="1">
        <v>6962309</v>
      </c>
      <c r="C2749" t="s">
        <v>2917</v>
      </c>
      <c r="D2749" t="s">
        <v>2918</v>
      </c>
      <c r="E2749" t="s">
        <v>8</v>
      </c>
    </row>
    <row r="2750" spans="1:5" hidden="1" outlineLevel="1">
      <c r="A2750" s="2">
        <v>0</v>
      </c>
      <c r="B2750" s="26" t="s">
        <v>2919</v>
      </c>
      <c r="C2750" s="27">
        <v>0</v>
      </c>
      <c r="D2750" s="27">
        <v>0</v>
      </c>
      <c r="E2750" s="27">
        <v>0</v>
      </c>
    </row>
    <row r="2751" spans="1:5" hidden="1" outlineLevel="2">
      <c r="A2751" s="3" t="e">
        <f>(HYPERLINK("http://www.autodoc.ru/Web/price/art/AF32AGNBLVW?analog=on","AF32AGNBLVW"))*1</f>
        <v>#VALUE!</v>
      </c>
      <c r="B2751" s="1">
        <v>6962324</v>
      </c>
      <c r="C2751" t="s">
        <v>2920</v>
      </c>
      <c r="D2751" t="s">
        <v>2921</v>
      </c>
      <c r="E2751" t="s">
        <v>8</v>
      </c>
    </row>
    <row r="2752" spans="1:5" hidden="1" outlineLevel="1">
      <c r="A2752" s="2">
        <v>0</v>
      </c>
      <c r="B2752" s="26" t="s">
        <v>2922</v>
      </c>
      <c r="C2752" s="27">
        <v>0</v>
      </c>
      <c r="D2752" s="27">
        <v>0</v>
      </c>
      <c r="E2752" s="27">
        <v>0</v>
      </c>
    </row>
    <row r="2753" spans="1:5" hidden="1" outlineLevel="2">
      <c r="A2753" s="3" t="e">
        <f>(HYPERLINK("http://www.autodoc.ru/Web/price/art/3548AGNBL?analog=on","3548AGNBL"))*1</f>
        <v>#VALUE!</v>
      </c>
      <c r="B2753" s="1">
        <v>6190607</v>
      </c>
      <c r="C2753" t="s">
        <v>2923</v>
      </c>
      <c r="D2753" t="s">
        <v>2924</v>
      </c>
      <c r="E2753" t="s">
        <v>8</v>
      </c>
    </row>
    <row r="2754" spans="1:5" hidden="1" outlineLevel="1">
      <c r="A2754" s="2">
        <v>0</v>
      </c>
      <c r="B2754" s="26" t="s">
        <v>2925</v>
      </c>
      <c r="C2754" s="27">
        <v>0</v>
      </c>
      <c r="D2754" s="27">
        <v>0</v>
      </c>
      <c r="E2754" s="27">
        <v>0</v>
      </c>
    </row>
    <row r="2755" spans="1:5" hidden="1" outlineLevel="2">
      <c r="A2755" s="3" t="e">
        <f>(HYPERLINK("http://www.autodoc.ru/Web/price/art/AF31AGNBL?analog=on","AF31AGNBL"))*1</f>
        <v>#VALUE!</v>
      </c>
      <c r="B2755" s="1">
        <v>6963368</v>
      </c>
      <c r="C2755" t="s">
        <v>1646</v>
      </c>
      <c r="D2755" t="s">
        <v>2926</v>
      </c>
      <c r="E2755" t="s">
        <v>8</v>
      </c>
    </row>
    <row r="2756" spans="1:5" hidden="1" outlineLevel="2">
      <c r="A2756" s="3" t="e">
        <f>(HYPERLINK("http://www.autodoc.ru/Web/price/art/3553AGNBL?analog=on","3553AGNBL"))*1</f>
        <v>#VALUE!</v>
      </c>
      <c r="B2756" s="1">
        <v>6190608</v>
      </c>
      <c r="C2756" t="s">
        <v>1646</v>
      </c>
      <c r="D2756" t="s">
        <v>2926</v>
      </c>
      <c r="E2756" t="s">
        <v>8</v>
      </c>
    </row>
    <row r="2757" spans="1:5" hidden="1" outlineLevel="2">
      <c r="A2757" s="3" t="e">
        <f>(HYPERLINK("http://www.autodoc.ru/Web/price/art/3553ASMC?analog=on","3553ASMC"))*1</f>
        <v>#VALUE!</v>
      </c>
      <c r="B2757" s="1">
        <v>6101127</v>
      </c>
      <c r="C2757" t="s">
        <v>19</v>
      </c>
      <c r="D2757" t="s">
        <v>2927</v>
      </c>
      <c r="E2757" t="s">
        <v>21</v>
      </c>
    </row>
    <row r="2758" spans="1:5" hidden="1" outlineLevel="1">
      <c r="A2758" s="2">
        <v>0</v>
      </c>
      <c r="B2758" s="26" t="s">
        <v>2922</v>
      </c>
      <c r="C2758" s="27">
        <v>0</v>
      </c>
      <c r="D2758" s="27">
        <v>0</v>
      </c>
      <c r="E2758" s="27">
        <v>0</v>
      </c>
    </row>
    <row r="2759" spans="1:5" hidden="1" outlineLevel="2">
      <c r="A2759" s="3" t="e">
        <f>(HYPERLINK("http://www.autodoc.ru/Web/price/art/AF25AGNBL?analog=on","AF25AGNBL"))*1</f>
        <v>#VALUE!</v>
      </c>
      <c r="B2759" s="1">
        <v>6963367</v>
      </c>
      <c r="C2759" t="s">
        <v>2923</v>
      </c>
      <c r="D2759" t="s">
        <v>2924</v>
      </c>
      <c r="E2759" t="s">
        <v>8</v>
      </c>
    </row>
    <row r="2760" spans="1:5" hidden="1" outlineLevel="1">
      <c r="A2760" s="2">
        <v>0</v>
      </c>
      <c r="B2760" s="26" t="s">
        <v>2928</v>
      </c>
      <c r="C2760" s="27">
        <v>0</v>
      </c>
      <c r="D2760" s="27">
        <v>0</v>
      </c>
      <c r="E2760" s="27">
        <v>0</v>
      </c>
    </row>
    <row r="2761" spans="1:5" hidden="1" outlineLevel="2">
      <c r="A2761" s="3" t="e">
        <f>(HYPERLINK("http://www.autodoc.ru/Web/price/art/3555AGNHZ?analog=on","3555AGNHZ"))*1</f>
        <v>#VALUE!</v>
      </c>
      <c r="B2761" s="1">
        <v>6963307</v>
      </c>
      <c r="C2761" t="s">
        <v>1570</v>
      </c>
      <c r="D2761" t="s">
        <v>2929</v>
      </c>
      <c r="E2761" t="s">
        <v>8</v>
      </c>
    </row>
    <row r="2762" spans="1:5" hidden="1" outlineLevel="2">
      <c r="A2762" s="3" t="e">
        <f>(HYPERLINK("http://www.autodoc.ru/Web/price/art/3555AGNZ?analog=on","3555AGNZ"))*1</f>
        <v>#VALUE!</v>
      </c>
      <c r="B2762" s="1">
        <v>6963308</v>
      </c>
      <c r="C2762" t="s">
        <v>1570</v>
      </c>
      <c r="D2762" t="s">
        <v>2930</v>
      </c>
      <c r="E2762" t="s">
        <v>8</v>
      </c>
    </row>
    <row r="2763" spans="1:5" hidden="1" outlineLevel="2">
      <c r="A2763" s="3" t="e">
        <f>(HYPERLINK("http://www.autodoc.ru/Web/price/art/3555BGNCZ?analog=on","3555BGNCZ"))*1</f>
        <v>#VALUE!</v>
      </c>
      <c r="B2763" s="1">
        <v>6998751</v>
      </c>
      <c r="C2763" t="s">
        <v>1570</v>
      </c>
      <c r="D2763" t="s">
        <v>2931</v>
      </c>
      <c r="E2763" t="s">
        <v>23</v>
      </c>
    </row>
    <row r="2764" spans="1:5" hidden="1" outlineLevel="2">
      <c r="A2764" s="3" t="e">
        <f>(HYPERLINK("http://www.autodoc.ru/Web/price/art/3555LGNC2FD?analog=on","3555LGNC2FD"))*1</f>
        <v>#VALUE!</v>
      </c>
      <c r="B2764" s="1">
        <v>6994428</v>
      </c>
      <c r="C2764" t="s">
        <v>1570</v>
      </c>
      <c r="D2764" t="s">
        <v>2932</v>
      </c>
      <c r="E2764" t="s">
        <v>10</v>
      </c>
    </row>
    <row r="2765" spans="1:5" hidden="1" outlineLevel="2">
      <c r="A2765" s="3" t="e">
        <f>(HYPERLINK("http://www.autodoc.ru/Web/price/art/3555RGNC2FD?analog=on","3555RGNC2FD"))*1</f>
        <v>#VALUE!</v>
      </c>
      <c r="B2765" s="1">
        <v>6994430</v>
      </c>
      <c r="C2765" t="s">
        <v>1570</v>
      </c>
      <c r="D2765" t="s">
        <v>2933</v>
      </c>
      <c r="E2765" t="s">
        <v>10</v>
      </c>
    </row>
    <row r="2766" spans="1:5" hidden="1" outlineLevel="1">
      <c r="A2766" s="2">
        <v>0</v>
      </c>
      <c r="B2766" s="26" t="s">
        <v>2934</v>
      </c>
      <c r="C2766" s="27">
        <v>0</v>
      </c>
      <c r="D2766" s="27">
        <v>0</v>
      </c>
      <c r="E2766" s="27">
        <v>0</v>
      </c>
    </row>
    <row r="2767" spans="1:5" hidden="1" outlineLevel="2">
      <c r="A2767" s="3" t="e">
        <f>(HYPERLINK("http://www.autodoc.ru/Web/price/art/3560AGN?analog=on","3560AGN"))*1</f>
        <v>#VALUE!</v>
      </c>
      <c r="B2767" s="1">
        <v>6190234</v>
      </c>
      <c r="C2767" t="s">
        <v>2935</v>
      </c>
      <c r="D2767" t="s">
        <v>2936</v>
      </c>
      <c r="E2767" t="s">
        <v>8</v>
      </c>
    </row>
    <row r="2768" spans="1:5" hidden="1" outlineLevel="2">
      <c r="A2768" s="3" t="e">
        <f>(HYPERLINK("http://www.autodoc.ru/Web/price/art/3560LGNP2FD?analog=on","3560LGNP2FD"))*1</f>
        <v>#VALUE!</v>
      </c>
      <c r="B2768" s="1">
        <v>6190235</v>
      </c>
      <c r="C2768" t="s">
        <v>2935</v>
      </c>
      <c r="D2768" t="s">
        <v>2937</v>
      </c>
      <c r="E2768" t="s">
        <v>10</v>
      </c>
    </row>
    <row r="2769" spans="1:5" hidden="1" outlineLevel="2">
      <c r="A2769" s="3" t="e">
        <f>(HYPERLINK("http://www.autodoc.ru/Web/price/art/3560RGNP2FD?analog=on","3560RGNP2FD"))*1</f>
        <v>#VALUE!</v>
      </c>
      <c r="B2769" s="1">
        <v>6190236</v>
      </c>
      <c r="C2769" t="s">
        <v>2935</v>
      </c>
      <c r="D2769" t="s">
        <v>2938</v>
      </c>
      <c r="E2769" t="s">
        <v>10</v>
      </c>
    </row>
    <row r="2770" spans="1:5" hidden="1" outlineLevel="1">
      <c r="A2770" s="2">
        <v>0</v>
      </c>
      <c r="B2770" s="26" t="s">
        <v>2939</v>
      </c>
      <c r="C2770" s="27">
        <v>0</v>
      </c>
      <c r="D2770" s="27">
        <v>0</v>
      </c>
      <c r="E2770" s="27">
        <v>0</v>
      </c>
    </row>
    <row r="2771" spans="1:5" hidden="1" outlineLevel="2">
      <c r="A2771" s="3" t="e">
        <f>(HYPERLINK("http://www.autodoc.ru/Web/price/art/3570AGN?analog=on","3570AGN"))*1</f>
        <v>#VALUE!</v>
      </c>
      <c r="B2771" s="1">
        <v>6962561</v>
      </c>
      <c r="C2771" t="s">
        <v>290</v>
      </c>
      <c r="D2771" t="s">
        <v>2940</v>
      </c>
      <c r="E2771" t="s">
        <v>8</v>
      </c>
    </row>
    <row r="2772" spans="1:5" hidden="1" outlineLevel="2">
      <c r="A2772" s="3" t="e">
        <f>(HYPERLINK("http://www.autodoc.ru/Web/price/art/3570LGNP2FD?analog=on","3570LGNP2FD"))*1</f>
        <v>#VALUE!</v>
      </c>
      <c r="B2772" s="1">
        <v>6900696</v>
      </c>
      <c r="C2772" t="s">
        <v>290</v>
      </c>
      <c r="D2772" t="s">
        <v>2941</v>
      </c>
      <c r="E2772" t="s">
        <v>10</v>
      </c>
    </row>
    <row r="2773" spans="1:5" hidden="1" outlineLevel="2">
      <c r="A2773" s="3" t="e">
        <f>(HYPERLINK("http://www.autodoc.ru/Web/price/art/3570RGNP2FD?analog=on","3570RGNP2FD"))*1</f>
        <v>#VALUE!</v>
      </c>
      <c r="B2773" s="1">
        <v>6900697</v>
      </c>
      <c r="C2773" t="s">
        <v>290</v>
      </c>
      <c r="D2773" t="s">
        <v>2942</v>
      </c>
      <c r="E2773" t="s">
        <v>10</v>
      </c>
    </row>
    <row r="2774" spans="1:5" hidden="1" outlineLevel="1">
      <c r="A2774" s="2">
        <v>0</v>
      </c>
      <c r="B2774" s="26" t="s">
        <v>2943</v>
      </c>
      <c r="C2774" s="27">
        <v>0</v>
      </c>
      <c r="D2774" s="27">
        <v>0</v>
      </c>
      <c r="E2774" s="27">
        <v>0</v>
      </c>
    </row>
    <row r="2775" spans="1:5" hidden="1" outlineLevel="2">
      <c r="A2775" s="3" t="e">
        <f>(HYPERLINK("http://www.autodoc.ru/Web/price/art/3568AGSHMVW1P?analog=on","3568AGSHMVW1P"))*1</f>
        <v>#VALUE!</v>
      </c>
      <c r="B2775" s="1">
        <v>6961959</v>
      </c>
      <c r="C2775" t="s">
        <v>389</v>
      </c>
      <c r="D2775" t="s">
        <v>2944</v>
      </c>
      <c r="E2775" t="s">
        <v>8</v>
      </c>
    </row>
    <row r="2776" spans="1:5" hidden="1" outlineLevel="2">
      <c r="A2776" s="3" t="e">
        <f>(HYPERLINK("http://www.autodoc.ru/Web/price/art/3568AGSHVW?analog=on","3568AGSHVW"))*1</f>
        <v>#VALUE!</v>
      </c>
      <c r="B2776" s="1">
        <v>6961960</v>
      </c>
      <c r="C2776" t="s">
        <v>389</v>
      </c>
      <c r="D2776" t="s">
        <v>2945</v>
      </c>
      <c r="E2776" t="s">
        <v>8</v>
      </c>
    </row>
    <row r="2777" spans="1:5" hidden="1" outlineLevel="2">
      <c r="A2777" s="3" t="e">
        <f>(HYPERLINK("http://www.autodoc.ru/Web/price/art/3568AGSMVW1P?analog=on","3568AGSMVW1P"))*1</f>
        <v>#VALUE!</v>
      </c>
      <c r="B2777" s="1">
        <v>6961822</v>
      </c>
      <c r="C2777" t="s">
        <v>389</v>
      </c>
      <c r="D2777" t="s">
        <v>2946</v>
      </c>
      <c r="E2777" t="s">
        <v>8</v>
      </c>
    </row>
    <row r="2778" spans="1:5" hidden="1" outlineLevel="2">
      <c r="A2778" s="3" t="e">
        <f>(HYPERLINK("http://www.autodoc.ru/Web/price/art/3568AGSVW?analog=on","3568AGSVW"))*1</f>
        <v>#VALUE!</v>
      </c>
      <c r="B2778" s="1">
        <v>6961823</v>
      </c>
      <c r="C2778" t="s">
        <v>389</v>
      </c>
      <c r="D2778" t="s">
        <v>2947</v>
      </c>
      <c r="E2778" t="s">
        <v>8</v>
      </c>
    </row>
    <row r="2779" spans="1:5" hidden="1" outlineLevel="2">
      <c r="A2779" s="3" t="e">
        <f>(HYPERLINK("http://www.autodoc.ru/Web/price/art/3568BGPMW?analog=on","3568BGPMW"))*1</f>
        <v>#VALUE!</v>
      </c>
      <c r="B2779" s="1">
        <v>6996489</v>
      </c>
      <c r="C2779" t="s">
        <v>389</v>
      </c>
      <c r="D2779" t="s">
        <v>2948</v>
      </c>
      <c r="E2779" t="s">
        <v>23</v>
      </c>
    </row>
    <row r="2780" spans="1:5" hidden="1" outlineLevel="2">
      <c r="A2780" s="3" t="e">
        <f>(HYPERLINK("http://www.autodoc.ru/Web/price/art/3568BGSMW?analog=on","3568BGSMW"))*1</f>
        <v>#VALUE!</v>
      </c>
      <c r="B2780" s="1">
        <v>6996490</v>
      </c>
      <c r="C2780" t="s">
        <v>389</v>
      </c>
      <c r="D2780" t="s">
        <v>2949</v>
      </c>
      <c r="E2780" t="s">
        <v>23</v>
      </c>
    </row>
    <row r="2781" spans="1:5" hidden="1" outlineLevel="2">
      <c r="A2781" s="3" t="e">
        <f>(HYPERLINK("http://www.autodoc.ru/Web/price/art/3568LGPM5RD?analog=on","3568LGPM5RD"))*1</f>
        <v>#VALUE!</v>
      </c>
      <c r="B2781" s="1">
        <v>6900138</v>
      </c>
      <c r="C2781" t="s">
        <v>389</v>
      </c>
      <c r="D2781" t="s">
        <v>2950</v>
      </c>
      <c r="E2781" t="s">
        <v>10</v>
      </c>
    </row>
    <row r="2782" spans="1:5" hidden="1" outlineLevel="2">
      <c r="A2782" s="3" t="e">
        <f>(HYPERLINK("http://www.autodoc.ru/Web/price/art/3568LGSM5FD1M?analog=on","3568LGSM5FD1M"))*1</f>
        <v>#VALUE!</v>
      </c>
      <c r="B2782" s="1">
        <v>6999080</v>
      </c>
      <c r="C2782" t="s">
        <v>389</v>
      </c>
      <c r="D2782" t="s">
        <v>2951</v>
      </c>
      <c r="E2782" t="s">
        <v>10</v>
      </c>
    </row>
    <row r="2783" spans="1:5" hidden="1" outlineLevel="2">
      <c r="A2783" s="3" t="e">
        <f>(HYPERLINK("http://www.autodoc.ru/Web/price/art/3568LGSM5RD?analog=on","3568LGSM5RD"))*1</f>
        <v>#VALUE!</v>
      </c>
      <c r="B2783" s="1">
        <v>6900139</v>
      </c>
      <c r="C2783" t="s">
        <v>389</v>
      </c>
      <c r="D2783" t="s">
        <v>2952</v>
      </c>
      <c r="E2783" t="s">
        <v>10</v>
      </c>
    </row>
    <row r="2784" spans="1:5" hidden="1" outlineLevel="2">
      <c r="A2784" s="3" t="e">
        <f>(HYPERLINK("http://www.autodoc.ru/Web/price/art/3568RGPM5RD?analog=on","3568RGPM5RD"))*1</f>
        <v>#VALUE!</v>
      </c>
      <c r="B2784" s="1">
        <v>6900221</v>
      </c>
      <c r="C2784" t="s">
        <v>389</v>
      </c>
      <c r="D2784" t="s">
        <v>2953</v>
      </c>
      <c r="E2784" t="s">
        <v>10</v>
      </c>
    </row>
    <row r="2785" spans="1:5" hidden="1" outlineLevel="2">
      <c r="A2785" s="3" t="e">
        <f>(HYPERLINK("http://www.autodoc.ru/Web/price/art/3568RGSM5FD1M?analog=on","3568RGSM5FD1M"))*1</f>
        <v>#VALUE!</v>
      </c>
      <c r="B2785" s="1">
        <v>6999079</v>
      </c>
      <c r="C2785" t="s">
        <v>389</v>
      </c>
      <c r="D2785" t="s">
        <v>2954</v>
      </c>
      <c r="E2785" t="s">
        <v>10</v>
      </c>
    </row>
    <row r="2786" spans="1:5" hidden="1" outlineLevel="2">
      <c r="A2786" s="3" t="e">
        <f>(HYPERLINK("http://www.autodoc.ru/Web/price/art/3568RGSM5RD?analog=on","3568RGSM5RD"))*1</f>
        <v>#VALUE!</v>
      </c>
      <c r="B2786" s="1">
        <v>6900700</v>
      </c>
      <c r="C2786" t="s">
        <v>389</v>
      </c>
      <c r="D2786" t="s">
        <v>2955</v>
      </c>
      <c r="E2786" t="s">
        <v>10</v>
      </c>
    </row>
    <row r="2787" spans="1:5" hidden="1" outlineLevel="1">
      <c r="A2787" s="2">
        <v>0</v>
      </c>
      <c r="B2787" s="26" t="s">
        <v>2956</v>
      </c>
      <c r="C2787" s="27">
        <v>0</v>
      </c>
      <c r="D2787" s="27">
        <v>0</v>
      </c>
      <c r="E2787" s="27">
        <v>0</v>
      </c>
    </row>
    <row r="2788" spans="1:5" hidden="1" outlineLevel="2">
      <c r="A2788" s="3" t="e">
        <f>(HYPERLINK("http://www.autodoc.ru/Web/price/art/3541ACL1B?analog=on","3541ACL1B"))*1</f>
        <v>#VALUE!</v>
      </c>
      <c r="B2788" s="1">
        <v>6968102</v>
      </c>
      <c r="C2788" t="s">
        <v>1845</v>
      </c>
      <c r="D2788" t="s">
        <v>2957</v>
      </c>
      <c r="E2788" t="s">
        <v>8</v>
      </c>
    </row>
    <row r="2789" spans="1:5" hidden="1" outlineLevel="2">
      <c r="A2789" s="3" t="e">
        <f>(HYPERLINK("http://www.autodoc.ru/Web/price/art/3541AGN?analog=on","3541AGN"))*1</f>
        <v>#VALUE!</v>
      </c>
      <c r="B2789" s="1">
        <v>6968120</v>
      </c>
      <c r="C2789" t="s">
        <v>1845</v>
      </c>
      <c r="D2789" t="s">
        <v>2958</v>
      </c>
      <c r="E2789" t="s">
        <v>8</v>
      </c>
    </row>
    <row r="2790" spans="1:5" hidden="1" outlineLevel="2">
      <c r="A2790" s="3" t="e">
        <f>(HYPERLINK("http://www.autodoc.ru/Web/price/art/3541AGN1B?analog=on","3541AGN1B"))*1</f>
        <v>#VALUE!</v>
      </c>
      <c r="B2790" s="1">
        <v>6968121</v>
      </c>
      <c r="C2790" t="s">
        <v>1845</v>
      </c>
      <c r="D2790" t="s">
        <v>2959</v>
      </c>
      <c r="E2790" t="s">
        <v>8</v>
      </c>
    </row>
    <row r="2791" spans="1:5" hidden="1" outlineLevel="2">
      <c r="A2791" s="3" t="e">
        <f>(HYPERLINK("http://www.autodoc.ru/Web/price/art/3541AGNBL1B?analog=on","3541AGNBL1B"))*1</f>
        <v>#VALUE!</v>
      </c>
      <c r="B2791" s="1">
        <v>6968101</v>
      </c>
      <c r="C2791" t="s">
        <v>1845</v>
      </c>
      <c r="D2791" t="s">
        <v>2960</v>
      </c>
      <c r="E2791" t="s">
        <v>8</v>
      </c>
    </row>
    <row r="2792" spans="1:5" hidden="1" outlineLevel="2">
      <c r="A2792" s="3" t="e">
        <f>(HYPERLINK("http://www.autodoc.ru/Web/price/art/3541AGNBLV2B?analog=on","3541AGNBLV2B"))*1</f>
        <v>#VALUE!</v>
      </c>
      <c r="B2792" s="1">
        <v>6962940</v>
      </c>
      <c r="C2792" t="s">
        <v>2856</v>
      </c>
      <c r="D2792" t="s">
        <v>2961</v>
      </c>
      <c r="E2792" t="s">
        <v>8</v>
      </c>
    </row>
    <row r="2793" spans="1:5" hidden="1" outlineLevel="2">
      <c r="A2793" s="3" t="e">
        <f>(HYPERLINK("http://www.autodoc.ru/Web/price/art/3541AGNGN1B?analog=on","3541AGNGN1B"))*1</f>
        <v>#VALUE!</v>
      </c>
      <c r="B2793" s="1">
        <v>6968103</v>
      </c>
      <c r="C2793" t="s">
        <v>1845</v>
      </c>
      <c r="D2793" t="s">
        <v>2962</v>
      </c>
      <c r="E2793" t="s">
        <v>8</v>
      </c>
    </row>
    <row r="2794" spans="1:5" hidden="1" outlineLevel="2">
      <c r="A2794" s="3" t="e">
        <f>(HYPERLINK("http://www.autodoc.ru/Web/price/art/3541AGNGNH1B?analog=on","3541AGNGNH1B"))*1</f>
        <v>#VALUE!</v>
      </c>
      <c r="B2794" s="1">
        <v>6963299</v>
      </c>
      <c r="C2794" t="s">
        <v>2086</v>
      </c>
      <c r="D2794" t="s">
        <v>2963</v>
      </c>
      <c r="E2794" t="s">
        <v>8</v>
      </c>
    </row>
    <row r="2795" spans="1:5" hidden="1" outlineLevel="2">
      <c r="A2795" s="3" t="e">
        <f>(HYPERLINK("http://www.autodoc.ru/Web/price/art/3541AGNH1B?analog=on","3541AGNH1B"))*1</f>
        <v>#VALUE!</v>
      </c>
      <c r="B2795" s="1">
        <v>6963300</v>
      </c>
      <c r="C2795" t="s">
        <v>2086</v>
      </c>
      <c r="D2795" t="s">
        <v>2964</v>
      </c>
      <c r="E2795" t="s">
        <v>8</v>
      </c>
    </row>
    <row r="2796" spans="1:5" hidden="1" outlineLevel="2">
      <c r="A2796" s="3" t="e">
        <f>(HYPERLINK("http://www.autodoc.ru/Web/price/art/3541AGNHV2B?analog=on","3541AGNHV2B"))*1</f>
        <v>#VALUE!</v>
      </c>
      <c r="B2796" s="1">
        <v>6963301</v>
      </c>
      <c r="C2796" t="s">
        <v>2856</v>
      </c>
      <c r="D2796" t="s">
        <v>2965</v>
      </c>
      <c r="E2796" t="s">
        <v>8</v>
      </c>
    </row>
    <row r="2797" spans="1:5" hidden="1" outlineLevel="2">
      <c r="A2797" s="3" t="e">
        <f>(HYPERLINK("http://www.autodoc.ru/Web/price/art/3541AGNV2B?analog=on","3541AGNV2B"))*1</f>
        <v>#VALUE!</v>
      </c>
      <c r="B2797" s="1">
        <v>6968252</v>
      </c>
      <c r="C2797" t="s">
        <v>2856</v>
      </c>
      <c r="D2797" t="s">
        <v>2966</v>
      </c>
      <c r="E2797" t="s">
        <v>8</v>
      </c>
    </row>
    <row r="2798" spans="1:5" hidden="1" outlineLevel="2">
      <c r="A2798" s="3" t="e">
        <f>(HYPERLINK("http://www.autodoc.ru/Web/price/art/3541ASMHT?analog=on","3541ASMHT"))*1</f>
        <v>#VALUE!</v>
      </c>
      <c r="B2798" s="1">
        <v>6100990</v>
      </c>
      <c r="C2798" t="s">
        <v>19</v>
      </c>
      <c r="D2798" t="s">
        <v>2967</v>
      </c>
      <c r="E2798" t="s">
        <v>21</v>
      </c>
    </row>
    <row r="2799" spans="1:5" hidden="1" outlineLevel="2">
      <c r="A2799" s="3" t="e">
        <f>(HYPERLINK("http://www.autodoc.ru/Web/price/art/3541BGNEAXZ?analog=on","3541BGNEAXZ"))*1</f>
        <v>#VALUE!</v>
      </c>
      <c r="B2799" s="1">
        <v>6998888</v>
      </c>
      <c r="C2799" t="s">
        <v>1845</v>
      </c>
      <c r="D2799" t="s">
        <v>2968</v>
      </c>
      <c r="E2799" t="s">
        <v>23</v>
      </c>
    </row>
    <row r="2800" spans="1:5" hidden="1" outlineLevel="2">
      <c r="A2800" s="3" t="e">
        <f>(HYPERLINK("http://www.autodoc.ru/Web/price/art/3541BGNHA?analog=on","3541BGNHA"))*1</f>
        <v>#VALUE!</v>
      </c>
      <c r="B2800" s="1">
        <v>6998729</v>
      </c>
      <c r="C2800" t="s">
        <v>1845</v>
      </c>
      <c r="D2800" t="s">
        <v>2969</v>
      </c>
      <c r="E2800" t="s">
        <v>23</v>
      </c>
    </row>
    <row r="2801" spans="1:5" hidden="1" outlineLevel="2">
      <c r="A2801" s="3" t="e">
        <f>(HYPERLINK("http://www.autodoc.ru/Web/price/art/3541BGNSAZ?analog=on","3541BGNSAZ"))*1</f>
        <v>#VALUE!</v>
      </c>
      <c r="B2801" s="1">
        <v>6998730</v>
      </c>
      <c r="C2801" t="s">
        <v>1845</v>
      </c>
      <c r="D2801" t="s">
        <v>2970</v>
      </c>
      <c r="E2801" t="s">
        <v>23</v>
      </c>
    </row>
    <row r="2802" spans="1:5" hidden="1" outlineLevel="2">
      <c r="A2802" s="3" t="e">
        <f>(HYPERLINK("http://www.autodoc.ru/Web/price/art/3541LCLH5FD?analog=on","3541LCLH5FD"))*1</f>
        <v>#VALUE!</v>
      </c>
      <c r="B2802" s="1">
        <v>6997901</v>
      </c>
      <c r="C2802" t="s">
        <v>1845</v>
      </c>
      <c r="D2802" t="s">
        <v>2971</v>
      </c>
      <c r="E2802" t="s">
        <v>10</v>
      </c>
    </row>
    <row r="2803" spans="1:5" hidden="1" outlineLevel="2">
      <c r="A2803" s="3" t="e">
        <f>(HYPERLINK("http://www.autodoc.ru/Web/price/art/3541LGNH5FD?analog=on","3541LGNH5FD"))*1</f>
        <v>#VALUE!</v>
      </c>
      <c r="B2803" s="1">
        <v>6997903</v>
      </c>
      <c r="C2803" t="s">
        <v>1845</v>
      </c>
      <c r="D2803" t="s">
        <v>2972</v>
      </c>
      <c r="E2803" t="s">
        <v>10</v>
      </c>
    </row>
    <row r="2804" spans="1:5" hidden="1" outlineLevel="2">
      <c r="A2804" s="3" t="e">
        <f>(HYPERLINK("http://www.autodoc.ru/Web/price/art/3541LGNH5RDW?analog=on","3541LGNH5RDW"))*1</f>
        <v>#VALUE!</v>
      </c>
      <c r="B2804" s="1">
        <v>6994398</v>
      </c>
      <c r="C2804" t="s">
        <v>1845</v>
      </c>
      <c r="D2804" t="s">
        <v>2973</v>
      </c>
      <c r="E2804" t="s">
        <v>10</v>
      </c>
    </row>
    <row r="2805" spans="1:5" hidden="1" outlineLevel="2">
      <c r="A2805" s="3" t="e">
        <f>(HYPERLINK("http://www.autodoc.ru/Web/price/art/3541RCLH5FD?analog=on","3541RCLH5FD"))*1</f>
        <v>#VALUE!</v>
      </c>
      <c r="B2805" s="1">
        <v>6997902</v>
      </c>
      <c r="C2805" t="s">
        <v>1845</v>
      </c>
      <c r="D2805" t="s">
        <v>2974</v>
      </c>
      <c r="E2805" t="s">
        <v>10</v>
      </c>
    </row>
    <row r="2806" spans="1:5" hidden="1" outlineLevel="2">
      <c r="A2806" s="3" t="e">
        <f>(HYPERLINK("http://www.autodoc.ru/Web/price/art/3541RGNH5FD?analog=on","3541RGNH5FD"))*1</f>
        <v>#VALUE!</v>
      </c>
      <c r="B2806" s="1">
        <v>6997904</v>
      </c>
      <c r="C2806" t="s">
        <v>1845</v>
      </c>
      <c r="D2806" t="s">
        <v>2975</v>
      </c>
      <c r="E2806" t="s">
        <v>10</v>
      </c>
    </row>
    <row r="2807" spans="1:5" hidden="1" outlineLevel="2">
      <c r="A2807" s="3" t="e">
        <f>(HYPERLINK("http://www.autodoc.ru/Web/price/art/3541RGNH5RDW?analog=on","3541RGNH5RDW"))*1</f>
        <v>#VALUE!</v>
      </c>
      <c r="B2807" s="1">
        <v>6994401</v>
      </c>
      <c r="C2807" t="s">
        <v>1845</v>
      </c>
      <c r="D2807" t="s">
        <v>2976</v>
      </c>
      <c r="E2807" t="s">
        <v>10</v>
      </c>
    </row>
    <row r="2808" spans="1:5" hidden="1" outlineLevel="1">
      <c r="A2808" s="2">
        <v>0</v>
      </c>
      <c r="B2808" s="26" t="s">
        <v>2977</v>
      </c>
      <c r="C2808" s="27">
        <v>0</v>
      </c>
      <c r="D2808" s="27">
        <v>0</v>
      </c>
      <c r="E2808" s="27">
        <v>0</v>
      </c>
    </row>
    <row r="2809" spans="1:5" hidden="1" outlineLevel="2">
      <c r="A2809" s="3" t="e">
        <f>(HYPERLINK("http://www.autodoc.ru/Web/price/art/3539ABZBL?analog=on","3539ABZBL"))*1</f>
        <v>#VALUE!</v>
      </c>
      <c r="B2809" s="1">
        <v>6968124</v>
      </c>
      <c r="C2809" t="s">
        <v>2978</v>
      </c>
      <c r="D2809" t="s">
        <v>2979</v>
      </c>
      <c r="E2809" t="s">
        <v>8</v>
      </c>
    </row>
    <row r="2810" spans="1:5" hidden="1" outlineLevel="2">
      <c r="A2810" s="3" t="e">
        <f>(HYPERLINK("http://www.autodoc.ru/Web/price/art/3539ACL?analog=on","3539ACL"))*1</f>
        <v>#VALUE!</v>
      </c>
      <c r="B2810" s="1">
        <v>6968117</v>
      </c>
      <c r="C2810" t="s">
        <v>2978</v>
      </c>
      <c r="D2810" t="s">
        <v>2980</v>
      </c>
      <c r="E2810" t="s">
        <v>8</v>
      </c>
    </row>
    <row r="2811" spans="1:5" hidden="1" outlineLevel="2">
      <c r="A2811" s="3" t="e">
        <f>(HYPERLINK("http://www.autodoc.ru/Web/price/art/3539AKMH?analog=on","3539AKMH"))*1</f>
        <v>#VALUE!</v>
      </c>
      <c r="B2811" s="1">
        <v>6101769</v>
      </c>
      <c r="C2811" t="s">
        <v>19</v>
      </c>
      <c r="D2811" t="s">
        <v>2981</v>
      </c>
      <c r="E2811" t="s">
        <v>21</v>
      </c>
    </row>
    <row r="2812" spans="1:5" hidden="1" outlineLevel="2">
      <c r="A2812" s="3" t="e">
        <f>(HYPERLINK("http://www.autodoc.ru/Web/price/art/3539ASMH?analog=on","3539ASMH"))*1</f>
        <v>#VALUE!</v>
      </c>
      <c r="B2812" s="1">
        <v>6100475</v>
      </c>
      <c r="C2812" t="s">
        <v>19</v>
      </c>
      <c r="D2812" t="s">
        <v>2982</v>
      </c>
      <c r="E2812" t="s">
        <v>21</v>
      </c>
    </row>
    <row r="2813" spans="1:5" hidden="1" outlineLevel="2">
      <c r="A2813" s="3" t="e">
        <f>(HYPERLINK("http://www.autodoc.ru/Web/price/art/3539BCLH?analog=on","3539BCLH"))*1</f>
        <v>#VALUE!</v>
      </c>
      <c r="B2813" s="1">
        <v>6993500</v>
      </c>
      <c r="C2813" t="s">
        <v>2978</v>
      </c>
      <c r="D2813" t="s">
        <v>2983</v>
      </c>
      <c r="E2813" t="s">
        <v>23</v>
      </c>
    </row>
    <row r="2814" spans="1:5" hidden="1" outlineLevel="2">
      <c r="A2814" s="3" t="e">
        <f>(HYPERLINK("http://www.autodoc.ru/Web/price/art/3539LBZH5FD?analog=on","3539LBZH5FD"))*1</f>
        <v>#VALUE!</v>
      </c>
      <c r="B2814" s="1">
        <v>6996690</v>
      </c>
      <c r="C2814" t="s">
        <v>2978</v>
      </c>
      <c r="D2814" t="s">
        <v>2984</v>
      </c>
      <c r="E2814" t="s">
        <v>10</v>
      </c>
    </row>
    <row r="2815" spans="1:5" hidden="1" outlineLevel="2">
      <c r="A2815" s="3" t="e">
        <f>(HYPERLINK("http://www.autodoc.ru/Web/price/art/3539LCLH5FD?analog=on","3539LCLH5FD"))*1</f>
        <v>#VALUE!</v>
      </c>
      <c r="B2815" s="1">
        <v>6996694</v>
      </c>
      <c r="C2815" t="s">
        <v>2978</v>
      </c>
      <c r="D2815" t="s">
        <v>2985</v>
      </c>
      <c r="E2815" t="s">
        <v>10</v>
      </c>
    </row>
    <row r="2816" spans="1:5" hidden="1" outlineLevel="2">
      <c r="A2816" s="3" t="e">
        <f>(HYPERLINK("http://www.autodoc.ru/Web/price/art/3539LCLH5RD?analog=on","3539LCLH5RD"))*1</f>
        <v>#VALUE!</v>
      </c>
      <c r="B2816" s="1">
        <v>6996695</v>
      </c>
      <c r="C2816" t="s">
        <v>2978</v>
      </c>
      <c r="D2816" t="s">
        <v>2986</v>
      </c>
      <c r="E2816" t="s">
        <v>10</v>
      </c>
    </row>
    <row r="2817" spans="1:5" hidden="1" outlineLevel="2">
      <c r="A2817" s="3" t="e">
        <f>(HYPERLINK("http://www.autodoc.ru/Web/price/art/3539RCLH5FD?analog=on","3539RCLH5FD"))*1</f>
        <v>#VALUE!</v>
      </c>
      <c r="B2817" s="1">
        <v>6996696</v>
      </c>
      <c r="C2817" t="s">
        <v>2978</v>
      </c>
      <c r="D2817" t="s">
        <v>2987</v>
      </c>
      <c r="E2817" t="s">
        <v>10</v>
      </c>
    </row>
    <row r="2818" spans="1:5" hidden="1" outlineLevel="1">
      <c r="A2818" s="2">
        <v>0</v>
      </c>
      <c r="B2818" s="26" t="s">
        <v>2988</v>
      </c>
      <c r="C2818" s="27">
        <v>0</v>
      </c>
      <c r="D2818" s="27">
        <v>0</v>
      </c>
      <c r="E2818" s="27">
        <v>0</v>
      </c>
    </row>
    <row r="2819" spans="1:5" hidden="1" outlineLevel="2">
      <c r="A2819" s="3" t="e">
        <f>(HYPERLINK("http://www.autodoc.ru/Web/price/art/3543ACL?analog=on","3543ACL"))*1</f>
        <v>#VALUE!</v>
      </c>
      <c r="B2819" s="1">
        <v>6969119</v>
      </c>
      <c r="C2819" t="s">
        <v>2989</v>
      </c>
      <c r="D2819" t="s">
        <v>2990</v>
      </c>
      <c r="E2819" t="s">
        <v>8</v>
      </c>
    </row>
    <row r="2820" spans="1:5" hidden="1" outlineLevel="2">
      <c r="A2820" s="3" t="e">
        <f>(HYPERLINK("http://www.autodoc.ru/Web/price/art/3543AGN?analog=on","3543AGN"))*1</f>
        <v>#VALUE!</v>
      </c>
      <c r="B2820" s="1">
        <v>6969120</v>
      </c>
      <c r="C2820" t="s">
        <v>2989</v>
      </c>
      <c r="D2820" t="s">
        <v>2991</v>
      </c>
      <c r="E2820" t="s">
        <v>8</v>
      </c>
    </row>
    <row r="2821" spans="1:5" hidden="1" outlineLevel="2">
      <c r="A2821" s="3" t="e">
        <f>(HYPERLINK("http://www.autodoc.ru/Web/price/art/3543AGNBL?analog=on","3543AGNBL"))*1</f>
        <v>#VALUE!</v>
      </c>
      <c r="B2821" s="1">
        <v>6968119</v>
      </c>
      <c r="C2821" t="s">
        <v>2989</v>
      </c>
      <c r="D2821" t="s">
        <v>2992</v>
      </c>
      <c r="E2821" t="s">
        <v>8</v>
      </c>
    </row>
    <row r="2822" spans="1:5" hidden="1" outlineLevel="2">
      <c r="A2822" s="3" t="e">
        <f>(HYPERLINK("http://www.autodoc.ru/Web/price/art/3543AGNGN?analog=on","3543AGNGN"))*1</f>
        <v>#VALUE!</v>
      </c>
      <c r="B2822" s="1">
        <v>6968125</v>
      </c>
      <c r="C2822" t="s">
        <v>2989</v>
      </c>
      <c r="D2822" t="s">
        <v>2993</v>
      </c>
      <c r="E2822" t="s">
        <v>8</v>
      </c>
    </row>
    <row r="2823" spans="1:5" hidden="1" outlineLevel="2">
      <c r="A2823" s="3" t="e">
        <f>(HYPERLINK("http://www.autodoc.ru/Web/price/art/3543ASMH?analog=on","3543ASMH"))*1</f>
        <v>#VALUE!</v>
      </c>
      <c r="B2823" s="1">
        <v>6100476</v>
      </c>
      <c r="C2823" t="s">
        <v>19</v>
      </c>
      <c r="D2823" t="s">
        <v>2994</v>
      </c>
      <c r="E2823" t="s">
        <v>21</v>
      </c>
    </row>
    <row r="2824" spans="1:5" hidden="1" outlineLevel="2">
      <c r="A2824" s="3" t="e">
        <f>(HYPERLINK("http://www.autodoc.ru/Web/price/art/3543BCLE?analog=on","3543BCLE"))*1</f>
        <v>#VALUE!</v>
      </c>
      <c r="B2824" s="1">
        <v>6993504</v>
      </c>
      <c r="C2824" t="s">
        <v>2989</v>
      </c>
      <c r="D2824" t="s">
        <v>2995</v>
      </c>
      <c r="E2824" t="s">
        <v>23</v>
      </c>
    </row>
    <row r="2825" spans="1:5" hidden="1" outlineLevel="2">
      <c r="A2825" s="3" t="e">
        <f>(HYPERLINK("http://www.autodoc.ru/Web/price/art/3543BCLH?analog=on","3543BCLH"))*1</f>
        <v>#VALUE!</v>
      </c>
      <c r="B2825" s="1">
        <v>6998941</v>
      </c>
      <c r="C2825" t="s">
        <v>2989</v>
      </c>
      <c r="D2825" t="s">
        <v>2996</v>
      </c>
      <c r="E2825" t="s">
        <v>23</v>
      </c>
    </row>
    <row r="2826" spans="1:5" hidden="1" outlineLevel="2">
      <c r="A2826" s="3" t="e">
        <f>(HYPERLINK("http://www.autodoc.ru/Web/price/art/3543BCLS?analog=on","3543BCLS"))*1</f>
        <v>#VALUE!</v>
      </c>
      <c r="B2826" s="1">
        <v>6993502</v>
      </c>
      <c r="C2826" t="s">
        <v>2989</v>
      </c>
      <c r="D2826" t="s">
        <v>2997</v>
      </c>
      <c r="E2826" t="s">
        <v>23</v>
      </c>
    </row>
    <row r="2827" spans="1:5" hidden="1" outlineLevel="2">
      <c r="A2827" s="3" t="e">
        <f>(HYPERLINK("http://www.autodoc.ru/Web/price/art/3543BGNEA?analog=on","3543BGNEA"))*1</f>
        <v>#VALUE!</v>
      </c>
      <c r="B2827" s="1">
        <v>6998731</v>
      </c>
      <c r="C2827" t="s">
        <v>2989</v>
      </c>
      <c r="D2827" t="s">
        <v>2998</v>
      </c>
      <c r="E2827" t="s">
        <v>23</v>
      </c>
    </row>
    <row r="2828" spans="1:5" hidden="1" outlineLevel="2">
      <c r="A2828" s="3" t="e">
        <f>(HYPERLINK("http://www.autodoc.ru/Web/price/art/3543BGNHA?analog=on","3543BGNHA"))*1</f>
        <v>#VALUE!</v>
      </c>
      <c r="B2828" s="1">
        <v>6993501</v>
      </c>
      <c r="C2828" t="s">
        <v>2999</v>
      </c>
      <c r="D2828" t="s">
        <v>3000</v>
      </c>
      <c r="E2828" t="s">
        <v>23</v>
      </c>
    </row>
    <row r="2829" spans="1:5" hidden="1" outlineLevel="2">
      <c r="A2829" s="3" t="e">
        <f>(HYPERLINK("http://www.autodoc.ru/Web/price/art/3543BGNSA?analog=on","3543BGNSA"))*1</f>
        <v>#VALUE!</v>
      </c>
      <c r="B2829" s="1">
        <v>6993503</v>
      </c>
      <c r="C2829" t="s">
        <v>2999</v>
      </c>
      <c r="D2829" t="s">
        <v>3001</v>
      </c>
      <c r="E2829" t="s">
        <v>23</v>
      </c>
    </row>
    <row r="2830" spans="1:5" hidden="1" outlineLevel="2">
      <c r="A2830" s="3" t="e">
        <f>(HYPERLINK("http://www.autodoc.ru/Web/price/art/3543LCLE5RV?analog=on","3543LCLE5RV"))*1</f>
        <v>#VALUE!</v>
      </c>
      <c r="B2830" s="1">
        <v>6996698</v>
      </c>
      <c r="C2830" t="s">
        <v>2989</v>
      </c>
      <c r="D2830" t="s">
        <v>3002</v>
      </c>
      <c r="E2830" t="s">
        <v>10</v>
      </c>
    </row>
    <row r="2831" spans="1:5" hidden="1" outlineLevel="2">
      <c r="A2831" s="3" t="e">
        <f>(HYPERLINK("http://www.autodoc.ru/Web/price/art/3543LCLH5FD?analog=on","3543LCLH5FD"))*1</f>
        <v>#VALUE!</v>
      </c>
      <c r="B2831" s="1">
        <v>6993505</v>
      </c>
      <c r="C2831" t="s">
        <v>2989</v>
      </c>
      <c r="D2831" t="s">
        <v>3003</v>
      </c>
      <c r="E2831" t="s">
        <v>10</v>
      </c>
    </row>
    <row r="2832" spans="1:5" hidden="1" outlineLevel="2">
      <c r="A2832" s="3" t="e">
        <f>(HYPERLINK("http://www.autodoc.ru/Web/price/art/3543LCLH5RD?analog=on","3543LCLH5RD"))*1</f>
        <v>#VALUE!</v>
      </c>
      <c r="B2832" s="1">
        <v>6993509</v>
      </c>
      <c r="C2832" t="s">
        <v>2989</v>
      </c>
      <c r="D2832" t="s">
        <v>3004</v>
      </c>
      <c r="E2832" t="s">
        <v>10</v>
      </c>
    </row>
    <row r="2833" spans="1:5" hidden="1" outlineLevel="2">
      <c r="A2833" s="3" t="e">
        <f>(HYPERLINK("http://www.autodoc.ru/Web/price/art/3543LGNE5RD?analog=on","3543LGNE5RD"))*1</f>
        <v>#VALUE!</v>
      </c>
      <c r="B2833" s="1">
        <v>6996699</v>
      </c>
      <c r="C2833" t="s">
        <v>2989</v>
      </c>
      <c r="D2833" t="s">
        <v>3005</v>
      </c>
      <c r="E2833" t="s">
        <v>10</v>
      </c>
    </row>
    <row r="2834" spans="1:5" hidden="1" outlineLevel="2">
      <c r="A2834" s="3" t="e">
        <f>(HYPERLINK("http://www.autodoc.ru/Web/price/art/3543LGNE5RV?analog=on","3543LGNE5RV"))*1</f>
        <v>#VALUE!</v>
      </c>
      <c r="B2834" s="1">
        <v>6994404</v>
      </c>
      <c r="C2834" t="s">
        <v>2989</v>
      </c>
      <c r="D2834" t="s">
        <v>3006</v>
      </c>
      <c r="E2834" t="s">
        <v>10</v>
      </c>
    </row>
    <row r="2835" spans="1:5" hidden="1" outlineLevel="2">
      <c r="A2835" s="3" t="e">
        <f>(HYPERLINK("http://www.autodoc.ru/Web/price/art/3543LGNH5FD?analog=on","3543LGNH5FD"))*1</f>
        <v>#VALUE!</v>
      </c>
      <c r="B2835" s="1">
        <v>6993507</v>
      </c>
      <c r="C2835" t="s">
        <v>2989</v>
      </c>
      <c r="D2835" t="s">
        <v>3007</v>
      </c>
      <c r="E2835" t="s">
        <v>10</v>
      </c>
    </row>
    <row r="2836" spans="1:5" hidden="1" outlineLevel="2">
      <c r="A2836" s="3" t="e">
        <f>(HYPERLINK("http://www.autodoc.ru/Web/price/art/3543LGNH5RD?analog=on","3543LGNH5RD"))*1</f>
        <v>#VALUE!</v>
      </c>
      <c r="B2836" s="1">
        <v>6993511</v>
      </c>
      <c r="C2836" t="s">
        <v>2989</v>
      </c>
      <c r="D2836" t="s">
        <v>3008</v>
      </c>
      <c r="E2836" t="s">
        <v>10</v>
      </c>
    </row>
    <row r="2837" spans="1:5" hidden="1" outlineLevel="2">
      <c r="A2837" s="3" t="e">
        <f>(HYPERLINK("http://www.autodoc.ru/Web/price/art/3543RCLE5RV?analog=on","3543RCLE5RV"))*1</f>
        <v>#VALUE!</v>
      </c>
      <c r="B2837" s="1">
        <v>6994403</v>
      </c>
      <c r="C2837" t="s">
        <v>2989</v>
      </c>
      <c r="D2837" t="s">
        <v>3009</v>
      </c>
      <c r="E2837" t="s">
        <v>10</v>
      </c>
    </row>
    <row r="2838" spans="1:5" hidden="1" outlineLevel="2">
      <c r="A2838" s="3" t="e">
        <f>(HYPERLINK("http://www.autodoc.ru/Web/price/art/3543RCLH5FD?analog=on","3543RCLH5FD"))*1</f>
        <v>#VALUE!</v>
      </c>
      <c r="B2838" s="1">
        <v>6993506</v>
      </c>
      <c r="C2838" t="s">
        <v>2989</v>
      </c>
      <c r="D2838" t="s">
        <v>3010</v>
      </c>
      <c r="E2838" t="s">
        <v>10</v>
      </c>
    </row>
    <row r="2839" spans="1:5" hidden="1" outlineLevel="2">
      <c r="A2839" s="3" t="e">
        <f>(HYPERLINK("http://www.autodoc.ru/Web/price/art/3543RCLH5RD?analog=on","3543RCLH5RD"))*1</f>
        <v>#VALUE!</v>
      </c>
      <c r="B2839" s="1">
        <v>6993510</v>
      </c>
      <c r="C2839" t="s">
        <v>2989</v>
      </c>
      <c r="D2839" t="s">
        <v>3011</v>
      </c>
      <c r="E2839" t="s">
        <v>10</v>
      </c>
    </row>
    <row r="2840" spans="1:5" hidden="1" outlineLevel="2">
      <c r="A2840" s="3" t="e">
        <f>(HYPERLINK("http://www.autodoc.ru/Web/price/art/3543RGNE5RD?analog=on","3543RGNE5RD"))*1</f>
        <v>#VALUE!</v>
      </c>
      <c r="B2840" s="1">
        <v>6996701</v>
      </c>
      <c r="C2840" t="s">
        <v>2989</v>
      </c>
      <c r="D2840" t="s">
        <v>3012</v>
      </c>
      <c r="E2840" t="s">
        <v>10</v>
      </c>
    </row>
    <row r="2841" spans="1:5" hidden="1" outlineLevel="2">
      <c r="A2841" s="3" t="e">
        <f>(HYPERLINK("http://www.autodoc.ru/Web/price/art/3543RGNE5RV?analog=on","3543RGNE5RV"))*1</f>
        <v>#VALUE!</v>
      </c>
      <c r="B2841" s="1">
        <v>6994405</v>
      </c>
      <c r="C2841" t="s">
        <v>2989</v>
      </c>
      <c r="D2841" t="s">
        <v>3013</v>
      </c>
      <c r="E2841" t="s">
        <v>10</v>
      </c>
    </row>
    <row r="2842" spans="1:5" hidden="1" outlineLevel="2">
      <c r="A2842" s="3" t="e">
        <f>(HYPERLINK("http://www.autodoc.ru/Web/price/art/3543RGNH5FD?analog=on","3543RGNH5FD"))*1</f>
        <v>#VALUE!</v>
      </c>
      <c r="B2842" s="1">
        <v>6993508</v>
      </c>
      <c r="C2842" t="s">
        <v>2989</v>
      </c>
      <c r="D2842" t="s">
        <v>3014</v>
      </c>
      <c r="E2842" t="s">
        <v>10</v>
      </c>
    </row>
    <row r="2843" spans="1:5" hidden="1" outlineLevel="2">
      <c r="A2843" s="3" t="e">
        <f>(HYPERLINK("http://www.autodoc.ru/Web/price/art/3543RGNH5RD?analog=on","3543RGNH5RD"))*1</f>
        <v>#VALUE!</v>
      </c>
      <c r="B2843" s="1">
        <v>6993512</v>
      </c>
      <c r="C2843" t="s">
        <v>2989</v>
      </c>
      <c r="D2843" t="s">
        <v>3015</v>
      </c>
      <c r="E2843" t="s">
        <v>10</v>
      </c>
    </row>
    <row r="2844" spans="1:5" hidden="1" outlineLevel="1">
      <c r="A2844" s="2">
        <v>0</v>
      </c>
      <c r="B2844" s="26" t="s">
        <v>3016</v>
      </c>
      <c r="C2844" s="27">
        <v>0</v>
      </c>
      <c r="D2844" s="27">
        <v>0</v>
      </c>
      <c r="E2844" s="27">
        <v>0</v>
      </c>
    </row>
    <row r="2845" spans="1:5" hidden="1" outlineLevel="2">
      <c r="A2845" s="3" t="e">
        <f>(HYPERLINK("http://www.autodoc.ru/Web/price/art/3715ACL?analog=on","3715ACL"))*1</f>
        <v>#VALUE!</v>
      </c>
      <c r="B2845" s="1">
        <v>6969201</v>
      </c>
      <c r="C2845" t="s">
        <v>3017</v>
      </c>
      <c r="D2845" t="s">
        <v>3018</v>
      </c>
      <c r="E2845" t="s">
        <v>8</v>
      </c>
    </row>
    <row r="2846" spans="1:5" hidden="1" outlineLevel="1">
      <c r="A2846" s="2">
        <v>0</v>
      </c>
      <c r="B2846" s="26" t="s">
        <v>3019</v>
      </c>
      <c r="C2846" s="27">
        <v>0</v>
      </c>
      <c r="D2846" s="27">
        <v>0</v>
      </c>
      <c r="E2846" s="27">
        <v>0</v>
      </c>
    </row>
    <row r="2847" spans="1:5" hidden="1" outlineLevel="2">
      <c r="A2847" s="3" t="e">
        <f>(HYPERLINK("http://www.autodoc.ru/Web/price/art/3731ACL3B?analog=on","3731ACL3B"))*1</f>
        <v>#VALUE!</v>
      </c>
      <c r="B2847" s="1">
        <v>6969512</v>
      </c>
      <c r="C2847" t="s">
        <v>3020</v>
      </c>
      <c r="D2847" t="s">
        <v>3021</v>
      </c>
      <c r="E2847" t="s">
        <v>8</v>
      </c>
    </row>
    <row r="2848" spans="1:5" hidden="1" outlineLevel="2">
      <c r="A2848" s="3" t="e">
        <f>(HYPERLINK("http://www.autodoc.ru/Web/price/art/3731ACLH3B?analog=on","3731ACLH3B"))*1</f>
        <v>#VALUE!</v>
      </c>
      <c r="B2848" s="1">
        <v>6963311</v>
      </c>
      <c r="C2848" t="s">
        <v>3020</v>
      </c>
      <c r="D2848" t="s">
        <v>3022</v>
      </c>
      <c r="E2848" t="s">
        <v>8</v>
      </c>
    </row>
    <row r="2849" spans="1:5" hidden="1" outlineLevel="2">
      <c r="A2849" s="3" t="e">
        <f>(HYPERLINK("http://www.autodoc.ru/Web/price/art/3731AGN3B?analog=on","3731AGN3B"))*1</f>
        <v>#VALUE!</v>
      </c>
      <c r="B2849" s="1">
        <v>6969513</v>
      </c>
      <c r="C2849" t="s">
        <v>3020</v>
      </c>
      <c r="D2849" t="s">
        <v>3023</v>
      </c>
      <c r="E2849" t="s">
        <v>8</v>
      </c>
    </row>
    <row r="2850" spans="1:5" hidden="1" outlineLevel="2">
      <c r="A2850" s="3" t="e">
        <f>(HYPERLINK("http://www.autodoc.ru/Web/price/art/3731AGNBL3B?analog=on","3731AGNBL3B"))*1</f>
        <v>#VALUE!</v>
      </c>
      <c r="B2850" s="1">
        <v>6969515</v>
      </c>
      <c r="C2850" t="s">
        <v>3020</v>
      </c>
      <c r="D2850" t="s">
        <v>3024</v>
      </c>
      <c r="E2850" t="s">
        <v>8</v>
      </c>
    </row>
    <row r="2851" spans="1:5" hidden="1" outlineLevel="2">
      <c r="A2851" s="3" t="e">
        <f>(HYPERLINK("http://www.autodoc.ru/Web/price/art/3731AGNGN3B?analog=on","3731AGNGN3B"))*1</f>
        <v>#VALUE!</v>
      </c>
      <c r="B2851" s="1">
        <v>6969514</v>
      </c>
      <c r="C2851" t="s">
        <v>3020</v>
      </c>
      <c r="D2851" t="s">
        <v>3025</v>
      </c>
      <c r="E2851" t="s">
        <v>8</v>
      </c>
    </row>
    <row r="2852" spans="1:5" hidden="1" outlineLevel="2">
      <c r="A2852" s="3" t="e">
        <f>(HYPERLINK("http://www.autodoc.ru/Web/price/art/3731AKMV?analog=on","3731AKMV"))*1</f>
        <v>#VALUE!</v>
      </c>
      <c r="B2852" s="1">
        <v>6100077</v>
      </c>
      <c r="C2852" t="s">
        <v>19</v>
      </c>
      <c r="D2852" t="s">
        <v>3026</v>
      </c>
      <c r="E2852" t="s">
        <v>21</v>
      </c>
    </row>
    <row r="2853" spans="1:5" hidden="1" outlineLevel="2">
      <c r="A2853" s="3" t="e">
        <f>(HYPERLINK("http://www.autodoc.ru/Web/price/art/3731ASCVS?analog=on","3731ASCVS"))*1</f>
        <v>#VALUE!</v>
      </c>
      <c r="B2853" s="1">
        <v>6102334</v>
      </c>
      <c r="C2853" t="s">
        <v>19</v>
      </c>
      <c r="D2853" t="s">
        <v>3027</v>
      </c>
      <c r="E2853" t="s">
        <v>21</v>
      </c>
    </row>
    <row r="2854" spans="1:5" hidden="1" outlineLevel="2">
      <c r="A2854" s="3" t="e">
        <f>(HYPERLINK("http://www.autodoc.ru/Web/price/art/3731ASMV?analog=on","3731ASMV"))*1</f>
        <v>#VALUE!</v>
      </c>
      <c r="B2854" s="1">
        <v>6102335</v>
      </c>
      <c r="C2854" t="s">
        <v>19</v>
      </c>
      <c r="D2854" t="s">
        <v>3028</v>
      </c>
      <c r="E2854" t="s">
        <v>21</v>
      </c>
    </row>
    <row r="2855" spans="1:5" hidden="1" outlineLevel="2">
      <c r="A2855" s="3" t="e">
        <f>(HYPERLINK("http://www.autodoc.ru/Web/price/art/3731BCLV?analog=on","3731BCLV"))*1</f>
        <v>#VALUE!</v>
      </c>
      <c r="B2855" s="1">
        <v>6998752</v>
      </c>
      <c r="C2855" t="s">
        <v>3020</v>
      </c>
      <c r="D2855" t="s">
        <v>3029</v>
      </c>
      <c r="E2855" t="s">
        <v>23</v>
      </c>
    </row>
    <row r="2856" spans="1:5" hidden="1" outlineLevel="2">
      <c r="A2856" s="3" t="e">
        <f>(HYPERLINK("http://www.autodoc.ru/Web/price/art/3731BCLVL?analog=on","3731BCLVL"))*1</f>
        <v>#VALUE!</v>
      </c>
      <c r="B2856" s="1">
        <v>6998753</v>
      </c>
      <c r="C2856" t="s">
        <v>3020</v>
      </c>
      <c r="D2856" t="s">
        <v>3030</v>
      </c>
      <c r="E2856" t="s">
        <v>23</v>
      </c>
    </row>
    <row r="2857" spans="1:5" hidden="1" outlineLevel="2">
      <c r="A2857" s="3" t="e">
        <f>(HYPERLINK("http://www.autodoc.ru/Web/price/art/3731BCLVLU1J?analog=on","3731BCLVLU1J"))*1</f>
        <v>#VALUE!</v>
      </c>
      <c r="B2857" s="1">
        <v>6997255</v>
      </c>
      <c r="C2857" t="s">
        <v>1491</v>
      </c>
      <c r="D2857" t="s">
        <v>3031</v>
      </c>
      <c r="E2857" t="s">
        <v>23</v>
      </c>
    </row>
    <row r="2858" spans="1:5" hidden="1" outlineLevel="2">
      <c r="A2858" s="3" t="e">
        <f>(HYPERLINK("http://www.autodoc.ru/Web/price/art/3731BCLVR?analog=on","3731BCLVR"))*1</f>
        <v>#VALUE!</v>
      </c>
      <c r="B2858" s="1">
        <v>6998754</v>
      </c>
      <c r="C2858" t="s">
        <v>3020</v>
      </c>
      <c r="D2858" t="s">
        <v>3032</v>
      </c>
      <c r="E2858" t="s">
        <v>23</v>
      </c>
    </row>
    <row r="2859" spans="1:5" hidden="1" outlineLevel="2">
      <c r="A2859" s="3" t="e">
        <f>(HYPERLINK("http://www.autodoc.ru/Web/price/art/3731BCLVRU1J?analog=on","3731BCLVRU1J"))*1</f>
        <v>#VALUE!</v>
      </c>
      <c r="B2859" s="1">
        <v>6997257</v>
      </c>
      <c r="C2859" t="s">
        <v>1491</v>
      </c>
      <c r="D2859" t="s">
        <v>3033</v>
      </c>
      <c r="E2859" t="s">
        <v>23</v>
      </c>
    </row>
    <row r="2860" spans="1:5" hidden="1" outlineLevel="2">
      <c r="A2860" s="3" t="e">
        <f>(HYPERLINK("http://www.autodoc.ru/Web/price/art/3731BCLVU?analog=on","3731BCLVU"))*1</f>
        <v>#VALUE!</v>
      </c>
      <c r="B2860" s="1">
        <v>6998989</v>
      </c>
      <c r="C2860" t="s">
        <v>3020</v>
      </c>
      <c r="D2860" t="s">
        <v>3034</v>
      </c>
      <c r="E2860" t="s">
        <v>23</v>
      </c>
    </row>
    <row r="2861" spans="1:5" hidden="1" outlineLevel="2">
      <c r="A2861" s="3" t="e">
        <f>(HYPERLINK("http://www.autodoc.ru/Web/price/art/3731LCLV2FD?analog=on","3731LCLV2FD"))*1</f>
        <v>#VALUE!</v>
      </c>
      <c r="B2861" s="1">
        <v>6993515</v>
      </c>
      <c r="C2861" t="s">
        <v>3020</v>
      </c>
      <c r="D2861" t="s">
        <v>3035</v>
      </c>
      <c r="E2861" t="s">
        <v>10</v>
      </c>
    </row>
    <row r="2862" spans="1:5" hidden="1" outlineLevel="2">
      <c r="A2862" s="3" t="e">
        <f>(HYPERLINK("http://www.autodoc.ru/Web/price/art/3731LCLV2FV?analog=on","3731LCLV2FV"))*1</f>
        <v>#VALUE!</v>
      </c>
      <c r="B2862" s="1">
        <v>6993513</v>
      </c>
      <c r="C2862" t="s">
        <v>3020</v>
      </c>
      <c r="D2862" t="s">
        <v>3036</v>
      </c>
      <c r="E2862" t="s">
        <v>10</v>
      </c>
    </row>
    <row r="2863" spans="1:5" hidden="1" outlineLevel="2">
      <c r="A2863" s="3" t="e">
        <f>(HYPERLINK("http://www.autodoc.ru/Web/price/art/3731LCLV2MQ?analog=on","3731LCLV2MQ"))*1</f>
        <v>#VALUE!</v>
      </c>
      <c r="B2863" s="1">
        <v>6996718</v>
      </c>
      <c r="C2863" t="s">
        <v>3020</v>
      </c>
      <c r="D2863" t="s">
        <v>3037</v>
      </c>
      <c r="E2863" t="s">
        <v>10</v>
      </c>
    </row>
    <row r="2864" spans="1:5" hidden="1" outlineLevel="2">
      <c r="A2864" s="3" t="e">
        <f>(HYPERLINK("http://www.autodoc.ru/Web/price/art/3731LSMVMQ?analog=on","3731LSMVMQ"))*1</f>
        <v>#VALUE!</v>
      </c>
      <c r="B2864" s="1">
        <v>6102333</v>
      </c>
      <c r="C2864" t="s">
        <v>19</v>
      </c>
      <c r="D2864" t="s">
        <v>3038</v>
      </c>
      <c r="E2864" t="s">
        <v>21</v>
      </c>
    </row>
    <row r="2865" spans="1:5" hidden="1" outlineLevel="2">
      <c r="A2865" s="3" t="e">
        <f>(HYPERLINK("http://www.autodoc.ru/Web/price/art/3731LSMVRQ?analog=on","3731LSMVRQ"))*1</f>
        <v>#VALUE!</v>
      </c>
      <c r="B2865" s="1">
        <v>6101772</v>
      </c>
      <c r="C2865" t="s">
        <v>19</v>
      </c>
      <c r="D2865" t="s">
        <v>3039</v>
      </c>
      <c r="E2865" t="s">
        <v>21</v>
      </c>
    </row>
    <row r="2866" spans="1:5" hidden="1" outlineLevel="2">
      <c r="A2866" s="3" t="e">
        <f>(HYPERLINK("http://www.autodoc.ru/Web/price/art/3731LCLV2RQ?analog=on","3731LCLV2RQ"))*1</f>
        <v>#VALUE!</v>
      </c>
      <c r="B2866" s="1">
        <v>6996719</v>
      </c>
      <c r="C2866" t="s">
        <v>3020</v>
      </c>
      <c r="D2866" t="s">
        <v>3040</v>
      </c>
      <c r="E2866" t="s">
        <v>10</v>
      </c>
    </row>
    <row r="2867" spans="1:5" hidden="1" outlineLevel="2">
      <c r="A2867" s="3" t="e">
        <f>(HYPERLINK("http://www.autodoc.ru/Web/price/art/3731LGNV2FD?analog=on","3731LGNV2FD"))*1</f>
        <v>#VALUE!</v>
      </c>
      <c r="B2867" s="1">
        <v>6996722</v>
      </c>
      <c r="C2867" t="s">
        <v>3020</v>
      </c>
      <c r="D2867" t="s">
        <v>3041</v>
      </c>
      <c r="E2867" t="s">
        <v>10</v>
      </c>
    </row>
    <row r="2868" spans="1:5" hidden="1" outlineLevel="2">
      <c r="A2868" s="3" t="e">
        <f>(HYPERLINK("http://www.autodoc.ru/Web/price/art/3731LGNV2FV?analog=on","3731LGNV2FV"))*1</f>
        <v>#VALUE!</v>
      </c>
      <c r="B2868" s="1">
        <v>6996723</v>
      </c>
      <c r="C2868" t="s">
        <v>3020</v>
      </c>
      <c r="D2868" t="s">
        <v>3042</v>
      </c>
      <c r="E2868" t="s">
        <v>10</v>
      </c>
    </row>
    <row r="2869" spans="1:5" hidden="1" outlineLevel="2">
      <c r="A2869" s="3" t="e">
        <f>(HYPERLINK("http://www.autodoc.ru/Web/price/art/3731RCLV2FD?analog=on","3731RCLV2FD"))*1</f>
        <v>#VALUE!</v>
      </c>
      <c r="B2869" s="1">
        <v>6993516</v>
      </c>
      <c r="C2869" t="s">
        <v>3020</v>
      </c>
      <c r="D2869" t="s">
        <v>3043</v>
      </c>
      <c r="E2869" t="s">
        <v>10</v>
      </c>
    </row>
    <row r="2870" spans="1:5" hidden="1" outlineLevel="2">
      <c r="A2870" s="3" t="e">
        <f>(HYPERLINK("http://www.autodoc.ru/Web/price/art/3731RCLV2FV?analog=on","3731RCLV2FV"))*1</f>
        <v>#VALUE!</v>
      </c>
      <c r="B2870" s="1">
        <v>6993514</v>
      </c>
      <c r="C2870" t="s">
        <v>3020</v>
      </c>
      <c r="D2870" t="s">
        <v>3043</v>
      </c>
      <c r="E2870" t="s">
        <v>10</v>
      </c>
    </row>
    <row r="2871" spans="1:5" hidden="1" outlineLevel="2">
      <c r="A2871" s="3" t="e">
        <f>(HYPERLINK("http://www.autodoc.ru/Web/price/art/3731RCLV2MQ?analog=on","3731RCLV2MQ"))*1</f>
        <v>#VALUE!</v>
      </c>
      <c r="B2871" s="1">
        <v>6996720</v>
      </c>
      <c r="C2871" t="s">
        <v>3020</v>
      </c>
      <c r="D2871" t="s">
        <v>3044</v>
      </c>
      <c r="E2871" t="s">
        <v>10</v>
      </c>
    </row>
    <row r="2872" spans="1:5" hidden="1" outlineLevel="2">
      <c r="A2872" s="3" t="e">
        <f>(HYPERLINK("http://www.autodoc.ru/Web/price/art/3731RCLV2MQF?analog=on","3731RCLV2MQF"))*1</f>
        <v>#VALUE!</v>
      </c>
      <c r="B2872" s="1">
        <v>6900006</v>
      </c>
      <c r="C2872" t="s">
        <v>3020</v>
      </c>
      <c r="D2872" t="s">
        <v>3045</v>
      </c>
      <c r="E2872" t="s">
        <v>10</v>
      </c>
    </row>
    <row r="2873" spans="1:5" hidden="1" outlineLevel="2">
      <c r="A2873" s="3" t="e">
        <f>(HYPERLINK("http://www.autodoc.ru/Web/price/art/3731RCLV2RQ?analog=on","3731RCLV2RQ"))*1</f>
        <v>#VALUE!</v>
      </c>
      <c r="B2873" s="1">
        <v>6996721</v>
      </c>
      <c r="C2873" t="s">
        <v>3020</v>
      </c>
      <c r="D2873" t="s">
        <v>3046</v>
      </c>
      <c r="E2873" t="s">
        <v>10</v>
      </c>
    </row>
    <row r="2874" spans="1:5" hidden="1" outlineLevel="2">
      <c r="A2874" s="3" t="e">
        <f>(HYPERLINK("http://www.autodoc.ru/Web/price/art/3731RGNV2FD?analog=on","3731RGNV2FD"))*1</f>
        <v>#VALUE!</v>
      </c>
      <c r="B2874" s="1">
        <v>6996724</v>
      </c>
      <c r="C2874" t="s">
        <v>3020</v>
      </c>
      <c r="D2874" t="s">
        <v>3047</v>
      </c>
      <c r="E2874" t="s">
        <v>10</v>
      </c>
    </row>
    <row r="2875" spans="1:5" hidden="1" outlineLevel="2">
      <c r="A2875" s="3" t="e">
        <f>(HYPERLINK("http://www.autodoc.ru/Web/price/art/3731RGNV2FV?analog=on","3731RGNV2FV"))*1</f>
        <v>#VALUE!</v>
      </c>
      <c r="B2875" s="1">
        <v>6996725</v>
      </c>
      <c r="C2875" t="s">
        <v>3020</v>
      </c>
      <c r="D2875" t="s">
        <v>3048</v>
      </c>
      <c r="E2875" t="s">
        <v>10</v>
      </c>
    </row>
    <row r="2876" spans="1:5" hidden="1" outlineLevel="1">
      <c r="A2876" s="2">
        <v>0</v>
      </c>
      <c r="B2876" s="26" t="s">
        <v>3049</v>
      </c>
      <c r="C2876" s="27">
        <v>0</v>
      </c>
      <c r="D2876" s="27">
        <v>0</v>
      </c>
      <c r="E2876" s="27">
        <v>0</v>
      </c>
    </row>
    <row r="2877" spans="1:5" hidden="1" outlineLevel="2">
      <c r="A2877" s="3" t="e">
        <f>(HYPERLINK("http://www.autodoc.ru/Web/price/art/3739ACL?analog=on","3739ACL"))*1</f>
        <v>#VALUE!</v>
      </c>
      <c r="B2877" s="1">
        <v>6960172</v>
      </c>
      <c r="C2877" t="s">
        <v>831</v>
      </c>
      <c r="D2877" t="s">
        <v>3050</v>
      </c>
      <c r="E2877" t="s">
        <v>8</v>
      </c>
    </row>
    <row r="2878" spans="1:5" hidden="1" outlineLevel="2">
      <c r="A2878" s="3" t="e">
        <f>(HYPERLINK("http://www.autodoc.ru/Web/price/art/3739ACLV1B?analog=on","3739ACLV1B"))*1</f>
        <v>#VALUE!</v>
      </c>
      <c r="B2878" s="1">
        <v>6961871</v>
      </c>
      <c r="C2878" t="s">
        <v>389</v>
      </c>
      <c r="D2878" t="s">
        <v>3051</v>
      </c>
      <c r="E2878" t="s">
        <v>8</v>
      </c>
    </row>
    <row r="2879" spans="1:5" hidden="1" outlineLevel="2">
      <c r="A2879" s="3" t="e">
        <f>(HYPERLINK("http://www.autodoc.ru/Web/price/art/3739ACLV1P?analog=on","3739ACLV1P"))*1</f>
        <v>#VALUE!</v>
      </c>
      <c r="B2879" s="1">
        <v>6961878</v>
      </c>
      <c r="C2879" t="s">
        <v>389</v>
      </c>
      <c r="D2879" t="s">
        <v>3052</v>
      </c>
      <c r="E2879" t="s">
        <v>8</v>
      </c>
    </row>
    <row r="2880" spans="1:5" hidden="1" outlineLevel="2">
      <c r="A2880" s="3" t="e">
        <f>(HYPERLINK("http://www.autodoc.ru/Web/price/art/3739AGN?analog=on","3739AGN"))*1</f>
        <v>#VALUE!</v>
      </c>
      <c r="B2880" s="1">
        <v>6960179</v>
      </c>
      <c r="C2880" t="s">
        <v>831</v>
      </c>
      <c r="D2880" t="s">
        <v>3053</v>
      </c>
      <c r="E2880" t="s">
        <v>8</v>
      </c>
    </row>
    <row r="2881" spans="1:5" hidden="1" outlineLevel="2">
      <c r="A2881" s="3" t="e">
        <f>(HYPERLINK("http://www.autodoc.ru/Web/price/art/3739AGNBL?analog=on","3739AGNBL"))*1</f>
        <v>#VALUE!</v>
      </c>
      <c r="B2881" s="1">
        <v>6961963</v>
      </c>
      <c r="C2881" t="s">
        <v>831</v>
      </c>
      <c r="D2881" t="s">
        <v>3054</v>
      </c>
      <c r="E2881" t="s">
        <v>8</v>
      </c>
    </row>
    <row r="2882" spans="1:5" hidden="1" outlineLevel="2">
      <c r="A2882" s="3" t="e">
        <f>(HYPERLINK("http://www.autodoc.ru/Web/price/art/3739AGNH?analog=on","3739AGNH"))*1</f>
        <v>#VALUE!</v>
      </c>
      <c r="B2882" s="1">
        <v>6961912</v>
      </c>
      <c r="C2882" t="s">
        <v>831</v>
      </c>
      <c r="D2882" t="s">
        <v>3055</v>
      </c>
      <c r="E2882" t="s">
        <v>8</v>
      </c>
    </row>
    <row r="2883" spans="1:5" hidden="1" outlineLevel="2">
      <c r="A2883" s="3" t="e">
        <f>(HYPERLINK("http://www.autodoc.ru/Web/price/art/3739AGNHMV1P?analog=on","3739AGNHMV1P"))*1</f>
        <v>#VALUE!</v>
      </c>
      <c r="B2883" s="1">
        <v>6962891</v>
      </c>
      <c r="C2883" t="s">
        <v>389</v>
      </c>
      <c r="D2883" t="s">
        <v>3056</v>
      </c>
      <c r="E2883" t="s">
        <v>8</v>
      </c>
    </row>
    <row r="2884" spans="1:5" hidden="1" outlineLevel="2">
      <c r="A2884" s="3" t="e">
        <f>(HYPERLINK("http://www.autodoc.ru/Web/price/art/3739AGNV1B?analog=on","3739AGNV1B"))*1</f>
        <v>#VALUE!</v>
      </c>
      <c r="B2884" s="1">
        <v>6961872</v>
      </c>
      <c r="C2884" t="s">
        <v>389</v>
      </c>
      <c r="D2884" t="s">
        <v>3057</v>
      </c>
      <c r="E2884" t="s">
        <v>8</v>
      </c>
    </row>
    <row r="2885" spans="1:5" hidden="1" outlineLevel="2">
      <c r="A2885" s="3" t="e">
        <f>(HYPERLINK("http://www.autodoc.ru/Web/price/art/3739AGNV1P?analog=on","3739AGNV1P"))*1</f>
        <v>#VALUE!</v>
      </c>
      <c r="B2885" s="1">
        <v>6961879</v>
      </c>
      <c r="C2885" t="s">
        <v>389</v>
      </c>
      <c r="D2885" t="s">
        <v>3058</v>
      </c>
      <c r="E2885" t="s">
        <v>8</v>
      </c>
    </row>
    <row r="2886" spans="1:5" hidden="1" outlineLevel="2">
      <c r="A2886" s="3" t="e">
        <f>(HYPERLINK("http://www.autodoc.ru/Web/price/art/3739AKCVS1F?analog=on","3739AKCVS1F"))*1</f>
        <v>#VALUE!</v>
      </c>
      <c r="B2886" s="1">
        <v>6102153</v>
      </c>
      <c r="C2886" t="s">
        <v>19</v>
      </c>
      <c r="D2886" t="s">
        <v>3059</v>
      </c>
      <c r="E2886" t="s">
        <v>21</v>
      </c>
    </row>
    <row r="2887" spans="1:5" hidden="1" outlineLevel="2">
      <c r="A2887" s="3" t="e">
        <f>(HYPERLINK("http://www.autodoc.ru/Web/price/art/3739AKMV?analog=on","3739AKMV"))*1</f>
        <v>#VALUE!</v>
      </c>
      <c r="B2887" s="1">
        <v>6101033</v>
      </c>
      <c r="C2887" t="s">
        <v>19</v>
      </c>
      <c r="D2887" t="s">
        <v>3060</v>
      </c>
      <c r="E2887" t="s">
        <v>21</v>
      </c>
    </row>
    <row r="2888" spans="1:5" hidden="1" outlineLevel="2">
      <c r="A2888" s="3" t="e">
        <f>(HYPERLINK("http://www.autodoc.ru/Web/price/art/3739ASMVT?analog=on","3739ASMVT"))*1</f>
        <v>#VALUE!</v>
      </c>
      <c r="B2888" s="1">
        <v>6100287</v>
      </c>
      <c r="C2888" t="s">
        <v>19</v>
      </c>
      <c r="D2888" t="s">
        <v>3061</v>
      </c>
      <c r="E2888" t="s">
        <v>21</v>
      </c>
    </row>
    <row r="2889" spans="1:5" hidden="1" outlineLevel="2">
      <c r="A2889" s="3" t="e">
        <f>(HYPERLINK("http://www.autodoc.ru/Web/price/art/3739BGNVL1H?analog=on","3739BGNVL1H"))*1</f>
        <v>#VALUE!</v>
      </c>
      <c r="B2889" s="1">
        <v>6995239</v>
      </c>
      <c r="C2889" t="s">
        <v>831</v>
      </c>
      <c r="D2889" t="s">
        <v>3062</v>
      </c>
      <c r="E2889" t="s">
        <v>23</v>
      </c>
    </row>
    <row r="2890" spans="1:5" hidden="1" outlineLevel="2">
      <c r="A2890" s="3" t="e">
        <f>(HYPERLINK("http://www.autodoc.ru/Web/price/art/3739BGNVLU?analog=on","3739BGNVLU"))*1</f>
        <v>#VALUE!</v>
      </c>
      <c r="B2890" s="1">
        <v>6980053</v>
      </c>
      <c r="C2890" t="s">
        <v>831</v>
      </c>
      <c r="D2890" t="s">
        <v>3063</v>
      </c>
      <c r="E2890" t="s">
        <v>23</v>
      </c>
    </row>
    <row r="2891" spans="1:5" hidden="1" outlineLevel="2">
      <c r="A2891" s="3" t="e">
        <f>(HYPERLINK("http://www.autodoc.ru/Web/price/art/3739BGNVR?analog=on","3739BGNVR"))*1</f>
        <v>#VALUE!</v>
      </c>
      <c r="B2891" s="1">
        <v>6980001</v>
      </c>
      <c r="C2891" t="s">
        <v>831</v>
      </c>
      <c r="D2891" t="s">
        <v>3064</v>
      </c>
      <c r="E2891" t="s">
        <v>23</v>
      </c>
    </row>
    <row r="2892" spans="1:5" hidden="1" outlineLevel="2">
      <c r="A2892" s="3" t="e">
        <f>(HYPERLINK("http://www.autodoc.ru/Web/price/art/3739BGNVR1H?analog=on","3739BGNVR1H"))*1</f>
        <v>#VALUE!</v>
      </c>
      <c r="B2892" s="1">
        <v>6995240</v>
      </c>
      <c r="C2892" t="s">
        <v>831</v>
      </c>
      <c r="D2892" t="s">
        <v>3065</v>
      </c>
      <c r="E2892" t="s">
        <v>23</v>
      </c>
    </row>
    <row r="2893" spans="1:5" hidden="1" outlineLevel="2">
      <c r="A2893" s="3" t="e">
        <f>(HYPERLINK("http://www.autodoc.ru/Web/price/art/3739BGNVRU?analog=on","3739BGNVRU"))*1</f>
        <v>#VALUE!</v>
      </c>
      <c r="B2893" s="1">
        <v>6980014</v>
      </c>
      <c r="C2893" t="s">
        <v>831</v>
      </c>
      <c r="D2893" t="s">
        <v>3066</v>
      </c>
      <c r="E2893" t="s">
        <v>23</v>
      </c>
    </row>
    <row r="2894" spans="1:5" hidden="1" outlineLevel="2">
      <c r="A2894" s="3" t="e">
        <f>(HYPERLINK("http://www.autodoc.ru/Web/price/art/3739BGNVL?analog=on","3739BGNVL"))*1</f>
        <v>#VALUE!</v>
      </c>
      <c r="B2894" s="1">
        <v>6980016</v>
      </c>
      <c r="C2894" t="s">
        <v>831</v>
      </c>
      <c r="D2894" t="s">
        <v>3067</v>
      </c>
      <c r="E2894" t="s">
        <v>23</v>
      </c>
    </row>
    <row r="2895" spans="1:5" hidden="1" outlineLevel="2">
      <c r="A2895" s="3" t="e">
        <f>(HYPERLINK("http://www.autodoc.ru/Web/price/art/3739LCLV2FD?analog=on","3739LCLV2FD"))*1</f>
        <v>#VALUE!</v>
      </c>
      <c r="B2895" s="1">
        <v>6993064</v>
      </c>
      <c r="C2895" t="s">
        <v>831</v>
      </c>
      <c r="D2895" t="s">
        <v>3068</v>
      </c>
      <c r="E2895" t="s">
        <v>10</v>
      </c>
    </row>
    <row r="2896" spans="1:5" hidden="1" outlineLevel="2">
      <c r="A2896" s="3" t="e">
        <f>(HYPERLINK("http://www.autodoc.ru/Web/price/art/3739LGNV2FD?analog=on","3739LGNV2FD"))*1</f>
        <v>#VALUE!</v>
      </c>
      <c r="B2896" s="1">
        <v>6993067</v>
      </c>
      <c r="C2896" t="s">
        <v>831</v>
      </c>
      <c r="D2896" t="s">
        <v>3069</v>
      </c>
      <c r="E2896" t="s">
        <v>10</v>
      </c>
    </row>
    <row r="2897" spans="1:5" hidden="1" outlineLevel="2">
      <c r="A2897" s="3" t="e">
        <f>(HYPERLINK("http://www.autodoc.ru/Web/price/art/3739LGNV2FVZ?analog=on","3739LGNV2FVZ"))*1</f>
        <v>#VALUE!</v>
      </c>
      <c r="B2897" s="1">
        <v>6993971</v>
      </c>
      <c r="C2897" t="s">
        <v>831</v>
      </c>
      <c r="D2897" t="s">
        <v>3070</v>
      </c>
      <c r="E2897" t="s">
        <v>10</v>
      </c>
    </row>
    <row r="2898" spans="1:5" hidden="1" outlineLevel="2">
      <c r="A2898" s="3" t="e">
        <f>(HYPERLINK("http://www.autodoc.ru/Web/price/art/3739LGNV3MQ?analog=on","3739LGNV3MQ"))*1</f>
        <v>#VALUE!</v>
      </c>
      <c r="B2898" s="1">
        <v>6900073</v>
      </c>
      <c r="C2898" t="s">
        <v>831</v>
      </c>
      <c r="D2898" t="s">
        <v>3071</v>
      </c>
      <c r="E2898" t="s">
        <v>10</v>
      </c>
    </row>
    <row r="2899" spans="1:5" hidden="1" outlineLevel="2">
      <c r="A2899" s="3" t="e">
        <f>(HYPERLINK("http://www.autodoc.ru/Web/price/art/3739LGNV3RQ?analog=on","3739LGNV3RQ"))*1</f>
        <v>#VALUE!</v>
      </c>
      <c r="B2899" s="1">
        <v>6900330</v>
      </c>
      <c r="C2899" t="s">
        <v>831</v>
      </c>
      <c r="D2899" t="s">
        <v>3072</v>
      </c>
      <c r="E2899" t="s">
        <v>10</v>
      </c>
    </row>
    <row r="2900" spans="1:5" hidden="1" outlineLevel="2">
      <c r="A2900" s="3" t="e">
        <f>(HYPERLINK("http://www.autodoc.ru/Web/price/art/3739RCLV2FD?analog=on","3739RCLV2FD"))*1</f>
        <v>#VALUE!</v>
      </c>
      <c r="B2900" s="1">
        <v>6993084</v>
      </c>
      <c r="C2900" t="s">
        <v>831</v>
      </c>
      <c r="D2900" t="s">
        <v>3073</v>
      </c>
      <c r="E2900" t="s">
        <v>10</v>
      </c>
    </row>
    <row r="2901" spans="1:5" hidden="1" outlineLevel="2">
      <c r="A2901" s="3" t="e">
        <f>(HYPERLINK("http://www.autodoc.ru/Web/price/art/3739RGNV2FD?analog=on","3739RGNV2FD"))*1</f>
        <v>#VALUE!</v>
      </c>
      <c r="B2901" s="1">
        <v>6993085</v>
      </c>
      <c r="C2901" t="s">
        <v>831</v>
      </c>
      <c r="D2901" t="s">
        <v>3074</v>
      </c>
      <c r="E2901" t="s">
        <v>10</v>
      </c>
    </row>
    <row r="2902" spans="1:5" hidden="1" outlineLevel="2">
      <c r="A2902" s="3" t="e">
        <f>(HYPERLINK("http://www.autodoc.ru/Web/price/art/3739RGNV2FVZ?analog=on","3739RGNV2FVZ"))*1</f>
        <v>#VALUE!</v>
      </c>
      <c r="B2902" s="1">
        <v>6993972</v>
      </c>
      <c r="C2902" t="s">
        <v>831</v>
      </c>
      <c r="D2902" t="s">
        <v>3075</v>
      </c>
      <c r="E2902" t="s">
        <v>10</v>
      </c>
    </row>
    <row r="2903" spans="1:5" hidden="1" outlineLevel="2">
      <c r="A2903" s="3" t="e">
        <f>(HYPERLINK("http://www.autodoc.ru/Web/price/art/3739RGNV3MQ?analog=on","3739RGNV3MQ"))*1</f>
        <v>#VALUE!</v>
      </c>
      <c r="B2903" s="1">
        <v>6900114</v>
      </c>
      <c r="C2903" t="s">
        <v>831</v>
      </c>
      <c r="D2903" t="s">
        <v>3076</v>
      </c>
      <c r="E2903" t="s">
        <v>10</v>
      </c>
    </row>
    <row r="2904" spans="1:5" hidden="1" outlineLevel="2">
      <c r="A2904" s="3" t="e">
        <f>(HYPERLINK("http://www.autodoc.ru/Web/price/art/3739RGNV3RQ?analog=on","3739RGNV3RQ"))*1</f>
        <v>#VALUE!</v>
      </c>
      <c r="B2904" s="1">
        <v>6900347</v>
      </c>
      <c r="C2904" t="s">
        <v>831</v>
      </c>
      <c r="D2904" t="s">
        <v>3077</v>
      </c>
      <c r="E2904" t="s">
        <v>10</v>
      </c>
    </row>
    <row r="2905" spans="1:5" hidden="1" outlineLevel="1">
      <c r="A2905" s="2">
        <v>0</v>
      </c>
      <c r="B2905" s="26" t="s">
        <v>3078</v>
      </c>
      <c r="C2905" s="27">
        <v>0</v>
      </c>
      <c r="D2905" s="27">
        <v>0</v>
      </c>
      <c r="E2905" s="27">
        <v>0</v>
      </c>
    </row>
    <row r="2906" spans="1:5" hidden="1" outlineLevel="2">
      <c r="A2906" s="3" t="e">
        <f>(HYPERLINK("http://www.autodoc.ru/Web/price/art/3743AGNHV?analog=on","3743AGNHV"))*1</f>
        <v>#VALUE!</v>
      </c>
      <c r="B2906" s="1">
        <v>6961966</v>
      </c>
      <c r="C2906" t="s">
        <v>1053</v>
      </c>
      <c r="D2906" t="s">
        <v>3079</v>
      </c>
      <c r="E2906" t="s">
        <v>8</v>
      </c>
    </row>
    <row r="2907" spans="1:5" hidden="1" outlineLevel="2">
      <c r="A2907" s="3" t="e">
        <f>(HYPERLINK("http://www.autodoc.ru/Web/price/art/3743AGNHV1C?analog=on","3743AGNHV1C"))*1</f>
        <v>#VALUE!</v>
      </c>
      <c r="B2907" s="1">
        <v>6961965</v>
      </c>
      <c r="C2907" t="s">
        <v>1053</v>
      </c>
      <c r="D2907" t="s">
        <v>3080</v>
      </c>
      <c r="E2907" t="s">
        <v>8</v>
      </c>
    </row>
    <row r="2908" spans="1:5" hidden="1" outlineLevel="2">
      <c r="A2908" s="3" t="e">
        <f>(HYPERLINK("http://www.autodoc.ru/Web/price/art/3743AGNV?analog=on","3743AGNV"))*1</f>
        <v>#VALUE!</v>
      </c>
      <c r="B2908" s="1">
        <v>6961324</v>
      </c>
      <c r="C2908" t="s">
        <v>1053</v>
      </c>
      <c r="D2908" t="s">
        <v>3081</v>
      </c>
      <c r="E2908" t="s">
        <v>8</v>
      </c>
    </row>
    <row r="2909" spans="1:5" hidden="1" outlineLevel="2">
      <c r="A2909" s="3" t="e">
        <f>(HYPERLINK("http://www.autodoc.ru/Web/price/art/3743AGNV1P?analog=on","3743AGNV1P"))*1</f>
        <v>#VALUE!</v>
      </c>
      <c r="B2909" s="1">
        <v>6961042</v>
      </c>
      <c r="C2909" t="s">
        <v>1053</v>
      </c>
      <c r="D2909" t="s">
        <v>3082</v>
      </c>
      <c r="E2909" t="s">
        <v>8</v>
      </c>
    </row>
    <row r="2910" spans="1:5" hidden="1" outlineLevel="2">
      <c r="A2910" s="3" t="e">
        <f>(HYPERLINK("http://www.autodoc.ru/Web/price/art/3743AGSBLV1C?analog=on","3743AGSBLV1C"))*1</f>
        <v>#VALUE!</v>
      </c>
      <c r="B2910" s="1">
        <v>6961964</v>
      </c>
      <c r="C2910" t="s">
        <v>1053</v>
      </c>
      <c r="D2910" t="s">
        <v>3083</v>
      </c>
      <c r="E2910" t="s">
        <v>8</v>
      </c>
    </row>
    <row r="2911" spans="1:5" hidden="1" outlineLevel="2">
      <c r="A2911" s="3" t="e">
        <f>(HYPERLINK("http://www.autodoc.ru/Web/price/art/3743ASMV?analog=on","3743ASMV"))*1</f>
        <v>#VALUE!</v>
      </c>
      <c r="B2911" s="1">
        <v>6101056</v>
      </c>
      <c r="C2911" t="s">
        <v>19</v>
      </c>
      <c r="D2911" t="s">
        <v>3084</v>
      </c>
      <c r="E2911" t="s">
        <v>21</v>
      </c>
    </row>
    <row r="2912" spans="1:5" hidden="1" outlineLevel="2">
      <c r="A2912" s="3" t="e">
        <f>(HYPERLINK("http://www.autodoc.ru/Web/price/art/3743BGNVL1H?analog=on","3743BGNVL1H"))*1</f>
        <v>#VALUE!</v>
      </c>
      <c r="B2912" s="1">
        <v>6995242</v>
      </c>
      <c r="C2912" t="s">
        <v>1053</v>
      </c>
      <c r="D2912" t="s">
        <v>3085</v>
      </c>
      <c r="E2912" t="s">
        <v>23</v>
      </c>
    </row>
    <row r="2913" spans="1:5" hidden="1" outlineLevel="2">
      <c r="A2913" s="3" t="e">
        <f>(HYPERLINK("http://www.autodoc.ru/Web/price/art/3743BGNVR1H?analog=on","3743BGNVR1H"))*1</f>
        <v>#VALUE!</v>
      </c>
      <c r="B2913" s="1">
        <v>6995243</v>
      </c>
      <c r="C2913" t="s">
        <v>1053</v>
      </c>
      <c r="D2913" t="s">
        <v>3086</v>
      </c>
      <c r="E2913" t="s">
        <v>23</v>
      </c>
    </row>
    <row r="2914" spans="1:5" hidden="1" outlineLevel="2">
      <c r="A2914" s="3" t="e">
        <f>(HYPERLINK("http://www.autodoc.ru/Web/price/art/3743BGNV1H?analog=on","3743BGNV1H"))*1</f>
        <v>#VALUE!</v>
      </c>
      <c r="B2914" s="1">
        <v>6997743</v>
      </c>
      <c r="C2914" t="s">
        <v>1053</v>
      </c>
      <c r="D2914" t="s">
        <v>3087</v>
      </c>
      <c r="E2914" t="s">
        <v>23</v>
      </c>
    </row>
    <row r="2915" spans="1:5" hidden="1" outlineLevel="2">
      <c r="A2915" s="3" t="e">
        <f>(HYPERLINK("http://www.autodoc.ru/Web/price/art/3743LGNV2FD?analog=on","3743LGNV2FD"))*1</f>
        <v>#VALUE!</v>
      </c>
      <c r="B2915" s="1">
        <v>6993281</v>
      </c>
      <c r="C2915" t="s">
        <v>1053</v>
      </c>
      <c r="D2915" t="s">
        <v>3088</v>
      </c>
      <c r="E2915" t="s">
        <v>10</v>
      </c>
    </row>
    <row r="2916" spans="1:5" hidden="1" outlineLevel="2">
      <c r="A2916" s="3" t="e">
        <f>(HYPERLINK("http://www.autodoc.ru/Web/price/art/3743LGNV2FV?analog=on","3743LGNV2FV"))*1</f>
        <v>#VALUE!</v>
      </c>
      <c r="B2916" s="1">
        <v>6995244</v>
      </c>
      <c r="C2916" t="s">
        <v>1053</v>
      </c>
      <c r="D2916" t="s">
        <v>3089</v>
      </c>
      <c r="E2916" t="s">
        <v>10</v>
      </c>
    </row>
    <row r="2917" spans="1:5" hidden="1" outlineLevel="2">
      <c r="A2917" s="3" t="e">
        <f>(HYPERLINK("http://www.autodoc.ru/Web/price/art/3743RGNV2FD?analog=on","3743RGNV2FD"))*1</f>
        <v>#VALUE!</v>
      </c>
      <c r="B2917" s="1">
        <v>6993282</v>
      </c>
      <c r="C2917" t="s">
        <v>1053</v>
      </c>
      <c r="D2917" t="s">
        <v>3090</v>
      </c>
      <c r="E2917" t="s">
        <v>10</v>
      </c>
    </row>
    <row r="2918" spans="1:5" hidden="1" outlineLevel="2">
      <c r="A2918" s="3" t="e">
        <f>(HYPERLINK("http://www.autodoc.ru/Web/price/art/3743RGNV2FV?analog=on","3743RGNV2FV"))*1</f>
        <v>#VALUE!</v>
      </c>
      <c r="B2918" s="1">
        <v>6995245</v>
      </c>
      <c r="C2918" t="s">
        <v>1053</v>
      </c>
      <c r="D2918" t="s">
        <v>3091</v>
      </c>
      <c r="E2918" t="s">
        <v>10</v>
      </c>
    </row>
    <row r="2919" spans="1:5" hidden="1" outlineLevel="1">
      <c r="A2919" s="2">
        <v>0</v>
      </c>
      <c r="B2919" s="26" t="s">
        <v>3092</v>
      </c>
      <c r="C2919" s="27">
        <v>0</v>
      </c>
      <c r="D2919" s="27">
        <v>0</v>
      </c>
      <c r="E2919" s="27">
        <v>0</v>
      </c>
    </row>
    <row r="2920" spans="1:5" hidden="1" outlineLevel="2">
      <c r="A2920" s="3" t="e">
        <f>(HYPERLINK("http://www.autodoc.ru/Web/price/art/AF34AGSBLVW1C?analog=on","AF34AGSBLVW1C"))*1</f>
        <v>#VALUE!</v>
      </c>
      <c r="B2920" s="1">
        <v>6950201</v>
      </c>
      <c r="C2920" t="s">
        <v>3093</v>
      </c>
      <c r="D2920" t="s">
        <v>3094</v>
      </c>
      <c r="E2920" t="s">
        <v>8</v>
      </c>
    </row>
    <row r="2921" spans="1:5" collapsed="1">
      <c r="A2921" s="28" t="s">
        <v>3095</v>
      </c>
      <c r="B2921" s="28">
        <v>0</v>
      </c>
      <c r="C2921" s="28">
        <v>0</v>
      </c>
      <c r="D2921" s="28">
        <v>0</v>
      </c>
      <c r="E2921" s="28">
        <v>0</v>
      </c>
    </row>
    <row r="2922" spans="1:5" hidden="1" outlineLevel="1">
      <c r="A2922" s="2">
        <v>0</v>
      </c>
      <c r="B2922" s="26" t="s">
        <v>3096</v>
      </c>
      <c r="C2922" s="27">
        <v>0</v>
      </c>
      <c r="D2922" s="27">
        <v>0</v>
      </c>
      <c r="E2922" s="27">
        <v>0</v>
      </c>
    </row>
    <row r="2923" spans="1:5" hidden="1" outlineLevel="2">
      <c r="A2923" s="3" t="e">
        <f>(HYPERLINK("http://www.autodoc.ru/Web/price/art/ATF2AGN?analog=on","ATF2AGN"))*1</f>
        <v>#VALUE!</v>
      </c>
      <c r="B2923" s="1">
        <v>6962976</v>
      </c>
      <c r="C2923" t="s">
        <v>3097</v>
      </c>
      <c r="D2923" t="s">
        <v>3098</v>
      </c>
      <c r="E2923" t="s">
        <v>8</v>
      </c>
    </row>
    <row r="2924" spans="1:5" collapsed="1">
      <c r="A2924" s="28" t="s">
        <v>3099</v>
      </c>
      <c r="B2924" s="28">
        <v>0</v>
      </c>
      <c r="C2924" s="28">
        <v>0</v>
      </c>
      <c r="D2924" s="28">
        <v>0</v>
      </c>
      <c r="E2924" s="28">
        <v>0</v>
      </c>
    </row>
    <row r="2925" spans="1:5" hidden="1" outlineLevel="1">
      <c r="A2925" s="2">
        <v>0</v>
      </c>
      <c r="B2925" s="26" t="s">
        <v>3100</v>
      </c>
      <c r="C2925" s="27">
        <v>0</v>
      </c>
      <c r="D2925" s="27">
        <v>0</v>
      </c>
      <c r="E2925" s="27">
        <v>0</v>
      </c>
    </row>
    <row r="2926" spans="1:5" hidden="1" outlineLevel="2">
      <c r="A2926" s="3" t="e">
        <f>(HYPERLINK("http://www.autodoc.ru/Web/price/art/3928ABLBL?analog=on","3928ABLBL"))*1</f>
        <v>#VALUE!</v>
      </c>
      <c r="B2926" s="1">
        <v>6963619</v>
      </c>
      <c r="C2926" t="s">
        <v>3101</v>
      </c>
      <c r="D2926" t="s">
        <v>3102</v>
      </c>
      <c r="E2926" t="s">
        <v>8</v>
      </c>
    </row>
    <row r="2927" spans="1:5" hidden="1" outlineLevel="2">
      <c r="A2927" s="3" t="e">
        <f>(HYPERLINK("http://www.autodoc.ru/Web/price/art/3928LBLH3FDW?analog=on","3928LBLH3FDW"))*1</f>
        <v>#VALUE!</v>
      </c>
      <c r="B2927" s="1">
        <v>6999359</v>
      </c>
      <c r="C2927" t="s">
        <v>3103</v>
      </c>
      <c r="D2927" t="s">
        <v>3104</v>
      </c>
      <c r="E2927" t="s">
        <v>10</v>
      </c>
    </row>
    <row r="2928" spans="1:5" hidden="1" outlineLevel="1">
      <c r="A2928" s="2">
        <v>0</v>
      </c>
      <c r="B2928" s="26" t="s">
        <v>3105</v>
      </c>
      <c r="C2928" s="27">
        <v>0</v>
      </c>
      <c r="D2928" s="27">
        <v>0</v>
      </c>
      <c r="E2928" s="27">
        <v>0</v>
      </c>
    </row>
    <row r="2929" spans="1:5" hidden="1" outlineLevel="2">
      <c r="A2929" s="3" t="e">
        <f>(HYPERLINK("http://www.autodoc.ru/Web/price/art/3952AGNBL?analog=on","3952AGNBL"))*1</f>
        <v>#VALUE!</v>
      </c>
      <c r="B2929" s="1">
        <v>6964104</v>
      </c>
      <c r="C2929" t="s">
        <v>2497</v>
      </c>
      <c r="D2929" t="s">
        <v>3106</v>
      </c>
      <c r="E2929" t="s">
        <v>8</v>
      </c>
    </row>
    <row r="2930" spans="1:5" hidden="1" outlineLevel="2">
      <c r="A2930" s="3" t="e">
        <f>(HYPERLINK("http://www.autodoc.ru/Web/price/art/3952AKCES?analog=on","3952AKCES"))*1</f>
        <v>#VALUE!</v>
      </c>
      <c r="B2930" s="1">
        <v>6102338</v>
      </c>
      <c r="C2930" t="s">
        <v>19</v>
      </c>
      <c r="D2930" t="s">
        <v>3107</v>
      </c>
      <c r="E2930" t="s">
        <v>21</v>
      </c>
    </row>
    <row r="2931" spans="1:5" hidden="1" outlineLevel="1">
      <c r="A2931" s="2">
        <v>0</v>
      </c>
      <c r="B2931" s="26" t="s">
        <v>3108</v>
      </c>
      <c r="C2931" s="27">
        <v>0</v>
      </c>
      <c r="D2931" s="27">
        <v>0</v>
      </c>
      <c r="E2931" s="27">
        <v>0</v>
      </c>
    </row>
    <row r="2932" spans="1:5" hidden="1" outlineLevel="2">
      <c r="A2932" s="3" t="e">
        <f>(HYPERLINK("http://www.autodoc.ru/Web/price/art/3916ABL?analog=on","3916ABL"))*1</f>
        <v>#VALUE!</v>
      </c>
      <c r="B2932" s="1">
        <v>6964134</v>
      </c>
      <c r="C2932" t="s">
        <v>3109</v>
      </c>
      <c r="D2932" t="s">
        <v>3110</v>
      </c>
      <c r="E2932" t="s">
        <v>8</v>
      </c>
    </row>
    <row r="2933" spans="1:5" hidden="1" outlineLevel="1">
      <c r="A2933" s="2">
        <v>0</v>
      </c>
      <c r="B2933" s="26" t="s">
        <v>3111</v>
      </c>
      <c r="C2933" s="27">
        <v>0</v>
      </c>
      <c r="D2933" s="27">
        <v>0</v>
      </c>
      <c r="E2933" s="27">
        <v>0</v>
      </c>
    </row>
    <row r="2934" spans="1:5" hidden="1" outlineLevel="2">
      <c r="A2934" s="3" t="e">
        <f>(HYPERLINK("http://www.autodoc.ru/Web/price/art/3923ABL?analog=on","3923ABL"))*1</f>
        <v>#VALUE!</v>
      </c>
      <c r="B2934" s="1">
        <v>6963375</v>
      </c>
      <c r="C2934" t="s">
        <v>3112</v>
      </c>
      <c r="D2934" t="s">
        <v>3113</v>
      </c>
      <c r="E2934" t="s">
        <v>8</v>
      </c>
    </row>
    <row r="2935" spans="1:5" hidden="1" outlineLevel="2">
      <c r="A2935" s="3" t="e">
        <f>(HYPERLINK("http://www.autodoc.ru/Web/price/art/3923LBLS4FD?analog=on","3923LBLS4FD"))*1</f>
        <v>#VALUE!</v>
      </c>
      <c r="B2935" s="1">
        <v>6900504</v>
      </c>
      <c r="C2935" t="s">
        <v>3112</v>
      </c>
      <c r="D2935" t="s">
        <v>3114</v>
      </c>
      <c r="E2935" t="s">
        <v>10</v>
      </c>
    </row>
    <row r="2936" spans="1:5" hidden="1" outlineLevel="2">
      <c r="A2936" s="3" t="e">
        <f>(HYPERLINK("http://www.autodoc.ru/Web/price/art/3923LBLS4RD?analog=on","3923LBLS4RD"))*1</f>
        <v>#VALUE!</v>
      </c>
      <c r="B2936" s="1">
        <v>6999486</v>
      </c>
      <c r="C2936" t="s">
        <v>3112</v>
      </c>
      <c r="D2936" t="s">
        <v>3115</v>
      </c>
      <c r="E2936" t="s">
        <v>10</v>
      </c>
    </row>
    <row r="2937" spans="1:5" hidden="1" outlineLevel="2">
      <c r="A2937" s="3" t="e">
        <f>(HYPERLINK("http://www.autodoc.ru/Web/price/art/3923RBLS4FD?analog=on","3923RBLS4FD"))*1</f>
        <v>#VALUE!</v>
      </c>
      <c r="B2937" s="1">
        <v>6999487</v>
      </c>
      <c r="C2937" t="s">
        <v>3112</v>
      </c>
      <c r="D2937" t="s">
        <v>3116</v>
      </c>
      <c r="E2937" t="s">
        <v>10</v>
      </c>
    </row>
    <row r="2938" spans="1:5" hidden="1" outlineLevel="2">
      <c r="A2938" s="3" t="e">
        <f>(HYPERLINK("http://www.autodoc.ru/Web/price/art/3923RBLS4RD?analog=on","3923RBLS4RD"))*1</f>
        <v>#VALUE!</v>
      </c>
      <c r="B2938" s="1">
        <v>6999488</v>
      </c>
      <c r="C2938" t="s">
        <v>3112</v>
      </c>
      <c r="D2938" t="s">
        <v>3117</v>
      </c>
      <c r="E2938" t="s">
        <v>10</v>
      </c>
    </row>
    <row r="2939" spans="1:5" hidden="1" outlineLevel="1">
      <c r="A2939" s="2">
        <v>0</v>
      </c>
      <c r="B2939" s="26" t="s">
        <v>3118</v>
      </c>
      <c r="C2939" s="27">
        <v>0</v>
      </c>
      <c r="D2939" s="27">
        <v>0</v>
      </c>
      <c r="E2939" s="27">
        <v>0</v>
      </c>
    </row>
    <row r="2940" spans="1:5" hidden="1" outlineLevel="2">
      <c r="A2940" s="3" t="e">
        <f>(HYPERLINK("http://www.autodoc.ru/Web/price/art/3927ABL?analog=on","3927ABL"))*1</f>
        <v>#VALUE!</v>
      </c>
      <c r="B2940" s="1">
        <v>6969228</v>
      </c>
      <c r="C2940" t="s">
        <v>2206</v>
      </c>
      <c r="D2940" t="s">
        <v>3119</v>
      </c>
      <c r="E2940" t="s">
        <v>8</v>
      </c>
    </row>
    <row r="2941" spans="1:5" hidden="1" outlineLevel="2">
      <c r="A2941" s="3" t="e">
        <f>(HYPERLINK("http://www.autodoc.ru/Web/price/art/3927ABLBL?analog=on","3927ABLBL"))*1</f>
        <v>#VALUE!</v>
      </c>
      <c r="B2941" s="1">
        <v>6969227</v>
      </c>
      <c r="C2941" t="s">
        <v>2206</v>
      </c>
      <c r="D2941" t="s">
        <v>3120</v>
      </c>
      <c r="E2941" t="s">
        <v>8</v>
      </c>
    </row>
    <row r="2942" spans="1:5" hidden="1" outlineLevel="2">
      <c r="A2942" s="3" t="e">
        <f>(HYPERLINK("http://www.autodoc.ru/Web/price/art/3927AKSS?analog=on","3927AKSS"))*1</f>
        <v>#VALUE!</v>
      </c>
      <c r="B2942" s="1">
        <v>6102507</v>
      </c>
      <c r="C2942" t="s">
        <v>19</v>
      </c>
      <c r="D2942" t="s">
        <v>3121</v>
      </c>
      <c r="E2942" t="s">
        <v>21</v>
      </c>
    </row>
    <row r="2943" spans="1:5" hidden="1" outlineLevel="2">
      <c r="A2943" s="3" t="e">
        <f>(HYPERLINK("http://www.autodoc.ru/Web/price/art/3927LBLS4FDW?analog=on","3927LBLS4FDW"))*1</f>
        <v>#VALUE!</v>
      </c>
      <c r="B2943" s="1">
        <v>6995667</v>
      </c>
      <c r="C2943" t="s">
        <v>2206</v>
      </c>
      <c r="D2943" t="s">
        <v>3122</v>
      </c>
      <c r="E2943" t="s">
        <v>10</v>
      </c>
    </row>
    <row r="2944" spans="1:5" hidden="1" outlineLevel="2">
      <c r="A2944" s="3" t="e">
        <f>(HYPERLINK("http://www.autodoc.ru/Web/price/art/3927LBLS4RDW?analog=on","3927LBLS4RDW"))*1</f>
        <v>#VALUE!</v>
      </c>
      <c r="B2944" s="1">
        <v>6999357</v>
      </c>
      <c r="C2944" t="s">
        <v>2206</v>
      </c>
      <c r="D2944" t="s">
        <v>3123</v>
      </c>
      <c r="E2944" t="s">
        <v>10</v>
      </c>
    </row>
    <row r="2945" spans="1:5" hidden="1" outlineLevel="2">
      <c r="A2945" s="3" t="e">
        <f>(HYPERLINK("http://www.autodoc.ru/Web/price/art/3927LBLS4RV?analog=on","3927LBLS4RV"))*1</f>
        <v>#VALUE!</v>
      </c>
      <c r="B2945" s="1">
        <v>6900293</v>
      </c>
      <c r="C2945" t="s">
        <v>2206</v>
      </c>
      <c r="D2945" t="s">
        <v>3124</v>
      </c>
      <c r="E2945" t="s">
        <v>10</v>
      </c>
    </row>
    <row r="2946" spans="1:5" hidden="1" outlineLevel="2">
      <c r="A2946" s="3" t="e">
        <f>(HYPERLINK("http://www.autodoc.ru/Web/price/art/3927RBLS4FDW?analog=on","3927RBLS4FDW"))*1</f>
        <v>#VALUE!</v>
      </c>
      <c r="B2946" s="1">
        <v>6995668</v>
      </c>
      <c r="C2946" t="s">
        <v>2206</v>
      </c>
      <c r="D2946" t="s">
        <v>3125</v>
      </c>
      <c r="E2946" t="s">
        <v>10</v>
      </c>
    </row>
    <row r="2947" spans="1:5" hidden="1" outlineLevel="2">
      <c r="A2947" s="3" t="e">
        <f>(HYPERLINK("http://www.autodoc.ru/Web/price/art/3927RBLS4RDW?analog=on","3927RBLS4RDW"))*1</f>
        <v>#VALUE!</v>
      </c>
      <c r="B2947" s="1">
        <v>6999358</v>
      </c>
      <c r="C2947" t="s">
        <v>2206</v>
      </c>
      <c r="D2947" t="s">
        <v>3126</v>
      </c>
      <c r="E2947" t="s">
        <v>10</v>
      </c>
    </row>
    <row r="2948" spans="1:5" hidden="1" outlineLevel="2">
      <c r="A2948" s="3" t="e">
        <f>(HYPERLINK("http://www.autodoc.ru/Web/price/art/3927RBLS4RV?analog=on","3927RBLS4RV"))*1</f>
        <v>#VALUE!</v>
      </c>
      <c r="B2948" s="1">
        <v>6900311</v>
      </c>
      <c r="C2948" t="s">
        <v>2206</v>
      </c>
      <c r="D2948" t="s">
        <v>3127</v>
      </c>
      <c r="E2948" t="s">
        <v>10</v>
      </c>
    </row>
    <row r="2949" spans="1:5" hidden="1" outlineLevel="1">
      <c r="A2949" s="2">
        <v>0</v>
      </c>
      <c r="B2949" s="26" t="s">
        <v>3128</v>
      </c>
      <c r="C2949" s="27">
        <v>0</v>
      </c>
      <c r="D2949" s="27">
        <v>0</v>
      </c>
      <c r="E2949" s="27">
        <v>0</v>
      </c>
    </row>
    <row r="2950" spans="1:5" hidden="1" outlineLevel="2">
      <c r="A2950" s="3" t="e">
        <f>(HYPERLINK("http://www.autodoc.ru/Web/price/art/3924ABL?analog=on","3924ABL"))*1</f>
        <v>#VALUE!</v>
      </c>
      <c r="B2950" s="1">
        <v>6963617</v>
      </c>
      <c r="C2950" t="s">
        <v>3129</v>
      </c>
      <c r="D2950" t="s">
        <v>3130</v>
      </c>
      <c r="E2950" t="s">
        <v>8</v>
      </c>
    </row>
    <row r="2951" spans="1:5" hidden="1" outlineLevel="2">
      <c r="A2951" s="3" t="e">
        <f>(HYPERLINK("http://www.autodoc.ru/Web/price/art/3924BBLH?analog=on","3924BBLH"))*1</f>
        <v>#VALUE!</v>
      </c>
      <c r="B2951" s="1">
        <v>6999505</v>
      </c>
      <c r="C2951" t="s">
        <v>3129</v>
      </c>
      <c r="D2951" t="s">
        <v>3131</v>
      </c>
      <c r="E2951" t="s">
        <v>23</v>
      </c>
    </row>
    <row r="2952" spans="1:5" hidden="1" outlineLevel="1">
      <c r="A2952" s="2">
        <v>0</v>
      </c>
      <c r="B2952" s="26" t="s">
        <v>3132</v>
      </c>
      <c r="C2952" s="27">
        <v>0</v>
      </c>
      <c r="D2952" s="27">
        <v>0</v>
      </c>
      <c r="E2952" s="27">
        <v>0</v>
      </c>
    </row>
    <row r="2953" spans="1:5" hidden="1" outlineLevel="2">
      <c r="A2953" s="3" t="e">
        <f>(HYPERLINK("http://www.autodoc.ru/Web/price/art/3936ABL?analog=on","3936ABL"))*1</f>
        <v>#VALUE!</v>
      </c>
      <c r="B2953" s="1">
        <v>6963452</v>
      </c>
      <c r="C2953" t="s">
        <v>3133</v>
      </c>
      <c r="D2953" t="s">
        <v>3134</v>
      </c>
      <c r="E2953" t="s">
        <v>8</v>
      </c>
    </row>
    <row r="2954" spans="1:5" hidden="1" outlineLevel="2">
      <c r="A2954" s="3" t="e">
        <f>(HYPERLINK("http://www.autodoc.ru/Web/price/art/3936ABLBL?analog=on","3936ABLBL"))*1</f>
        <v>#VALUE!</v>
      </c>
      <c r="B2954" s="1">
        <v>6963378</v>
      </c>
      <c r="C2954" t="s">
        <v>3133</v>
      </c>
      <c r="D2954" t="s">
        <v>3135</v>
      </c>
      <c r="E2954" t="s">
        <v>8</v>
      </c>
    </row>
    <row r="2955" spans="1:5" hidden="1" outlineLevel="2">
      <c r="A2955" s="3" t="e">
        <f>(HYPERLINK("http://www.autodoc.ru/Web/price/art/3936AGNBL?analog=on","3936AGNBL"))*1</f>
        <v>#VALUE!</v>
      </c>
      <c r="B2955" s="1">
        <v>6963379</v>
      </c>
      <c r="C2955" t="s">
        <v>3133</v>
      </c>
      <c r="D2955" t="s">
        <v>3136</v>
      </c>
      <c r="E2955" t="s">
        <v>8</v>
      </c>
    </row>
    <row r="2956" spans="1:5" hidden="1" outlineLevel="2">
      <c r="A2956" s="3" t="e">
        <f>(HYPERLINK("http://www.autodoc.ru/Web/price/art/3936AKCS?analog=on","3936AKCS"))*1</f>
        <v>#VALUE!</v>
      </c>
      <c r="B2956" s="1">
        <v>6101021</v>
      </c>
      <c r="C2956" t="s">
        <v>19</v>
      </c>
      <c r="D2956" t="s">
        <v>3137</v>
      </c>
      <c r="E2956" t="s">
        <v>21</v>
      </c>
    </row>
    <row r="2957" spans="1:5" hidden="1" outlineLevel="2">
      <c r="A2957" s="3" t="e">
        <f>(HYPERLINK("http://www.autodoc.ru/Web/price/art/3936AKSS?analog=on","3936AKSS"))*1</f>
        <v>#VALUE!</v>
      </c>
      <c r="B2957" s="1">
        <v>6101008</v>
      </c>
      <c r="C2957" t="s">
        <v>19</v>
      </c>
      <c r="D2957" t="s">
        <v>3138</v>
      </c>
      <c r="E2957" t="s">
        <v>21</v>
      </c>
    </row>
    <row r="2958" spans="1:5" hidden="1" outlineLevel="2">
      <c r="A2958" s="3" t="e">
        <f>(HYPERLINK("http://www.autodoc.ru/Web/price/art/3936BBLS?analog=on","3936BBLS"))*1</f>
        <v>#VALUE!</v>
      </c>
      <c r="B2958" s="1">
        <v>6998851</v>
      </c>
      <c r="C2958" t="s">
        <v>3133</v>
      </c>
      <c r="D2958" t="s">
        <v>3139</v>
      </c>
      <c r="E2958" t="s">
        <v>23</v>
      </c>
    </row>
    <row r="2959" spans="1:5" hidden="1" outlineLevel="2">
      <c r="A2959" s="3" t="e">
        <f>(HYPERLINK("http://www.autodoc.ru/Web/price/art/3936LBLS4FDW?analog=on","3936LBLS4FDW"))*1</f>
        <v>#VALUE!</v>
      </c>
      <c r="B2959" s="1">
        <v>6995679</v>
      </c>
      <c r="C2959" t="s">
        <v>3133</v>
      </c>
      <c r="D2959" t="s">
        <v>3140</v>
      </c>
      <c r="E2959" t="s">
        <v>10</v>
      </c>
    </row>
    <row r="2960" spans="1:5" hidden="1" outlineLevel="2">
      <c r="A2960" s="3" t="e">
        <f>(HYPERLINK("http://www.autodoc.ru/Web/price/art/3936LBLS4RDW?analog=on","3936LBLS4RDW"))*1</f>
        <v>#VALUE!</v>
      </c>
      <c r="B2960" s="1">
        <v>6999361</v>
      </c>
      <c r="C2960" t="s">
        <v>3133</v>
      </c>
      <c r="D2960" t="s">
        <v>3141</v>
      </c>
      <c r="E2960" t="s">
        <v>10</v>
      </c>
    </row>
    <row r="2961" spans="1:5" hidden="1" outlineLevel="2">
      <c r="A2961" s="3" t="e">
        <f>(HYPERLINK("http://www.autodoc.ru/Web/price/art/3936LGNS4FDW?analog=on","3936LGNS4FDW"))*1</f>
        <v>#VALUE!</v>
      </c>
      <c r="B2961" s="1">
        <v>6999363</v>
      </c>
      <c r="C2961" t="s">
        <v>3133</v>
      </c>
      <c r="D2961" t="s">
        <v>3142</v>
      </c>
      <c r="E2961" t="s">
        <v>10</v>
      </c>
    </row>
    <row r="2962" spans="1:5" hidden="1" outlineLevel="2">
      <c r="A2962" s="3" t="e">
        <f>(HYPERLINK("http://www.autodoc.ru/Web/price/art/3936RBLS4FDW?analog=on","3936RBLS4FDW"))*1</f>
        <v>#VALUE!</v>
      </c>
      <c r="B2962" s="1">
        <v>6995680</v>
      </c>
      <c r="C2962" t="s">
        <v>3133</v>
      </c>
      <c r="D2962" t="s">
        <v>3143</v>
      </c>
      <c r="E2962" t="s">
        <v>10</v>
      </c>
    </row>
    <row r="2963" spans="1:5" hidden="1" outlineLevel="2">
      <c r="A2963" s="3" t="e">
        <f>(HYPERLINK("http://www.autodoc.ru/Web/price/art/3936RBLS4RDW?analog=on","3936RBLS4RDW"))*1</f>
        <v>#VALUE!</v>
      </c>
      <c r="B2963" s="1">
        <v>6999362</v>
      </c>
      <c r="C2963" t="s">
        <v>3133</v>
      </c>
      <c r="D2963" t="s">
        <v>3144</v>
      </c>
      <c r="E2963" t="s">
        <v>10</v>
      </c>
    </row>
    <row r="2964" spans="1:5" hidden="1" outlineLevel="1">
      <c r="A2964" s="2">
        <v>0</v>
      </c>
      <c r="B2964" s="26" t="s">
        <v>3145</v>
      </c>
      <c r="C2964" s="27">
        <v>0</v>
      </c>
      <c r="D2964" s="27">
        <v>0</v>
      </c>
      <c r="E2964" s="27">
        <v>0</v>
      </c>
    </row>
    <row r="2965" spans="1:5" hidden="1" outlineLevel="2">
      <c r="A2965" s="3" t="e">
        <f>(HYPERLINK("http://www.autodoc.ru/Web/price/art/3949AGN?analog=on","3949AGN"))*1</f>
        <v>#VALUE!</v>
      </c>
      <c r="B2965" s="1">
        <v>6190423</v>
      </c>
      <c r="C2965" t="s">
        <v>2497</v>
      </c>
      <c r="D2965" t="s">
        <v>3146</v>
      </c>
      <c r="E2965" t="s">
        <v>8</v>
      </c>
    </row>
    <row r="2966" spans="1:5" hidden="1" outlineLevel="2">
      <c r="A2966" s="3" t="e">
        <f>(HYPERLINK("http://www.autodoc.ru/Web/price/art/3949AGNBL?analog=on","3949AGNBL"))*1</f>
        <v>#VALUE!</v>
      </c>
      <c r="B2966" s="1">
        <v>6190424</v>
      </c>
      <c r="C2966" t="s">
        <v>2497</v>
      </c>
      <c r="D2966" t="s">
        <v>3147</v>
      </c>
      <c r="E2966" t="s">
        <v>8</v>
      </c>
    </row>
    <row r="2967" spans="1:5" hidden="1" outlineLevel="2">
      <c r="A2967" s="3" t="e">
        <f>(HYPERLINK("http://www.autodoc.ru/Web/price/art/3949AGNGN?analog=on","3949AGNGN"))*1</f>
        <v>#VALUE!</v>
      </c>
      <c r="B2967" s="1">
        <v>6190425</v>
      </c>
      <c r="C2967" t="s">
        <v>2497</v>
      </c>
      <c r="D2967" t="s">
        <v>3148</v>
      </c>
      <c r="E2967" t="s">
        <v>8</v>
      </c>
    </row>
    <row r="2968" spans="1:5" hidden="1" outlineLevel="2">
      <c r="A2968" s="3" t="e">
        <f>(HYPERLINK("http://www.autodoc.ru/Web/price/art/3949BGNS?analog=on","3949BGNS"))*1</f>
        <v>#VALUE!</v>
      </c>
      <c r="B2968" s="1">
        <v>6998755</v>
      </c>
      <c r="C2968" t="s">
        <v>2497</v>
      </c>
      <c r="D2968" t="s">
        <v>3149</v>
      </c>
      <c r="E2968" t="s">
        <v>23</v>
      </c>
    </row>
    <row r="2969" spans="1:5" hidden="1" outlineLevel="2">
      <c r="A2969" s="3" t="e">
        <f>(HYPERLINK("http://www.autodoc.ru/Web/price/art/3949LGNS4FDW?analog=on","3949LGNS4FDW"))*1</f>
        <v>#VALUE!</v>
      </c>
      <c r="B2969" s="1">
        <v>6995687</v>
      </c>
      <c r="C2969" t="s">
        <v>2497</v>
      </c>
      <c r="D2969" t="s">
        <v>3150</v>
      </c>
      <c r="E2969" t="s">
        <v>10</v>
      </c>
    </row>
    <row r="2970" spans="1:5" hidden="1" outlineLevel="2">
      <c r="A2970" s="3" t="e">
        <f>(HYPERLINK("http://www.autodoc.ru/Web/price/art/3949LGNS4RDW?analog=on","3949LGNS4RDW"))*1</f>
        <v>#VALUE!</v>
      </c>
      <c r="B2970" s="1">
        <v>6995688</v>
      </c>
      <c r="C2970" t="s">
        <v>2497</v>
      </c>
      <c r="D2970" t="s">
        <v>3151</v>
      </c>
      <c r="E2970" t="s">
        <v>10</v>
      </c>
    </row>
    <row r="2971" spans="1:5" hidden="1" outlineLevel="2">
      <c r="A2971" s="3" t="e">
        <f>(HYPERLINK("http://www.autodoc.ru/Web/price/art/3949LGNS4RQZ?analog=on","3949LGNS4RQZ"))*1</f>
        <v>#VALUE!</v>
      </c>
      <c r="B2971" s="1">
        <v>6994699</v>
      </c>
      <c r="C2971" t="s">
        <v>2497</v>
      </c>
      <c r="D2971" t="s">
        <v>3152</v>
      </c>
      <c r="E2971" t="s">
        <v>10</v>
      </c>
    </row>
    <row r="2972" spans="1:5" hidden="1" outlineLevel="2">
      <c r="A2972" s="3" t="e">
        <f>(HYPERLINK("http://www.autodoc.ru/Web/price/art/3949RGNS4FDW?analog=on","3949RGNS4FDW"))*1</f>
        <v>#VALUE!</v>
      </c>
      <c r="B2972" s="1">
        <v>6995689</v>
      </c>
      <c r="C2972" t="s">
        <v>2497</v>
      </c>
      <c r="D2972" t="s">
        <v>3153</v>
      </c>
      <c r="E2972" t="s">
        <v>10</v>
      </c>
    </row>
    <row r="2973" spans="1:5" hidden="1" outlineLevel="2">
      <c r="A2973" s="3" t="e">
        <f>(HYPERLINK("http://www.autodoc.ru/Web/price/art/3949RGNS4RDW?analog=on","3949RGNS4RDW"))*1</f>
        <v>#VALUE!</v>
      </c>
      <c r="B2973" s="1">
        <v>6995690</v>
      </c>
      <c r="C2973" t="s">
        <v>2497</v>
      </c>
      <c r="D2973" t="s">
        <v>3154</v>
      </c>
      <c r="E2973" t="s">
        <v>10</v>
      </c>
    </row>
    <row r="2974" spans="1:5" hidden="1" outlineLevel="2">
      <c r="A2974" s="3" t="e">
        <f>(HYPERLINK("http://www.autodoc.ru/Web/price/art/3949RGNS4RQZ?analog=on","3949RGNS4RQZ"))*1</f>
        <v>#VALUE!</v>
      </c>
      <c r="B2974" s="1">
        <v>6995320</v>
      </c>
      <c r="C2974" t="s">
        <v>2497</v>
      </c>
      <c r="D2974" t="s">
        <v>3155</v>
      </c>
      <c r="E2974" t="s">
        <v>10</v>
      </c>
    </row>
    <row r="2975" spans="1:5" hidden="1" outlineLevel="1">
      <c r="A2975" s="2">
        <v>0</v>
      </c>
      <c r="B2975" s="26" t="s">
        <v>3156</v>
      </c>
      <c r="C2975" s="27">
        <v>0</v>
      </c>
      <c r="D2975" s="27">
        <v>0</v>
      </c>
      <c r="E2975" s="27">
        <v>0</v>
      </c>
    </row>
    <row r="2976" spans="1:5" hidden="1" outlineLevel="2">
      <c r="A2976" s="3" t="e">
        <f>(HYPERLINK("http://www.autodoc.ru/Web/price/art/3960AGNGNV?analog=on","3960AGNGNV"))*1</f>
        <v>#VALUE!</v>
      </c>
      <c r="B2976" s="1">
        <v>6963195</v>
      </c>
      <c r="C2976" t="s">
        <v>359</v>
      </c>
      <c r="D2976" t="s">
        <v>3157</v>
      </c>
      <c r="E2976" t="s">
        <v>8</v>
      </c>
    </row>
    <row r="2977" spans="1:5" hidden="1" outlineLevel="2">
      <c r="A2977" s="3" t="e">
        <f>(HYPERLINK("http://www.autodoc.ru/Web/price/art/3960AGNV?analog=on","3960AGNV"))*1</f>
        <v>#VALUE!</v>
      </c>
      <c r="B2977" s="1">
        <v>6961419</v>
      </c>
      <c r="C2977" t="s">
        <v>359</v>
      </c>
      <c r="D2977" t="s">
        <v>3158</v>
      </c>
      <c r="E2977" t="s">
        <v>8</v>
      </c>
    </row>
    <row r="2978" spans="1:5" hidden="1" outlineLevel="2">
      <c r="A2978" s="3" t="e">
        <f>(HYPERLINK("http://www.autodoc.ru/Web/price/art/3960ASMS?analog=on","3960ASMS"))*1</f>
        <v>#VALUE!</v>
      </c>
      <c r="B2978" s="1">
        <v>6100967</v>
      </c>
      <c r="C2978" t="s">
        <v>19</v>
      </c>
      <c r="D2978" t="s">
        <v>3159</v>
      </c>
      <c r="E2978" t="s">
        <v>21</v>
      </c>
    </row>
    <row r="2979" spans="1:5" hidden="1" outlineLevel="2">
      <c r="A2979" s="3" t="e">
        <f>(HYPERLINK("http://www.autodoc.ru/Web/price/art/3960BGNS?analog=on","3960BGNS"))*1</f>
        <v>#VALUE!</v>
      </c>
      <c r="B2979" s="1">
        <v>6994765</v>
      </c>
      <c r="C2979" t="s">
        <v>359</v>
      </c>
      <c r="D2979" t="s">
        <v>3160</v>
      </c>
      <c r="E2979" t="s">
        <v>23</v>
      </c>
    </row>
    <row r="2980" spans="1:5" hidden="1" outlineLevel="2">
      <c r="A2980" s="3" t="e">
        <f>(HYPERLINK("http://www.autodoc.ru/Web/price/art/3960LGNS4FDW?analog=on","3960LGNS4FDW"))*1</f>
        <v>#VALUE!</v>
      </c>
      <c r="B2980" s="1">
        <v>6992764</v>
      </c>
      <c r="C2980" t="s">
        <v>359</v>
      </c>
      <c r="D2980" t="s">
        <v>3161</v>
      </c>
      <c r="E2980" t="s">
        <v>10</v>
      </c>
    </row>
    <row r="2981" spans="1:5" hidden="1" outlineLevel="2">
      <c r="A2981" s="3" t="e">
        <f>(HYPERLINK("http://www.autodoc.ru/Web/price/art/3960LGNS4RDW?analog=on","3960LGNS4RDW"))*1</f>
        <v>#VALUE!</v>
      </c>
      <c r="B2981" s="1">
        <v>6994766</v>
      </c>
      <c r="C2981" t="s">
        <v>359</v>
      </c>
      <c r="D2981" t="s">
        <v>3162</v>
      </c>
      <c r="E2981" t="s">
        <v>10</v>
      </c>
    </row>
    <row r="2982" spans="1:5" hidden="1" outlineLevel="2">
      <c r="A2982" s="3" t="e">
        <f>(HYPERLINK("http://www.autodoc.ru/Web/price/art/3960RGNS4FDW?analog=on","3960RGNS4FDW"))*1</f>
        <v>#VALUE!</v>
      </c>
      <c r="B2982" s="1">
        <v>6992765</v>
      </c>
      <c r="C2982" t="s">
        <v>359</v>
      </c>
      <c r="D2982" t="s">
        <v>3163</v>
      </c>
      <c r="E2982" t="s">
        <v>10</v>
      </c>
    </row>
    <row r="2983" spans="1:5" hidden="1" outlineLevel="2">
      <c r="A2983" s="3" t="e">
        <f>(HYPERLINK("http://www.autodoc.ru/Web/price/art/3960RGNS4RDW?analog=on","3960RGNS4RDW"))*1</f>
        <v>#VALUE!</v>
      </c>
      <c r="B2983" s="1">
        <v>6994767</v>
      </c>
      <c r="C2983" t="s">
        <v>359</v>
      </c>
      <c r="D2983" t="s">
        <v>3164</v>
      </c>
      <c r="E2983" t="s">
        <v>10</v>
      </c>
    </row>
    <row r="2984" spans="1:5" hidden="1" outlineLevel="1">
      <c r="A2984" s="2">
        <v>0</v>
      </c>
      <c r="B2984" s="26" t="s">
        <v>3165</v>
      </c>
      <c r="C2984" s="27">
        <v>0</v>
      </c>
      <c r="D2984" s="27">
        <v>0</v>
      </c>
      <c r="E2984" s="27">
        <v>0</v>
      </c>
    </row>
    <row r="2985" spans="1:5" hidden="1" outlineLevel="2">
      <c r="A2985" s="3" t="e">
        <f>(HYPERLINK("http://www.autodoc.ru/Web/price/art/3986AGNBLBMV?analog=on","3986AGNBLBMV"))*1</f>
        <v>#VALUE!</v>
      </c>
      <c r="B2985" s="1">
        <v>6961178</v>
      </c>
      <c r="C2985" t="s">
        <v>2633</v>
      </c>
      <c r="D2985" t="s">
        <v>3166</v>
      </c>
      <c r="E2985" t="s">
        <v>8</v>
      </c>
    </row>
    <row r="2986" spans="1:5" hidden="1" outlineLevel="2">
      <c r="A2986" s="3" t="e">
        <f>(HYPERLINK("http://www.autodoc.ru/Web/price/art/3986AGNBLMV?analog=on","3986AGNBLMV"))*1</f>
        <v>#VALUE!</v>
      </c>
      <c r="B2986" s="1">
        <v>6964830</v>
      </c>
      <c r="C2986" t="s">
        <v>2633</v>
      </c>
      <c r="D2986" t="s">
        <v>3167</v>
      </c>
      <c r="E2986" t="s">
        <v>8</v>
      </c>
    </row>
    <row r="2987" spans="1:5" hidden="1" outlineLevel="2">
      <c r="A2987" s="3" t="e">
        <f>(HYPERLINK("http://www.autodoc.ru/Web/price/art/3986AGNBLMV1B?analog=on","3986AGNBLMV1B"))*1</f>
        <v>#VALUE!</v>
      </c>
      <c r="B2987" s="1">
        <v>6962563</v>
      </c>
      <c r="C2987" t="s">
        <v>883</v>
      </c>
      <c r="D2987" t="s">
        <v>3168</v>
      </c>
      <c r="E2987" t="s">
        <v>8</v>
      </c>
    </row>
    <row r="2988" spans="1:5" hidden="1" outlineLevel="2">
      <c r="A2988" s="3" t="e">
        <f>(HYPERLINK("http://www.autodoc.ru/Web/price/art/3986AGNBLV?analog=on","3986AGNBLV"))*1</f>
        <v>#VALUE!</v>
      </c>
      <c r="B2988" s="1">
        <v>6960996</v>
      </c>
      <c r="C2988" t="s">
        <v>2633</v>
      </c>
      <c r="D2988" t="s">
        <v>3169</v>
      </c>
      <c r="E2988" t="s">
        <v>8</v>
      </c>
    </row>
    <row r="2989" spans="1:5" hidden="1" outlineLevel="2">
      <c r="A2989" s="3" t="e">
        <f>(HYPERLINK("http://www.autodoc.ru/Web/price/art/3986ASMST?analog=on","3986ASMST"))*1</f>
        <v>#VALUE!</v>
      </c>
      <c r="B2989" s="1">
        <v>6100981</v>
      </c>
      <c r="C2989" t="s">
        <v>19</v>
      </c>
      <c r="D2989" t="s">
        <v>3170</v>
      </c>
      <c r="E2989" t="s">
        <v>21</v>
      </c>
    </row>
    <row r="2990" spans="1:5" hidden="1" outlineLevel="2">
      <c r="A2990" s="3" t="e">
        <f>(HYPERLINK("http://www.autodoc.ru/Web/price/art/3986BGNSA?analog=on","3986BGNSA"))*1</f>
        <v>#VALUE!</v>
      </c>
      <c r="B2990" s="1">
        <v>6996466</v>
      </c>
      <c r="C2990" t="s">
        <v>2633</v>
      </c>
      <c r="D2990" t="s">
        <v>3171</v>
      </c>
      <c r="E2990" t="s">
        <v>23</v>
      </c>
    </row>
    <row r="2991" spans="1:5" hidden="1" outlineLevel="2">
      <c r="A2991" s="3" t="e">
        <f>(HYPERLINK("http://www.autodoc.ru/Web/price/art/3986LGNE5RDW?analog=on","3986LGNE5RDW"))*1</f>
        <v>#VALUE!</v>
      </c>
      <c r="B2991" s="1">
        <v>6900141</v>
      </c>
      <c r="C2991" t="s">
        <v>2633</v>
      </c>
      <c r="D2991" t="s">
        <v>3172</v>
      </c>
      <c r="E2991" t="s">
        <v>10</v>
      </c>
    </row>
    <row r="2992" spans="1:5" hidden="1" outlineLevel="2">
      <c r="A2992" s="3" t="e">
        <f>(HYPERLINK("http://www.autodoc.ru/Web/price/art/3986LGNS4FDW?analog=on","3986LGNS4FDW"))*1</f>
        <v>#VALUE!</v>
      </c>
      <c r="B2992" s="1">
        <v>6996186</v>
      </c>
      <c r="C2992" t="s">
        <v>2633</v>
      </c>
      <c r="D2992" t="s">
        <v>3173</v>
      </c>
      <c r="E2992" t="s">
        <v>10</v>
      </c>
    </row>
    <row r="2993" spans="1:5" hidden="1" outlineLevel="2">
      <c r="A2993" s="3" t="e">
        <f>(HYPERLINK("http://www.autodoc.ru/Web/price/art/3986LGNS4RDW?analog=on","3986LGNS4RDW"))*1</f>
        <v>#VALUE!</v>
      </c>
      <c r="B2993" s="1">
        <v>6900140</v>
      </c>
      <c r="C2993" t="s">
        <v>2633</v>
      </c>
      <c r="D2993" t="s">
        <v>3174</v>
      </c>
      <c r="E2993" t="s">
        <v>10</v>
      </c>
    </row>
    <row r="2994" spans="1:5" hidden="1" outlineLevel="2">
      <c r="A2994" s="3" t="e">
        <f>(HYPERLINK("http://www.autodoc.ru/Web/price/art/3986LGNS4RV?analog=on","3986LGNS4RV"))*1</f>
        <v>#VALUE!</v>
      </c>
      <c r="B2994" s="1">
        <v>6995246</v>
      </c>
      <c r="C2994" t="s">
        <v>2633</v>
      </c>
      <c r="D2994" t="s">
        <v>3175</v>
      </c>
      <c r="E2994" t="s">
        <v>10</v>
      </c>
    </row>
    <row r="2995" spans="1:5" hidden="1" outlineLevel="2">
      <c r="A2995" s="3" t="e">
        <f>(HYPERLINK("http://www.autodoc.ru/Web/price/art/3986RGNE5RDW?analog=on","3986RGNE5RDW"))*1</f>
        <v>#VALUE!</v>
      </c>
      <c r="B2995" s="1">
        <v>6900222</v>
      </c>
      <c r="C2995" t="s">
        <v>2633</v>
      </c>
      <c r="D2995" t="s">
        <v>3176</v>
      </c>
      <c r="E2995" t="s">
        <v>10</v>
      </c>
    </row>
    <row r="2996" spans="1:5" hidden="1" outlineLevel="2">
      <c r="A2996" s="3" t="e">
        <f>(HYPERLINK("http://www.autodoc.ru/Web/price/art/3986RGNS4FDW?analog=on","3986RGNS4FDW"))*1</f>
        <v>#VALUE!</v>
      </c>
      <c r="B2996" s="1">
        <v>6993822</v>
      </c>
      <c r="C2996" t="s">
        <v>2633</v>
      </c>
      <c r="D2996" t="s">
        <v>3177</v>
      </c>
      <c r="E2996" t="s">
        <v>10</v>
      </c>
    </row>
    <row r="2997" spans="1:5" hidden="1" outlineLevel="2">
      <c r="A2997" s="3" t="e">
        <f>(HYPERLINK("http://www.autodoc.ru/Web/price/art/3986RGNS4RDW?analog=on","3986RGNS4RDW"))*1</f>
        <v>#VALUE!</v>
      </c>
      <c r="B2997" s="1">
        <v>6993823</v>
      </c>
      <c r="C2997" t="s">
        <v>2633</v>
      </c>
      <c r="D2997" t="s">
        <v>3178</v>
      </c>
      <c r="E2997" t="s">
        <v>10</v>
      </c>
    </row>
    <row r="2998" spans="1:5" hidden="1" outlineLevel="2">
      <c r="A2998" s="3" t="e">
        <f>(HYPERLINK("http://www.autodoc.ru/Web/price/art/3986RGNS4RV?analog=on","3986RGNS4RV"))*1</f>
        <v>#VALUE!</v>
      </c>
      <c r="B2998" s="1">
        <v>6993824</v>
      </c>
      <c r="C2998" t="s">
        <v>755</v>
      </c>
      <c r="D2998" t="s">
        <v>3179</v>
      </c>
      <c r="E2998" t="s">
        <v>10</v>
      </c>
    </row>
    <row r="2999" spans="1:5" hidden="1" outlineLevel="1">
      <c r="A2999" s="2">
        <v>0</v>
      </c>
      <c r="B2999" s="26" t="s">
        <v>3180</v>
      </c>
      <c r="C2999" s="27">
        <v>0</v>
      </c>
      <c r="D2999" s="27">
        <v>0</v>
      </c>
      <c r="E2999" s="27">
        <v>0</v>
      </c>
    </row>
    <row r="3000" spans="1:5" hidden="1" outlineLevel="2">
      <c r="A3000" s="3" t="e">
        <f>(HYPERLINK("http://www.autodoc.ru/Web/price/art/4003AGNBLV?analog=on","4003AGNBLV"))*1</f>
        <v>#VALUE!</v>
      </c>
      <c r="B3000" s="1">
        <v>6964025</v>
      </c>
      <c r="C3000" t="s">
        <v>366</v>
      </c>
      <c r="D3000" t="s">
        <v>3181</v>
      </c>
      <c r="E3000" t="s">
        <v>8</v>
      </c>
    </row>
    <row r="3001" spans="1:5" hidden="1" outlineLevel="2">
      <c r="A3001" s="3" t="e">
        <f>(HYPERLINK("http://www.autodoc.ru/Web/price/art/4003AGNBLMV1P?analog=on","4003AGNBLMV1P"))*1</f>
        <v>#VALUE!</v>
      </c>
      <c r="B3001" s="1">
        <v>6964008</v>
      </c>
      <c r="C3001" t="s">
        <v>366</v>
      </c>
      <c r="D3001" t="s">
        <v>3182</v>
      </c>
      <c r="E3001" t="s">
        <v>8</v>
      </c>
    </row>
    <row r="3002" spans="1:5" hidden="1" outlineLevel="1">
      <c r="A3002" s="2">
        <v>0</v>
      </c>
      <c r="B3002" s="26" t="s">
        <v>3183</v>
      </c>
      <c r="C3002" s="27">
        <v>0</v>
      </c>
      <c r="D3002" s="27">
        <v>0</v>
      </c>
      <c r="E3002" s="27">
        <v>0</v>
      </c>
    </row>
    <row r="3003" spans="1:5" hidden="1" outlineLevel="2">
      <c r="A3003" s="3" t="e">
        <f>(HYPERLINK("http://www.autodoc.ru/Web/price/art/3990AGSBLW?analog=on","3990AGSBLW"))*1</f>
        <v>#VALUE!</v>
      </c>
      <c r="B3003" s="1">
        <v>6963012</v>
      </c>
      <c r="C3003" t="s">
        <v>831</v>
      </c>
      <c r="D3003" t="s">
        <v>3184</v>
      </c>
      <c r="E3003" t="s">
        <v>8</v>
      </c>
    </row>
    <row r="3004" spans="1:5" hidden="1" outlineLevel="1">
      <c r="A3004" s="2">
        <v>0</v>
      </c>
      <c r="B3004" s="26" t="s">
        <v>3185</v>
      </c>
      <c r="C3004" s="27">
        <v>0</v>
      </c>
      <c r="D3004" s="27">
        <v>0</v>
      </c>
      <c r="E3004" s="27">
        <v>0</v>
      </c>
    </row>
    <row r="3005" spans="1:5" hidden="1" outlineLevel="2">
      <c r="A3005" s="3" t="e">
        <f>(HYPERLINK("http://www.autodoc.ru/Web/price/art/3921ABL?analog=on","3921ABL"))*1</f>
        <v>#VALUE!</v>
      </c>
      <c r="B3005" s="1">
        <v>6963374</v>
      </c>
      <c r="C3005" t="s">
        <v>3186</v>
      </c>
      <c r="D3005" t="s">
        <v>3187</v>
      </c>
      <c r="E3005" t="s">
        <v>8</v>
      </c>
    </row>
    <row r="3006" spans="1:5" hidden="1" outlineLevel="2">
      <c r="A3006" s="3" t="e">
        <f>(HYPERLINK("http://www.autodoc.ru/Web/price/art/3921ABLBL?analog=on","3921ABLBL"))*1</f>
        <v>#VALUE!</v>
      </c>
      <c r="B3006" s="1">
        <v>6963551</v>
      </c>
      <c r="C3006" t="s">
        <v>3186</v>
      </c>
      <c r="D3006" t="s">
        <v>3188</v>
      </c>
      <c r="E3006" t="s">
        <v>8</v>
      </c>
    </row>
    <row r="3007" spans="1:5" hidden="1" outlineLevel="2">
      <c r="A3007" s="3" t="e">
        <f>(HYPERLINK("http://www.autodoc.ru/Web/price/art/3921ASCCB?analog=on","3921ASCCB"))*1</f>
        <v>#VALUE!</v>
      </c>
      <c r="B3007" s="1">
        <v>6102968</v>
      </c>
      <c r="C3007" t="s">
        <v>19</v>
      </c>
      <c r="D3007" t="s">
        <v>3189</v>
      </c>
      <c r="E3007" t="s">
        <v>21</v>
      </c>
    </row>
    <row r="3008" spans="1:5" hidden="1" outlineLevel="2">
      <c r="A3008" s="3" t="e">
        <f>(HYPERLINK("http://www.autodoc.ru/Web/price/art/3921RBLC2FD?analog=on","3921RBLC2FD"))*1</f>
        <v>#VALUE!</v>
      </c>
      <c r="B3008" s="1">
        <v>6900036</v>
      </c>
      <c r="C3008" t="s">
        <v>3186</v>
      </c>
      <c r="D3008" t="s">
        <v>3190</v>
      </c>
      <c r="E3008" t="s">
        <v>10</v>
      </c>
    </row>
    <row r="3009" spans="1:5" hidden="1" outlineLevel="1">
      <c r="A3009" s="2">
        <v>0</v>
      </c>
      <c r="B3009" s="26" t="s">
        <v>3191</v>
      </c>
      <c r="C3009" s="27">
        <v>0</v>
      </c>
      <c r="D3009" s="27">
        <v>0</v>
      </c>
      <c r="E3009" s="27">
        <v>0</v>
      </c>
    </row>
    <row r="3010" spans="1:5" hidden="1" outlineLevel="2">
      <c r="A3010" s="3" t="e">
        <f>(HYPERLINK("http://www.autodoc.ru/Web/price/art/3922ABL?analog=on","3922ABL"))*1</f>
        <v>#VALUE!</v>
      </c>
      <c r="B3010" s="1">
        <v>6963616</v>
      </c>
      <c r="C3010" t="s">
        <v>3186</v>
      </c>
      <c r="D3010" t="s">
        <v>3192</v>
      </c>
      <c r="E3010" t="s">
        <v>8</v>
      </c>
    </row>
    <row r="3011" spans="1:5" hidden="1" outlineLevel="1">
      <c r="A3011" s="2">
        <v>0</v>
      </c>
      <c r="B3011" s="26" t="s">
        <v>3193</v>
      </c>
      <c r="C3011" s="27">
        <v>0</v>
      </c>
      <c r="D3011" s="27">
        <v>0</v>
      </c>
      <c r="E3011" s="27">
        <v>0</v>
      </c>
    </row>
    <row r="3012" spans="1:5" hidden="1" outlineLevel="2">
      <c r="A3012" s="3" t="e">
        <f>(HYPERLINK("http://www.autodoc.ru/Web/price/art/3920ABL?analog=on","3920ABL"))*1</f>
        <v>#VALUE!</v>
      </c>
      <c r="B3012" s="1">
        <v>6963373</v>
      </c>
      <c r="C3012" t="s">
        <v>3194</v>
      </c>
      <c r="D3012" t="s">
        <v>3195</v>
      </c>
      <c r="E3012" t="s">
        <v>8</v>
      </c>
    </row>
    <row r="3013" spans="1:5" hidden="1" outlineLevel="2">
      <c r="A3013" s="3" t="e">
        <f>(HYPERLINK("http://www.autodoc.ru/Web/price/art/3920AKCH?analog=on","3920AKCH"))*1</f>
        <v>#VALUE!</v>
      </c>
      <c r="B3013" s="1">
        <v>6100482</v>
      </c>
      <c r="C3013" t="s">
        <v>19</v>
      </c>
      <c r="D3013" t="s">
        <v>3196</v>
      </c>
      <c r="E3013" t="s">
        <v>21</v>
      </c>
    </row>
    <row r="3014" spans="1:5" hidden="1" outlineLevel="2">
      <c r="A3014" s="3" t="e">
        <f>(HYPERLINK("http://www.autodoc.ru/Web/price/art/3920LBLH3FDW?analog=on","3920LBLH3FDW"))*1</f>
        <v>#VALUE!</v>
      </c>
      <c r="B3014" s="1">
        <v>6999353</v>
      </c>
      <c r="C3014" t="s">
        <v>3194</v>
      </c>
      <c r="D3014" t="s">
        <v>3197</v>
      </c>
      <c r="E3014" t="s">
        <v>10</v>
      </c>
    </row>
    <row r="3015" spans="1:5" hidden="1" outlineLevel="1">
      <c r="A3015" s="2">
        <v>0</v>
      </c>
      <c r="B3015" s="26" t="s">
        <v>3198</v>
      </c>
      <c r="C3015" s="27">
        <v>0</v>
      </c>
      <c r="D3015" s="27">
        <v>0</v>
      </c>
      <c r="E3015" s="27">
        <v>0</v>
      </c>
    </row>
    <row r="3016" spans="1:5" hidden="1" outlineLevel="2">
      <c r="A3016" s="3" t="e">
        <f>(HYPERLINK("http://www.autodoc.ru/Web/price/art/3925ABL?analog=on","3925ABL"))*1</f>
        <v>#VALUE!</v>
      </c>
      <c r="B3016" s="1">
        <v>6963738</v>
      </c>
      <c r="C3016" t="s">
        <v>3199</v>
      </c>
      <c r="D3016" t="s">
        <v>3200</v>
      </c>
      <c r="E3016" t="s">
        <v>8</v>
      </c>
    </row>
    <row r="3017" spans="1:5" hidden="1" outlineLevel="1">
      <c r="A3017" s="2">
        <v>0</v>
      </c>
      <c r="B3017" s="26" t="s">
        <v>3201</v>
      </c>
      <c r="C3017" s="27">
        <v>0</v>
      </c>
      <c r="D3017" s="27">
        <v>0</v>
      </c>
      <c r="E3017" s="27">
        <v>0</v>
      </c>
    </row>
    <row r="3018" spans="1:5" hidden="1" outlineLevel="2">
      <c r="A3018" s="3" t="e">
        <f>(HYPERLINK("http://www.autodoc.ru/Web/price/art/3934ABL?analog=on","3934ABL"))*1</f>
        <v>#VALUE!</v>
      </c>
      <c r="B3018" s="1">
        <v>6963451</v>
      </c>
      <c r="C3018" t="s">
        <v>3202</v>
      </c>
      <c r="D3018" t="s">
        <v>3203</v>
      </c>
      <c r="E3018" t="s">
        <v>8</v>
      </c>
    </row>
    <row r="3019" spans="1:5" hidden="1" outlineLevel="2">
      <c r="A3019" s="3" t="e">
        <f>(HYPERLINK("http://www.autodoc.ru/Web/price/art/3934RBLV5FDW?analog=on","3934RBLV5FDW"))*1</f>
        <v>#VALUE!</v>
      </c>
      <c r="B3019" s="1">
        <v>6995676</v>
      </c>
      <c r="C3019" t="s">
        <v>3202</v>
      </c>
      <c r="D3019" t="s">
        <v>3204</v>
      </c>
      <c r="E3019" t="s">
        <v>10</v>
      </c>
    </row>
    <row r="3020" spans="1:5" hidden="1" outlineLevel="1">
      <c r="A3020" s="2">
        <v>0</v>
      </c>
      <c r="B3020" s="26" t="s">
        <v>3205</v>
      </c>
      <c r="C3020" s="27">
        <v>0</v>
      </c>
      <c r="D3020" s="27">
        <v>0</v>
      </c>
      <c r="E3020" s="27">
        <v>0</v>
      </c>
    </row>
    <row r="3021" spans="1:5" hidden="1" outlineLevel="2">
      <c r="A3021" s="3" t="e">
        <f>(HYPERLINK("http://www.autodoc.ru/Web/price/art/3930ABL?analog=on","3930ABL"))*1</f>
        <v>#VALUE!</v>
      </c>
      <c r="B3021" s="1">
        <v>6969225</v>
      </c>
      <c r="C3021" t="s">
        <v>3206</v>
      </c>
      <c r="D3021" t="s">
        <v>3207</v>
      </c>
      <c r="E3021" t="s">
        <v>8</v>
      </c>
    </row>
    <row r="3022" spans="1:5" hidden="1" outlineLevel="2">
      <c r="A3022" s="3" t="e">
        <f>(HYPERLINK("http://www.autodoc.ru/Web/price/art/3930ABLBL?analog=on","3930ABLBL"))*1</f>
        <v>#VALUE!</v>
      </c>
      <c r="B3022" s="1">
        <v>6969226</v>
      </c>
      <c r="C3022" t="s">
        <v>3206</v>
      </c>
      <c r="D3022" t="s">
        <v>3208</v>
      </c>
      <c r="E3022" t="s">
        <v>8</v>
      </c>
    </row>
    <row r="3023" spans="1:5" hidden="1" outlineLevel="2">
      <c r="A3023" s="3" t="e">
        <f>(HYPERLINK("http://www.autodoc.ru/Web/price/art/3930ASMH?analog=on","3930ASMH"))*1</f>
        <v>#VALUE!</v>
      </c>
      <c r="B3023" s="1">
        <v>6100406</v>
      </c>
      <c r="C3023" t="s">
        <v>19</v>
      </c>
      <c r="D3023" t="s">
        <v>3209</v>
      </c>
      <c r="E3023" t="s">
        <v>21</v>
      </c>
    </row>
    <row r="3024" spans="1:5" hidden="1" outlineLevel="2">
      <c r="A3024" s="3" t="e">
        <f>(HYPERLINK("http://www.autodoc.ru/Web/price/art/3930BBLH?analog=on","3930BBLH"))*1</f>
        <v>#VALUE!</v>
      </c>
      <c r="B3024" s="1">
        <v>6998849</v>
      </c>
      <c r="C3024" t="s">
        <v>3206</v>
      </c>
      <c r="D3024" t="s">
        <v>3210</v>
      </c>
      <c r="E3024" t="s">
        <v>23</v>
      </c>
    </row>
    <row r="3025" spans="1:5" hidden="1" outlineLevel="2">
      <c r="A3025" s="3" t="e">
        <f>(HYPERLINK("http://www.autodoc.ru/Web/price/art/3930LBLH3FDW?analog=on","3930LBLH3FDW"))*1</f>
        <v>#VALUE!</v>
      </c>
      <c r="B3025" s="1">
        <v>6993900</v>
      </c>
      <c r="C3025" t="s">
        <v>3206</v>
      </c>
      <c r="D3025" t="s">
        <v>3211</v>
      </c>
      <c r="E3025" t="s">
        <v>10</v>
      </c>
    </row>
    <row r="3026" spans="1:5" hidden="1" outlineLevel="2">
      <c r="A3026" s="3" t="e">
        <f>(HYPERLINK("http://www.autodoc.ru/Web/price/art/3930RBLH3FDW?analog=on","3930RBLH3FDW"))*1</f>
        <v>#VALUE!</v>
      </c>
      <c r="B3026" s="1">
        <v>6993901</v>
      </c>
      <c r="C3026" t="s">
        <v>3206</v>
      </c>
      <c r="D3026" t="s">
        <v>3212</v>
      </c>
      <c r="E3026" t="s">
        <v>10</v>
      </c>
    </row>
    <row r="3027" spans="1:5" hidden="1" outlineLevel="2">
      <c r="A3027" s="3" t="e">
        <f>(HYPERLINK("http://www.autodoc.ru/Web/price/art/3930RBLH3RQO?analog=on","3930RBLH3RQO"))*1</f>
        <v>#VALUE!</v>
      </c>
      <c r="B3027" s="1">
        <v>6996729</v>
      </c>
      <c r="C3027" t="s">
        <v>3206</v>
      </c>
      <c r="D3027" t="s">
        <v>3213</v>
      </c>
      <c r="E3027" t="s">
        <v>10</v>
      </c>
    </row>
    <row r="3028" spans="1:5" hidden="1" outlineLevel="1">
      <c r="A3028" s="2">
        <v>0</v>
      </c>
      <c r="B3028" s="26" t="s">
        <v>3214</v>
      </c>
      <c r="C3028" s="27">
        <v>0</v>
      </c>
      <c r="D3028" s="27">
        <v>0</v>
      </c>
      <c r="E3028" s="27">
        <v>0</v>
      </c>
    </row>
    <row r="3029" spans="1:5" hidden="1" outlineLevel="2">
      <c r="A3029" s="3" t="e">
        <f>(HYPERLINK("http://www.autodoc.ru/Web/price/art/3932ABL?analog=on","3932ABL"))*1</f>
        <v>#VALUE!</v>
      </c>
      <c r="B3029" s="1">
        <v>6963620</v>
      </c>
      <c r="C3029" t="s">
        <v>3215</v>
      </c>
      <c r="D3029" t="s">
        <v>3216</v>
      </c>
      <c r="E3029" t="s">
        <v>8</v>
      </c>
    </row>
    <row r="3030" spans="1:5" hidden="1" outlineLevel="2">
      <c r="A3030" s="3" t="e">
        <f>(HYPERLINK("http://www.autodoc.ru/Web/price/art/3932ABLBL?analog=on","3932ABLBL"))*1</f>
        <v>#VALUE!</v>
      </c>
      <c r="B3030" s="1">
        <v>6963621</v>
      </c>
      <c r="C3030" t="s">
        <v>3215</v>
      </c>
      <c r="D3030" t="s">
        <v>3217</v>
      </c>
      <c r="E3030" t="s">
        <v>8</v>
      </c>
    </row>
    <row r="3031" spans="1:5" hidden="1" outlineLevel="2">
      <c r="A3031" s="3" t="e">
        <f>(HYPERLINK("http://www.autodoc.ru/Web/price/art/3932LBLC2FDW?analog=on","3932LBLC2FDW"))*1</f>
        <v>#VALUE!</v>
      </c>
      <c r="B3031" s="1">
        <v>6995673</v>
      </c>
      <c r="C3031" t="s">
        <v>3215</v>
      </c>
      <c r="D3031" t="s">
        <v>3218</v>
      </c>
      <c r="E3031" t="s">
        <v>10</v>
      </c>
    </row>
    <row r="3032" spans="1:5" hidden="1" outlineLevel="1">
      <c r="A3032" s="2">
        <v>0</v>
      </c>
      <c r="B3032" s="26" t="s">
        <v>3219</v>
      </c>
      <c r="C3032" s="27">
        <v>0</v>
      </c>
      <c r="D3032" s="27">
        <v>0</v>
      </c>
      <c r="E3032" s="27">
        <v>0</v>
      </c>
    </row>
    <row r="3033" spans="1:5" hidden="1" outlineLevel="2">
      <c r="A3033" s="3" t="e">
        <f>(HYPERLINK("http://www.autodoc.ru/Web/price/art/3935ABL?analog=on","3935ABL"))*1</f>
        <v>#VALUE!</v>
      </c>
      <c r="B3033" s="1">
        <v>6963376</v>
      </c>
      <c r="C3033" t="s">
        <v>2495</v>
      </c>
      <c r="D3033" t="s">
        <v>3220</v>
      </c>
      <c r="E3033" t="s">
        <v>8</v>
      </c>
    </row>
    <row r="3034" spans="1:5" hidden="1" outlineLevel="2">
      <c r="A3034" s="3" t="e">
        <f>(HYPERLINK("http://www.autodoc.ru/Web/price/art/3935ABLBL?analog=on","3935ABLBL"))*1</f>
        <v>#VALUE!</v>
      </c>
      <c r="B3034" s="1">
        <v>6963377</v>
      </c>
      <c r="C3034" t="s">
        <v>2495</v>
      </c>
      <c r="D3034" t="s">
        <v>3221</v>
      </c>
      <c r="E3034" t="s">
        <v>8</v>
      </c>
    </row>
    <row r="3035" spans="1:5" hidden="1" outlineLevel="2">
      <c r="A3035" s="3" t="e">
        <f>(HYPERLINK("http://www.autodoc.ru/Web/price/art/3935BBLS?analog=on","3935BBLS"))*1</f>
        <v>#VALUE!</v>
      </c>
      <c r="B3035" s="1">
        <v>6998947</v>
      </c>
      <c r="C3035" t="s">
        <v>2495</v>
      </c>
      <c r="D3035" t="s">
        <v>3222</v>
      </c>
      <c r="E3035" t="s">
        <v>23</v>
      </c>
    </row>
    <row r="3036" spans="1:5" hidden="1" outlineLevel="2">
      <c r="A3036" s="3" t="e">
        <f>(HYPERLINK("http://www.autodoc.ru/Web/price/art/3935LBLS4FD?analog=on","3935LBLS4FD"))*1</f>
        <v>#VALUE!</v>
      </c>
      <c r="B3036" s="1">
        <v>6997912</v>
      </c>
      <c r="C3036" t="s">
        <v>2495</v>
      </c>
      <c r="D3036" t="s">
        <v>3223</v>
      </c>
      <c r="E3036" t="s">
        <v>10</v>
      </c>
    </row>
    <row r="3037" spans="1:5" hidden="1" outlineLevel="2">
      <c r="A3037" s="3" t="e">
        <f>(HYPERLINK("http://www.autodoc.ru/Web/price/art/3935LBLS4RD?analog=on","3935LBLS4RD"))*1</f>
        <v>#VALUE!</v>
      </c>
      <c r="B3037" s="1">
        <v>6997913</v>
      </c>
      <c r="C3037" t="s">
        <v>2495</v>
      </c>
      <c r="D3037" t="s">
        <v>3224</v>
      </c>
      <c r="E3037" t="s">
        <v>10</v>
      </c>
    </row>
    <row r="3038" spans="1:5" hidden="1" outlineLevel="2">
      <c r="A3038" s="3" t="e">
        <f>(HYPERLINK("http://www.autodoc.ru/Web/price/art/3935RBLS4FD?analog=on","3935RBLS4FD"))*1</f>
        <v>#VALUE!</v>
      </c>
      <c r="B3038" s="1">
        <v>6997914</v>
      </c>
      <c r="C3038" t="s">
        <v>2495</v>
      </c>
      <c r="D3038" t="s">
        <v>3225</v>
      </c>
      <c r="E3038" t="s">
        <v>10</v>
      </c>
    </row>
    <row r="3039" spans="1:5" hidden="1" outlineLevel="2">
      <c r="A3039" s="3" t="e">
        <f>(HYPERLINK("http://www.autodoc.ru/Web/price/art/3935RBLS4RD?analog=on","3935RBLS4RD"))*1</f>
        <v>#VALUE!</v>
      </c>
      <c r="B3039" s="1">
        <v>6997915</v>
      </c>
      <c r="C3039" t="s">
        <v>2495</v>
      </c>
      <c r="D3039" t="s">
        <v>3226</v>
      </c>
      <c r="E3039" t="s">
        <v>10</v>
      </c>
    </row>
    <row r="3040" spans="1:5" hidden="1" outlineLevel="1">
      <c r="A3040" s="2">
        <v>0</v>
      </c>
      <c r="B3040" s="26" t="s">
        <v>3227</v>
      </c>
      <c r="C3040" s="27">
        <v>0</v>
      </c>
      <c r="D3040" s="27">
        <v>0</v>
      </c>
      <c r="E3040" s="27">
        <v>0</v>
      </c>
    </row>
    <row r="3041" spans="1:5" hidden="1" outlineLevel="2">
      <c r="A3041" s="3" t="e">
        <f>(HYPERLINK("http://www.autodoc.ru/Web/price/art/3940ABL?analog=on","3940ABL"))*1</f>
        <v>#VALUE!</v>
      </c>
      <c r="B3041" s="1">
        <v>6969213</v>
      </c>
      <c r="C3041" t="s">
        <v>1109</v>
      </c>
      <c r="D3041" t="s">
        <v>3228</v>
      </c>
      <c r="E3041" t="s">
        <v>8</v>
      </c>
    </row>
    <row r="3042" spans="1:5" hidden="1" outlineLevel="2">
      <c r="A3042" s="3" t="e">
        <f>(HYPERLINK("http://www.autodoc.ru/Web/price/art/3940ABLBL?analog=on","3940ABLBL"))*1</f>
        <v>#VALUE!</v>
      </c>
      <c r="B3042" s="1">
        <v>6969214</v>
      </c>
      <c r="C3042" t="s">
        <v>1109</v>
      </c>
      <c r="D3042" t="s">
        <v>3229</v>
      </c>
      <c r="E3042" t="s">
        <v>8</v>
      </c>
    </row>
    <row r="3043" spans="1:5" hidden="1" outlineLevel="2">
      <c r="A3043" s="3" t="e">
        <f>(HYPERLINK("http://www.autodoc.ru/Web/price/art/3940AGN?analog=on","3940AGN"))*1</f>
        <v>#VALUE!</v>
      </c>
      <c r="B3043" s="1">
        <v>6969946</v>
      </c>
      <c r="C3043" t="s">
        <v>1109</v>
      </c>
      <c r="D3043" t="s">
        <v>3230</v>
      </c>
      <c r="E3043" t="s">
        <v>8</v>
      </c>
    </row>
    <row r="3044" spans="1:5" hidden="1" outlineLevel="2">
      <c r="A3044" s="3" t="e">
        <f>(HYPERLINK("http://www.autodoc.ru/Web/price/art/3940AGNBL?analog=on","3940AGNBL"))*1</f>
        <v>#VALUE!</v>
      </c>
      <c r="B3044" s="1">
        <v>6969215</v>
      </c>
      <c r="C3044" t="s">
        <v>1109</v>
      </c>
      <c r="D3044" t="s">
        <v>3231</v>
      </c>
      <c r="E3044" t="s">
        <v>8</v>
      </c>
    </row>
    <row r="3045" spans="1:5" hidden="1" outlineLevel="2">
      <c r="A3045" s="3" t="e">
        <f>(HYPERLINK("http://www.autodoc.ru/Web/price/art/3940AKCS?analog=on","3940AKCS"))*1</f>
        <v>#VALUE!</v>
      </c>
      <c r="B3045" s="1">
        <v>6101082</v>
      </c>
      <c r="C3045" t="s">
        <v>19</v>
      </c>
      <c r="D3045" t="s">
        <v>3232</v>
      </c>
      <c r="E3045" t="s">
        <v>21</v>
      </c>
    </row>
    <row r="3046" spans="1:5" hidden="1" outlineLevel="2">
      <c r="A3046" s="3" t="e">
        <f>(HYPERLINK("http://www.autodoc.ru/Web/price/art/3940BGNS?analog=on","3940BGNS"))*1</f>
        <v>#VALUE!</v>
      </c>
      <c r="B3046" s="1">
        <v>6997296</v>
      </c>
      <c r="C3046" t="s">
        <v>1109</v>
      </c>
      <c r="D3046" t="s">
        <v>3233</v>
      </c>
      <c r="E3046" t="s">
        <v>23</v>
      </c>
    </row>
    <row r="3047" spans="1:5" hidden="1" outlineLevel="2">
      <c r="A3047" s="3" t="e">
        <f>(HYPERLINK("http://www.autodoc.ru/Web/price/art/3940LBLS4FDW?analog=on","3940LBLS4FDW"))*1</f>
        <v>#VALUE!</v>
      </c>
      <c r="B3047" s="1">
        <v>6995681</v>
      </c>
      <c r="C3047" t="s">
        <v>1109</v>
      </c>
      <c r="D3047" t="s">
        <v>3234</v>
      </c>
      <c r="E3047" t="s">
        <v>10</v>
      </c>
    </row>
    <row r="3048" spans="1:5" hidden="1" outlineLevel="2">
      <c r="A3048" s="3" t="e">
        <f>(HYPERLINK("http://www.autodoc.ru/Web/price/art/3940RBLS4FDW?analog=on","3940RBLS4FDW"))*1</f>
        <v>#VALUE!</v>
      </c>
      <c r="B3048" s="1">
        <v>6995682</v>
      </c>
      <c r="C3048" t="s">
        <v>1109</v>
      </c>
      <c r="D3048" t="s">
        <v>3235</v>
      </c>
      <c r="E3048" t="s">
        <v>10</v>
      </c>
    </row>
    <row r="3049" spans="1:5" hidden="1" outlineLevel="1">
      <c r="A3049" s="2">
        <v>0</v>
      </c>
      <c r="B3049" s="26" t="s">
        <v>3236</v>
      </c>
      <c r="C3049" s="27">
        <v>0</v>
      </c>
      <c r="D3049" s="27">
        <v>0</v>
      </c>
      <c r="E3049" s="27">
        <v>0</v>
      </c>
    </row>
    <row r="3050" spans="1:5" hidden="1" outlineLevel="2">
      <c r="A3050" s="3" t="e">
        <f>(HYPERLINK("http://www.autodoc.ru/Web/price/art/3941ABL?analog=on","3941ABL"))*1</f>
        <v>#VALUE!</v>
      </c>
      <c r="B3050" s="1">
        <v>6969229</v>
      </c>
      <c r="C3050" t="s">
        <v>3237</v>
      </c>
      <c r="D3050" t="s">
        <v>3238</v>
      </c>
      <c r="E3050" t="s">
        <v>8</v>
      </c>
    </row>
    <row r="3051" spans="1:5" hidden="1" outlineLevel="2">
      <c r="A3051" s="3" t="e">
        <f>(HYPERLINK("http://www.autodoc.ru/Web/price/art/3941ABLBL?analog=on","3941ABLBL"))*1</f>
        <v>#VALUE!</v>
      </c>
      <c r="B3051" s="1">
        <v>6969230</v>
      </c>
      <c r="C3051" t="s">
        <v>3237</v>
      </c>
      <c r="D3051" t="s">
        <v>3239</v>
      </c>
      <c r="E3051" t="s">
        <v>8</v>
      </c>
    </row>
    <row r="3052" spans="1:5" hidden="1" outlineLevel="2">
      <c r="A3052" s="3" t="e">
        <f>(HYPERLINK("http://www.autodoc.ru/Web/price/art/3941AGN?analog=on","3941AGN"))*1</f>
        <v>#VALUE!</v>
      </c>
      <c r="B3052" s="1">
        <v>6969947</v>
      </c>
      <c r="C3052" t="s">
        <v>3237</v>
      </c>
      <c r="D3052" t="s">
        <v>3240</v>
      </c>
      <c r="E3052" t="s">
        <v>8</v>
      </c>
    </row>
    <row r="3053" spans="1:5" hidden="1" outlineLevel="2">
      <c r="A3053" s="3" t="e">
        <f>(HYPERLINK("http://www.autodoc.ru/Web/price/art/3941AKCH?analog=on","3941AKCH"))*1</f>
        <v>#VALUE!</v>
      </c>
      <c r="B3053" s="1">
        <v>6101195</v>
      </c>
      <c r="C3053" t="s">
        <v>19</v>
      </c>
      <c r="D3053" t="s">
        <v>3241</v>
      </c>
      <c r="E3053" t="s">
        <v>21</v>
      </c>
    </row>
    <row r="3054" spans="1:5" hidden="1" outlineLevel="2">
      <c r="A3054" s="3" t="e">
        <f>(HYPERLINK("http://www.autodoc.ru/Web/price/art/3941AKSH?analog=on","3941AKSH"))*1</f>
        <v>#VALUE!</v>
      </c>
      <c r="B3054" s="1">
        <v>6102509</v>
      </c>
      <c r="C3054" t="s">
        <v>19</v>
      </c>
      <c r="D3054" t="s">
        <v>3242</v>
      </c>
      <c r="E3054" t="s">
        <v>21</v>
      </c>
    </row>
    <row r="3055" spans="1:5" hidden="1" outlineLevel="2">
      <c r="A3055" s="3" t="e">
        <f>(HYPERLINK("http://www.autodoc.ru/Web/price/art/3941ASMHT?analog=on","3941ASMHT"))*1</f>
        <v>#VALUE!</v>
      </c>
      <c r="B3055" s="1">
        <v>6100083</v>
      </c>
      <c r="C3055" t="s">
        <v>19</v>
      </c>
      <c r="D3055" t="s">
        <v>3243</v>
      </c>
      <c r="E3055" t="s">
        <v>21</v>
      </c>
    </row>
    <row r="3056" spans="1:5" hidden="1" outlineLevel="2">
      <c r="A3056" s="3" t="e">
        <f>(HYPERLINK("http://www.autodoc.ru/Web/price/art/3941BBLH?analog=on","3941BBLH"))*1</f>
        <v>#VALUE!</v>
      </c>
      <c r="B3056" s="1">
        <v>6998852</v>
      </c>
      <c r="C3056" t="s">
        <v>3237</v>
      </c>
      <c r="D3056" t="s">
        <v>3244</v>
      </c>
      <c r="E3056" t="s">
        <v>23</v>
      </c>
    </row>
    <row r="3057" spans="1:5" hidden="1" outlineLevel="2">
      <c r="A3057" s="3" t="e">
        <f>(HYPERLINK("http://www.autodoc.ru/Web/price/art/3941LBLH3FDW?analog=on","3941LBLH3FDW"))*1</f>
        <v>#VALUE!</v>
      </c>
      <c r="B3057" s="1">
        <v>6993904</v>
      </c>
      <c r="C3057" t="s">
        <v>3237</v>
      </c>
      <c r="D3057" t="s">
        <v>3245</v>
      </c>
      <c r="E3057" t="s">
        <v>10</v>
      </c>
    </row>
    <row r="3058" spans="1:5" hidden="1" outlineLevel="2">
      <c r="A3058" s="3" t="e">
        <f>(HYPERLINK("http://www.autodoc.ru/Web/price/art/3941RBLH3FDW?analog=on","3941RBLH3FDW"))*1</f>
        <v>#VALUE!</v>
      </c>
      <c r="B3058" s="1">
        <v>6993905</v>
      </c>
      <c r="C3058" t="s">
        <v>3237</v>
      </c>
      <c r="D3058" t="s">
        <v>3246</v>
      </c>
      <c r="E3058" t="s">
        <v>10</v>
      </c>
    </row>
    <row r="3059" spans="1:5" hidden="1" outlineLevel="2">
      <c r="A3059" s="3" t="e">
        <f>(HYPERLINK("http://www.autodoc.ru/Web/price/art/3941RBLH3RQ?analog=on","3941RBLH3RQ"))*1</f>
        <v>#VALUE!</v>
      </c>
      <c r="B3059" s="1">
        <v>6995358</v>
      </c>
      <c r="C3059" t="s">
        <v>3237</v>
      </c>
      <c r="D3059" t="s">
        <v>3247</v>
      </c>
      <c r="E3059" t="s">
        <v>10</v>
      </c>
    </row>
    <row r="3060" spans="1:5" hidden="1" outlineLevel="1">
      <c r="A3060" s="2">
        <v>0</v>
      </c>
      <c r="B3060" s="26" t="s">
        <v>3248</v>
      </c>
      <c r="C3060" s="27">
        <v>0</v>
      </c>
      <c r="D3060" s="27">
        <v>0</v>
      </c>
      <c r="E3060" s="27">
        <v>0</v>
      </c>
    </row>
    <row r="3061" spans="1:5" hidden="1" outlineLevel="2">
      <c r="A3061" s="3" t="e">
        <f>(HYPERLINK("http://www.autodoc.ru/Web/price/art/3951AGN?analog=on","3951AGN"))*1</f>
        <v>#VALUE!</v>
      </c>
      <c r="B3061" s="1">
        <v>6963553</v>
      </c>
      <c r="C3061" t="s">
        <v>2856</v>
      </c>
      <c r="D3061" t="s">
        <v>3249</v>
      </c>
      <c r="E3061" t="s">
        <v>8</v>
      </c>
    </row>
    <row r="3062" spans="1:5" hidden="1" outlineLevel="2">
      <c r="A3062" s="3" t="e">
        <f>(HYPERLINK("http://www.autodoc.ru/Web/price/art/3951AGNBL?analog=on","3951AGNBL"))*1</f>
        <v>#VALUE!</v>
      </c>
      <c r="B3062" s="1">
        <v>6961090</v>
      </c>
      <c r="C3062" t="s">
        <v>2856</v>
      </c>
      <c r="D3062" t="s">
        <v>3250</v>
      </c>
      <c r="E3062" t="s">
        <v>8</v>
      </c>
    </row>
    <row r="3063" spans="1:5" hidden="1" outlineLevel="2">
      <c r="A3063" s="3" t="e">
        <f>(HYPERLINK("http://www.autodoc.ru/Web/price/art/3951LGNC2FDW?analog=on","3951LGNC2FDW"))*1</f>
        <v>#VALUE!</v>
      </c>
      <c r="B3063" s="1">
        <v>6993902</v>
      </c>
      <c r="C3063" t="s">
        <v>2856</v>
      </c>
      <c r="D3063" t="s">
        <v>3251</v>
      </c>
      <c r="E3063" t="s">
        <v>10</v>
      </c>
    </row>
    <row r="3064" spans="1:5" hidden="1" outlineLevel="2">
      <c r="A3064" s="3" t="e">
        <f>(HYPERLINK("http://www.autodoc.ru/Web/price/art/3951RGNC2FDW?analog=on","3951RGNC2FDW"))*1</f>
        <v>#VALUE!</v>
      </c>
      <c r="B3064" s="1">
        <v>6993903</v>
      </c>
      <c r="C3064" t="s">
        <v>2856</v>
      </c>
      <c r="D3064" t="s">
        <v>3252</v>
      </c>
      <c r="E3064" t="s">
        <v>10</v>
      </c>
    </row>
    <row r="3065" spans="1:5" hidden="1" outlineLevel="1">
      <c r="A3065" s="2">
        <v>0</v>
      </c>
      <c r="B3065" s="26" t="s">
        <v>3253</v>
      </c>
      <c r="C3065" s="27">
        <v>0</v>
      </c>
      <c r="D3065" s="27">
        <v>0</v>
      </c>
      <c r="E3065" s="27">
        <v>0</v>
      </c>
    </row>
    <row r="3066" spans="1:5" hidden="1" outlineLevel="2">
      <c r="A3066" s="3" t="e">
        <f>(HYPERLINK("http://www.autodoc.ru/Web/price/art/3955AGN?analog=on","3955AGN"))*1</f>
        <v>#VALUE!</v>
      </c>
      <c r="B3066" s="1">
        <v>6963623</v>
      </c>
      <c r="C3066" t="s">
        <v>901</v>
      </c>
      <c r="D3066" t="s">
        <v>3254</v>
      </c>
      <c r="E3066" t="s">
        <v>8</v>
      </c>
    </row>
    <row r="3067" spans="1:5" hidden="1" outlineLevel="2">
      <c r="A3067" s="3" t="e">
        <f>(HYPERLINK("http://www.autodoc.ru/Web/price/art/3955ASMV?analog=on","3955ASMV"))*1</f>
        <v>#VALUE!</v>
      </c>
      <c r="B3067" s="1">
        <v>6101135</v>
      </c>
      <c r="C3067" t="s">
        <v>19</v>
      </c>
      <c r="D3067" t="s">
        <v>3255</v>
      </c>
      <c r="E3067" t="s">
        <v>21</v>
      </c>
    </row>
    <row r="3068" spans="1:5" hidden="1" outlineLevel="2">
      <c r="A3068" s="3" t="e">
        <f>(HYPERLINK("http://www.autodoc.ru/Web/price/art/3955ASMVT?analog=on","3955ASMVT"))*1</f>
        <v>#VALUE!</v>
      </c>
      <c r="B3068" s="1">
        <v>6101379</v>
      </c>
      <c r="C3068" t="s">
        <v>19</v>
      </c>
      <c r="D3068" t="s">
        <v>3256</v>
      </c>
      <c r="E3068" t="s">
        <v>21</v>
      </c>
    </row>
    <row r="3069" spans="1:5" hidden="1" outlineLevel="2">
      <c r="A3069" s="3" t="e">
        <f>(HYPERLINK("http://www.autodoc.ru/Web/price/art/3955LGNV5FDW?analog=on","3955LGNV5FDW"))*1</f>
        <v>#VALUE!</v>
      </c>
      <c r="B3069" s="1">
        <v>6999949</v>
      </c>
      <c r="C3069" t="s">
        <v>901</v>
      </c>
      <c r="D3069" t="s">
        <v>3257</v>
      </c>
      <c r="E3069" t="s">
        <v>10</v>
      </c>
    </row>
    <row r="3070" spans="1:5" hidden="1" outlineLevel="2">
      <c r="A3070" s="3" t="e">
        <f>(HYPERLINK("http://www.autodoc.ru/Web/price/art/3955RGNV5FDW?analog=on","3955RGNV5FDW"))*1</f>
        <v>#VALUE!</v>
      </c>
      <c r="B3070" s="1">
        <v>6900040</v>
      </c>
      <c r="C3070" t="s">
        <v>901</v>
      </c>
      <c r="D3070" t="s">
        <v>3258</v>
      </c>
      <c r="E3070" t="s">
        <v>10</v>
      </c>
    </row>
    <row r="3071" spans="1:5" hidden="1" outlineLevel="1">
      <c r="A3071" s="2">
        <v>0</v>
      </c>
      <c r="B3071" s="26" t="s">
        <v>3259</v>
      </c>
      <c r="C3071" s="27">
        <v>0</v>
      </c>
      <c r="D3071" s="27">
        <v>0</v>
      </c>
      <c r="E3071" s="27">
        <v>0</v>
      </c>
    </row>
    <row r="3072" spans="1:5" hidden="1" outlineLevel="2">
      <c r="A3072" s="3" t="e">
        <f>(HYPERLINK("http://www.autodoc.ru/Web/price/art/3956AGN?analog=on","3956AGN"))*1</f>
        <v>#VALUE!</v>
      </c>
      <c r="B3072" s="1">
        <v>6969360</v>
      </c>
      <c r="C3072" t="s">
        <v>1173</v>
      </c>
      <c r="D3072" t="s">
        <v>3260</v>
      </c>
      <c r="E3072" t="s">
        <v>8</v>
      </c>
    </row>
    <row r="3073" spans="1:5" hidden="1" outlineLevel="2">
      <c r="A3073" s="3" t="e">
        <f>(HYPERLINK("http://www.autodoc.ru/Web/price/art/3956AGNBL?analog=on","3956AGNBL"))*1</f>
        <v>#VALUE!</v>
      </c>
      <c r="B3073" s="1">
        <v>6960998</v>
      </c>
      <c r="C3073" t="s">
        <v>1173</v>
      </c>
      <c r="D3073" t="s">
        <v>3261</v>
      </c>
      <c r="E3073" t="s">
        <v>8</v>
      </c>
    </row>
    <row r="3074" spans="1:5" hidden="1" outlineLevel="2">
      <c r="A3074" s="3" t="e">
        <f>(HYPERLINK("http://www.autodoc.ru/Web/price/art/3956AGNGN?analog=on","3956AGNGN"))*1</f>
        <v>#VALUE!</v>
      </c>
      <c r="B3074" s="1">
        <v>6969361</v>
      </c>
      <c r="C3074" t="s">
        <v>1173</v>
      </c>
      <c r="D3074" t="s">
        <v>3262</v>
      </c>
      <c r="E3074" t="s">
        <v>8</v>
      </c>
    </row>
    <row r="3075" spans="1:5" hidden="1" outlineLevel="2">
      <c r="A3075" s="3" t="e">
        <f>(HYPERLINK("http://www.autodoc.ru/Web/price/art/3956ASMH?analog=on","3956ASMH"))*1</f>
        <v>#VALUE!</v>
      </c>
      <c r="B3075" s="1">
        <v>6100404</v>
      </c>
      <c r="C3075" t="s">
        <v>19</v>
      </c>
      <c r="D3075" t="s">
        <v>3263</v>
      </c>
      <c r="E3075" t="s">
        <v>21</v>
      </c>
    </row>
    <row r="3076" spans="1:5" hidden="1" outlineLevel="2">
      <c r="A3076" s="3" t="e">
        <f>(HYPERLINK("http://www.autodoc.ru/Web/price/art/3956LGNH3FDW?analog=on","3956LGNH3FDW"))*1</f>
        <v>#VALUE!</v>
      </c>
      <c r="B3076" s="1">
        <v>6995691</v>
      </c>
      <c r="C3076" t="s">
        <v>1173</v>
      </c>
      <c r="D3076" t="s">
        <v>3264</v>
      </c>
      <c r="E3076" t="s">
        <v>10</v>
      </c>
    </row>
    <row r="3077" spans="1:5" hidden="1" outlineLevel="2">
      <c r="A3077" s="3" t="e">
        <f>(HYPERLINK("http://www.autodoc.ru/Web/price/art/3956LGNH3RQ?analog=on","3956LGNH3RQ"))*1</f>
        <v>#VALUE!</v>
      </c>
      <c r="B3077" s="1">
        <v>6995692</v>
      </c>
      <c r="C3077" t="s">
        <v>1173</v>
      </c>
      <c r="D3077" t="s">
        <v>3265</v>
      </c>
      <c r="E3077" t="s">
        <v>10</v>
      </c>
    </row>
    <row r="3078" spans="1:5" hidden="1" outlineLevel="2">
      <c r="A3078" s="3" t="e">
        <f>(HYPERLINK("http://www.autodoc.ru/Web/price/art/3956RGNH3FDW?analog=on","3956RGNH3FDW"))*1</f>
        <v>#VALUE!</v>
      </c>
      <c r="B3078" s="1">
        <v>6995693</v>
      </c>
      <c r="C3078" t="s">
        <v>1173</v>
      </c>
      <c r="D3078" t="s">
        <v>3266</v>
      </c>
      <c r="E3078" t="s">
        <v>10</v>
      </c>
    </row>
    <row r="3079" spans="1:5" hidden="1" outlineLevel="2">
      <c r="A3079" s="3" t="e">
        <f>(HYPERLINK("http://www.autodoc.ru/Web/price/art/3956RGNH3RQ?analog=on","3956RGNH3RQ"))*1</f>
        <v>#VALUE!</v>
      </c>
      <c r="B3079" s="1">
        <v>6995694</v>
      </c>
      <c r="C3079" t="s">
        <v>1173</v>
      </c>
      <c r="D3079" t="s">
        <v>3267</v>
      </c>
      <c r="E3079" t="s">
        <v>10</v>
      </c>
    </row>
    <row r="3080" spans="1:5" hidden="1" outlineLevel="1">
      <c r="A3080" s="2">
        <v>0</v>
      </c>
      <c r="B3080" s="26" t="s">
        <v>3268</v>
      </c>
      <c r="C3080" s="27">
        <v>0</v>
      </c>
      <c r="D3080" s="27">
        <v>0</v>
      </c>
      <c r="E3080" s="27">
        <v>0</v>
      </c>
    </row>
    <row r="3081" spans="1:5" hidden="1" outlineLevel="2">
      <c r="A3081" s="3" t="e">
        <f>(HYPERLINK("http://www.autodoc.ru/Web/price/art/3957AGN?analog=on","3957AGN"))*1</f>
        <v>#VALUE!</v>
      </c>
      <c r="B3081" s="1">
        <v>6969362</v>
      </c>
      <c r="C3081" t="s">
        <v>1173</v>
      </c>
      <c r="D3081" t="s">
        <v>3269</v>
      </c>
      <c r="E3081" t="s">
        <v>8</v>
      </c>
    </row>
    <row r="3082" spans="1:5" hidden="1" outlineLevel="2">
      <c r="A3082" s="3" t="e">
        <f>(HYPERLINK("http://www.autodoc.ru/Web/price/art/3957AGNGN?analog=on","3957AGNGN"))*1</f>
        <v>#VALUE!</v>
      </c>
      <c r="B3082" s="1">
        <v>6969363</v>
      </c>
      <c r="C3082" t="s">
        <v>1173</v>
      </c>
      <c r="D3082" t="s">
        <v>3270</v>
      </c>
      <c r="E3082" t="s">
        <v>8</v>
      </c>
    </row>
    <row r="3083" spans="1:5" hidden="1" outlineLevel="2">
      <c r="A3083" s="3" t="e">
        <f>(HYPERLINK("http://www.autodoc.ru/Web/price/art/3957ASMS?analog=on","3957ASMS"))*1</f>
        <v>#VALUE!</v>
      </c>
      <c r="B3083" s="1">
        <v>6101134</v>
      </c>
      <c r="C3083" t="s">
        <v>19</v>
      </c>
      <c r="D3083" t="s">
        <v>3271</v>
      </c>
      <c r="E3083" t="s">
        <v>21</v>
      </c>
    </row>
    <row r="3084" spans="1:5" hidden="1" outlineLevel="2">
      <c r="A3084" s="3" t="e">
        <f>(HYPERLINK("http://www.autodoc.ru/Web/price/art/3957BGNS?analog=on","3957BGNS"))*1</f>
        <v>#VALUE!</v>
      </c>
      <c r="B3084" s="1">
        <v>6998854</v>
      </c>
      <c r="C3084" t="s">
        <v>1173</v>
      </c>
      <c r="D3084" t="s">
        <v>3272</v>
      </c>
      <c r="E3084" t="s">
        <v>23</v>
      </c>
    </row>
    <row r="3085" spans="1:5" hidden="1" outlineLevel="2">
      <c r="A3085" s="3" t="e">
        <f>(HYPERLINK("http://www.autodoc.ru/Web/price/art/3957LGNS4FDW?analog=on","3957LGNS4FDW"))*1</f>
        <v>#VALUE!</v>
      </c>
      <c r="B3085" s="1">
        <v>6995695</v>
      </c>
      <c r="C3085" t="s">
        <v>1173</v>
      </c>
      <c r="D3085" t="s">
        <v>3273</v>
      </c>
      <c r="E3085" t="s">
        <v>10</v>
      </c>
    </row>
    <row r="3086" spans="1:5" hidden="1" outlineLevel="2">
      <c r="A3086" s="3" t="e">
        <f>(HYPERLINK("http://www.autodoc.ru/Web/price/art/3957LGNS4RDW?analog=on","3957LGNS4RDW"))*1</f>
        <v>#VALUE!</v>
      </c>
      <c r="B3086" s="1">
        <v>6995696</v>
      </c>
      <c r="C3086" t="s">
        <v>1173</v>
      </c>
      <c r="D3086" t="s">
        <v>3274</v>
      </c>
      <c r="E3086" t="s">
        <v>10</v>
      </c>
    </row>
    <row r="3087" spans="1:5" hidden="1" outlineLevel="2">
      <c r="A3087" s="3" t="e">
        <f>(HYPERLINK("http://www.autodoc.ru/Web/price/art/3957RGNS4FDW?analog=on","3957RGNS4FDW"))*1</f>
        <v>#VALUE!</v>
      </c>
      <c r="B3087" s="1">
        <v>6995697</v>
      </c>
      <c r="C3087" t="s">
        <v>1173</v>
      </c>
      <c r="D3087" t="s">
        <v>3275</v>
      </c>
      <c r="E3087" t="s">
        <v>10</v>
      </c>
    </row>
    <row r="3088" spans="1:5" hidden="1" outlineLevel="2">
      <c r="A3088" s="3" t="e">
        <f>(HYPERLINK("http://www.autodoc.ru/Web/price/art/3957RGNS4RDW?analog=on","3957RGNS4RDW"))*1</f>
        <v>#VALUE!</v>
      </c>
      <c r="B3088" s="1">
        <v>6995698</v>
      </c>
      <c r="C3088" t="s">
        <v>1173</v>
      </c>
      <c r="D3088" t="s">
        <v>3276</v>
      </c>
      <c r="E3088" t="s">
        <v>10</v>
      </c>
    </row>
    <row r="3089" spans="1:5" hidden="1" outlineLevel="1">
      <c r="A3089" s="2">
        <v>0</v>
      </c>
      <c r="B3089" s="26" t="s">
        <v>3277</v>
      </c>
      <c r="C3089" s="27">
        <v>0</v>
      </c>
      <c r="D3089" s="27">
        <v>0</v>
      </c>
      <c r="E3089" s="27">
        <v>0</v>
      </c>
    </row>
    <row r="3090" spans="1:5" hidden="1" outlineLevel="2">
      <c r="A3090" s="3" t="e">
        <f>(HYPERLINK("http://www.autodoc.ru/Web/price/art/3954AGNGNVW?analog=on","3954AGNGNVW"))*1</f>
        <v>#VALUE!</v>
      </c>
      <c r="B3090" s="1">
        <v>6969220</v>
      </c>
      <c r="C3090" t="s">
        <v>36</v>
      </c>
      <c r="D3090" t="s">
        <v>3278</v>
      </c>
      <c r="E3090" t="s">
        <v>8</v>
      </c>
    </row>
    <row r="3091" spans="1:5" hidden="1" outlineLevel="2">
      <c r="A3091" s="3" t="e">
        <f>(HYPERLINK("http://www.autodoc.ru/Web/price/art/3954AGNVW?analog=on","3954AGNVW"))*1</f>
        <v>#VALUE!</v>
      </c>
      <c r="B3091" s="1">
        <v>6969219</v>
      </c>
      <c r="C3091" t="s">
        <v>36</v>
      </c>
      <c r="D3091" t="s">
        <v>3279</v>
      </c>
      <c r="E3091" t="s">
        <v>8</v>
      </c>
    </row>
    <row r="3092" spans="1:5" hidden="1" outlineLevel="2">
      <c r="A3092" s="3" t="e">
        <f>(HYPERLINK("http://www.autodoc.ru/Web/price/art/3954AKCH?analog=on","3954AKCH"))*1</f>
        <v>#VALUE!</v>
      </c>
      <c r="B3092" s="1">
        <v>6101177</v>
      </c>
      <c r="C3092" t="s">
        <v>19</v>
      </c>
      <c r="D3092" t="s">
        <v>3280</v>
      </c>
      <c r="E3092" t="s">
        <v>21</v>
      </c>
    </row>
    <row r="3093" spans="1:5" hidden="1" outlineLevel="2">
      <c r="A3093" s="3" t="e">
        <f>(HYPERLINK("http://www.autodoc.ru/Web/price/art/3954ASMHT?analog=on","3954ASMHT"))*1</f>
        <v>#VALUE!</v>
      </c>
      <c r="B3093" s="1">
        <v>6100591</v>
      </c>
      <c r="C3093" t="s">
        <v>19</v>
      </c>
      <c r="D3093" t="s">
        <v>3281</v>
      </c>
      <c r="E3093" t="s">
        <v>21</v>
      </c>
    </row>
    <row r="3094" spans="1:5" hidden="1" outlineLevel="2">
      <c r="A3094" s="3" t="e">
        <f>(HYPERLINK("http://www.autodoc.ru/Web/price/art/3954BGNE?analog=on","3954BGNE"))*1</f>
        <v>#VALUE!</v>
      </c>
      <c r="B3094" s="1">
        <v>6995971</v>
      </c>
      <c r="C3094" t="s">
        <v>36</v>
      </c>
      <c r="D3094" t="s">
        <v>3282</v>
      </c>
      <c r="E3094" t="s">
        <v>23</v>
      </c>
    </row>
    <row r="3095" spans="1:5" hidden="1" outlineLevel="2">
      <c r="A3095" s="3" t="e">
        <f>(HYPERLINK("http://www.autodoc.ru/Web/price/art/3954BGNH?analog=on","3954BGNH"))*1</f>
        <v>#VALUE!</v>
      </c>
      <c r="B3095" s="1">
        <v>6994760</v>
      </c>
      <c r="C3095" t="s">
        <v>36</v>
      </c>
      <c r="D3095" t="s">
        <v>3283</v>
      </c>
      <c r="E3095" t="s">
        <v>23</v>
      </c>
    </row>
    <row r="3096" spans="1:5" hidden="1" outlineLevel="2">
      <c r="A3096" s="3" t="e">
        <f>(HYPERLINK("http://www.autodoc.ru/Web/price/art/3954BGNHB?analog=on","3954BGNHB"))*1</f>
        <v>#VALUE!</v>
      </c>
      <c r="B3096" s="1">
        <v>6998853</v>
      </c>
      <c r="C3096" t="s">
        <v>36</v>
      </c>
      <c r="D3096" t="s">
        <v>3284</v>
      </c>
      <c r="E3096" t="s">
        <v>23</v>
      </c>
    </row>
    <row r="3097" spans="1:5" hidden="1" outlineLevel="2">
      <c r="A3097" s="3" t="e">
        <f>(HYPERLINK("http://www.autodoc.ru/Web/price/art/3954LGNH5FDW?analog=on","3954LGNH5FDW"))*1</f>
        <v>#VALUE!</v>
      </c>
      <c r="B3097" s="1">
        <v>6994761</v>
      </c>
      <c r="C3097" t="s">
        <v>36</v>
      </c>
      <c r="D3097" t="s">
        <v>3285</v>
      </c>
      <c r="E3097" t="s">
        <v>10</v>
      </c>
    </row>
    <row r="3098" spans="1:5" hidden="1" outlineLevel="2">
      <c r="A3098" s="3" t="e">
        <f>(HYPERLINK("http://www.autodoc.ru/Web/price/art/3954LGNH5RDW?analog=on","3954LGNH5RDW"))*1</f>
        <v>#VALUE!</v>
      </c>
      <c r="B3098" s="1">
        <v>6994762</v>
      </c>
      <c r="C3098" t="s">
        <v>36</v>
      </c>
      <c r="D3098" t="s">
        <v>3286</v>
      </c>
      <c r="E3098" t="s">
        <v>10</v>
      </c>
    </row>
    <row r="3099" spans="1:5" hidden="1" outlineLevel="2">
      <c r="A3099" s="3" t="e">
        <f>(HYPERLINK("http://www.autodoc.ru/Web/price/art/3954LGNH5RVZ?analog=on","3954LGNH5RVZ"))*1</f>
        <v>#VALUE!</v>
      </c>
      <c r="B3099" s="1">
        <v>6994798</v>
      </c>
      <c r="C3099" t="s">
        <v>36</v>
      </c>
      <c r="D3099" t="s">
        <v>3287</v>
      </c>
      <c r="E3099" t="s">
        <v>10</v>
      </c>
    </row>
    <row r="3100" spans="1:5" hidden="1" outlineLevel="2">
      <c r="A3100" s="3" t="e">
        <f>(HYPERLINK("http://www.autodoc.ru/Web/price/art/3954RGNH5FDW?analog=on","3954RGNH5FDW"))*1</f>
        <v>#VALUE!</v>
      </c>
      <c r="B3100" s="1">
        <v>6994763</v>
      </c>
      <c r="C3100" t="s">
        <v>36</v>
      </c>
      <c r="D3100" t="s">
        <v>3288</v>
      </c>
      <c r="E3100" t="s">
        <v>10</v>
      </c>
    </row>
    <row r="3101" spans="1:5" hidden="1" outlineLevel="2">
      <c r="A3101" s="3" t="e">
        <f>(HYPERLINK("http://www.autodoc.ru/Web/price/art/3954RGNH5RDW?analog=on","3954RGNH5RDW"))*1</f>
        <v>#VALUE!</v>
      </c>
      <c r="B3101" s="1">
        <v>6994764</v>
      </c>
      <c r="C3101" t="s">
        <v>36</v>
      </c>
      <c r="D3101" t="s">
        <v>3289</v>
      </c>
      <c r="E3101" t="s">
        <v>10</v>
      </c>
    </row>
    <row r="3102" spans="1:5" hidden="1" outlineLevel="2">
      <c r="A3102" s="3" t="e">
        <f>(HYPERLINK("http://www.autodoc.ru/Web/price/art/3954RGNH5RVZ?analog=on","3954RGNH5RVZ"))*1</f>
        <v>#VALUE!</v>
      </c>
      <c r="B3102" s="1">
        <v>6994800</v>
      </c>
      <c r="C3102" t="s">
        <v>36</v>
      </c>
      <c r="D3102" t="s">
        <v>3290</v>
      </c>
      <c r="E3102" t="s">
        <v>10</v>
      </c>
    </row>
    <row r="3103" spans="1:5" hidden="1" outlineLevel="1">
      <c r="A3103" s="2">
        <v>0</v>
      </c>
      <c r="B3103" s="26" t="s">
        <v>3291</v>
      </c>
      <c r="C3103" s="27">
        <v>0</v>
      </c>
      <c r="D3103" s="27">
        <v>0</v>
      </c>
      <c r="E3103" s="27">
        <v>0</v>
      </c>
    </row>
    <row r="3104" spans="1:5" hidden="1" outlineLevel="2">
      <c r="A3104" s="3" t="e">
        <f>(HYPERLINK("http://www.autodoc.ru/Web/price/art/3976AGS?analog=on","3976AGS"))*1</f>
        <v>#VALUE!</v>
      </c>
      <c r="B3104" s="1">
        <v>6960452</v>
      </c>
      <c r="C3104" t="s">
        <v>554</v>
      </c>
      <c r="D3104" t="s">
        <v>3292</v>
      </c>
      <c r="E3104" t="s">
        <v>8</v>
      </c>
    </row>
    <row r="3105" spans="1:5" hidden="1" outlineLevel="2">
      <c r="A3105" s="3" t="e">
        <f>(HYPERLINK("http://www.autodoc.ru/Web/price/art/3976AGSV?analog=on","3976AGSV"))*1</f>
        <v>#VALUE!</v>
      </c>
      <c r="B3105" s="1">
        <v>6960229</v>
      </c>
      <c r="C3105" t="s">
        <v>554</v>
      </c>
      <c r="D3105" t="s">
        <v>3293</v>
      </c>
      <c r="E3105" t="s">
        <v>8</v>
      </c>
    </row>
    <row r="3106" spans="1:5" hidden="1" outlineLevel="2">
      <c r="A3106" s="3" t="e">
        <f>(HYPERLINK("http://www.autodoc.ru/Web/price/art/3976AGSV1C?analog=on","3976AGSV1C"))*1</f>
        <v>#VALUE!</v>
      </c>
      <c r="B3106" s="1">
        <v>6960790</v>
      </c>
      <c r="C3106" t="s">
        <v>554</v>
      </c>
      <c r="D3106" t="s">
        <v>3294</v>
      </c>
      <c r="E3106" t="s">
        <v>8</v>
      </c>
    </row>
    <row r="3107" spans="1:5" hidden="1" outlineLevel="2">
      <c r="A3107" s="3" t="e">
        <f>(HYPERLINK("http://www.autodoc.ru/Web/price/art/3976ASMHT?analog=on","3976ASMHT"))*1</f>
        <v>#VALUE!</v>
      </c>
      <c r="B3107" s="1">
        <v>6100592</v>
      </c>
      <c r="C3107" t="s">
        <v>19</v>
      </c>
      <c r="D3107" t="s">
        <v>3295</v>
      </c>
      <c r="E3107" t="s">
        <v>21</v>
      </c>
    </row>
    <row r="3108" spans="1:5" hidden="1" outlineLevel="2">
      <c r="A3108" s="3" t="e">
        <f>(HYPERLINK("http://www.autodoc.ru/Web/price/art/3976LGSH3FDW?analog=on","3976LGSH3FDW"))*1</f>
        <v>#VALUE!</v>
      </c>
      <c r="B3108" s="1">
        <v>6999942</v>
      </c>
      <c r="C3108" t="s">
        <v>554</v>
      </c>
      <c r="D3108" t="s">
        <v>3296</v>
      </c>
      <c r="E3108" t="s">
        <v>10</v>
      </c>
    </row>
    <row r="3109" spans="1:5" hidden="1" outlineLevel="2">
      <c r="A3109" s="3" t="e">
        <f>(HYPERLINK("http://www.autodoc.ru/Web/price/art/3976RGSH3FDW?analog=on","3976RGSH3FDW"))*1</f>
        <v>#VALUE!</v>
      </c>
      <c r="B3109" s="1">
        <v>6900034</v>
      </c>
      <c r="C3109" t="s">
        <v>554</v>
      </c>
      <c r="D3109" t="s">
        <v>3297</v>
      </c>
      <c r="E3109" t="s">
        <v>10</v>
      </c>
    </row>
    <row r="3110" spans="1:5" hidden="1" outlineLevel="1">
      <c r="A3110" s="2">
        <v>0</v>
      </c>
      <c r="B3110" s="26" t="s">
        <v>3298</v>
      </c>
      <c r="C3110" s="27">
        <v>0</v>
      </c>
      <c r="D3110" s="27">
        <v>0</v>
      </c>
      <c r="E3110" s="27">
        <v>0</v>
      </c>
    </row>
    <row r="3111" spans="1:5" hidden="1" outlineLevel="2">
      <c r="A3111" s="3" t="e">
        <f>(HYPERLINK("http://www.autodoc.ru/Web/price/art/3964AGNV?analog=on","3964AGNV"))*1</f>
        <v>#VALUE!</v>
      </c>
      <c r="B3111" s="1">
        <v>6962090</v>
      </c>
      <c r="C3111" t="s">
        <v>554</v>
      </c>
      <c r="D3111" t="s">
        <v>3299</v>
      </c>
      <c r="E3111" t="s">
        <v>8</v>
      </c>
    </row>
    <row r="3112" spans="1:5" hidden="1" outlineLevel="2">
      <c r="A3112" s="3" t="e">
        <f>(HYPERLINK("http://www.autodoc.ru/Web/price/art/3964ASMCT?analog=on","3964ASMCT"))*1</f>
        <v>#VALUE!</v>
      </c>
      <c r="B3112" s="1">
        <v>6102159</v>
      </c>
      <c r="C3112" t="s">
        <v>19</v>
      </c>
      <c r="D3112" t="s">
        <v>3300</v>
      </c>
      <c r="E3112" t="s">
        <v>21</v>
      </c>
    </row>
    <row r="3113" spans="1:5" hidden="1" outlineLevel="2">
      <c r="A3113" s="3" t="e">
        <f>(HYPERLINK("http://www.autodoc.ru/Web/price/art/3964LGNC2FDW?analog=on","3964LGNC2FDW"))*1</f>
        <v>#VALUE!</v>
      </c>
      <c r="B3113" s="1">
        <v>6999945</v>
      </c>
      <c r="C3113" t="s">
        <v>554</v>
      </c>
      <c r="D3113" t="s">
        <v>3301</v>
      </c>
      <c r="E3113" t="s">
        <v>10</v>
      </c>
    </row>
    <row r="3114" spans="1:5" hidden="1" outlineLevel="2">
      <c r="A3114" s="3" t="e">
        <f>(HYPERLINK("http://www.autodoc.ru/Web/price/art/3964RGNC2FDW?analog=on","3964RGNC2FDW"))*1</f>
        <v>#VALUE!</v>
      </c>
      <c r="B3114" s="1">
        <v>6900037</v>
      </c>
      <c r="C3114" t="s">
        <v>554</v>
      </c>
      <c r="D3114" t="s">
        <v>3302</v>
      </c>
      <c r="E3114" t="s">
        <v>10</v>
      </c>
    </row>
    <row r="3115" spans="1:5" hidden="1" outlineLevel="1">
      <c r="A3115" s="2">
        <v>0</v>
      </c>
      <c r="B3115" s="26" t="s">
        <v>3303</v>
      </c>
      <c r="C3115" s="27">
        <v>0</v>
      </c>
      <c r="D3115" s="27">
        <v>0</v>
      </c>
      <c r="E3115" s="27">
        <v>0</v>
      </c>
    </row>
    <row r="3116" spans="1:5" hidden="1" outlineLevel="2">
      <c r="A3116" s="3" t="e">
        <f>(HYPERLINK("http://www.autodoc.ru/Web/price/art/3980AGNBLV?analog=on","3980AGNBLV"))*1</f>
        <v>#VALUE!</v>
      </c>
      <c r="B3116" s="1">
        <v>6962941</v>
      </c>
      <c r="C3116" t="s">
        <v>554</v>
      </c>
      <c r="D3116" t="s">
        <v>3304</v>
      </c>
      <c r="E3116" t="s">
        <v>8</v>
      </c>
    </row>
    <row r="3117" spans="1:5" hidden="1" outlineLevel="2">
      <c r="A3117" s="3" t="e">
        <f>(HYPERLINK("http://www.autodoc.ru/Web/price/art/3980AGNV?analog=on","3980AGNV"))*1</f>
        <v>#VALUE!</v>
      </c>
      <c r="B3117" s="1">
        <v>6950066</v>
      </c>
      <c r="C3117" t="s">
        <v>554</v>
      </c>
      <c r="D3117" t="s">
        <v>3305</v>
      </c>
      <c r="E3117" t="s">
        <v>8</v>
      </c>
    </row>
    <row r="3118" spans="1:5" hidden="1" outlineLevel="2">
      <c r="A3118" s="3" t="e">
        <f>(HYPERLINK("http://www.autodoc.ru/Web/price/art/3980ASMST?analog=on","3980ASMST"))*1</f>
        <v>#VALUE!</v>
      </c>
      <c r="B3118" s="1">
        <v>6101232</v>
      </c>
      <c r="C3118" t="s">
        <v>19</v>
      </c>
      <c r="D3118" t="s">
        <v>3306</v>
      </c>
      <c r="E3118" t="s">
        <v>21</v>
      </c>
    </row>
    <row r="3119" spans="1:5" hidden="1" outlineLevel="2">
      <c r="A3119" s="3" t="e">
        <f>(HYPERLINK("http://www.autodoc.ru/Web/price/art/3980LGNS4FDW?analog=on","3980LGNS4FDW"))*1</f>
        <v>#VALUE!</v>
      </c>
      <c r="B3119" s="1">
        <v>6900701</v>
      </c>
      <c r="C3119" t="s">
        <v>554</v>
      </c>
      <c r="D3119" t="s">
        <v>3307</v>
      </c>
      <c r="E3119" t="s">
        <v>10</v>
      </c>
    </row>
    <row r="3120" spans="1:5" hidden="1" outlineLevel="2">
      <c r="A3120" s="3" t="e">
        <f>(HYPERLINK("http://www.autodoc.ru/Web/price/art/3980LGNS4RDW?analog=on","3980LGNS4RDW"))*1</f>
        <v>#VALUE!</v>
      </c>
      <c r="B3120" s="1">
        <v>6900143</v>
      </c>
      <c r="C3120" t="s">
        <v>554</v>
      </c>
      <c r="D3120" t="s">
        <v>3308</v>
      </c>
      <c r="E3120" t="s">
        <v>10</v>
      </c>
    </row>
    <row r="3121" spans="1:5" hidden="1" outlineLevel="2">
      <c r="A3121" s="3" t="e">
        <f>(HYPERLINK("http://www.autodoc.ru/Web/price/art/3980LGNS4RV?analog=on","3980LGNS4RV"))*1</f>
        <v>#VALUE!</v>
      </c>
      <c r="B3121" s="1">
        <v>6995247</v>
      </c>
      <c r="C3121" t="s">
        <v>554</v>
      </c>
      <c r="D3121" t="s">
        <v>3309</v>
      </c>
      <c r="E3121" t="s">
        <v>10</v>
      </c>
    </row>
    <row r="3122" spans="1:5" hidden="1" outlineLevel="2">
      <c r="A3122" s="3" t="e">
        <f>(HYPERLINK("http://www.autodoc.ru/Web/price/art/3980RGNS4FDW?analog=on","3980RGNS4FDW"))*1</f>
        <v>#VALUE!</v>
      </c>
      <c r="B3122" s="1">
        <v>6900702</v>
      </c>
      <c r="C3122" t="s">
        <v>554</v>
      </c>
      <c r="D3122" t="s">
        <v>3310</v>
      </c>
      <c r="E3122" t="s">
        <v>10</v>
      </c>
    </row>
    <row r="3123" spans="1:5" hidden="1" outlineLevel="2">
      <c r="A3123" s="3" t="e">
        <f>(HYPERLINK("http://www.autodoc.ru/Web/price/art/3980RGNS4RDW?analog=on","3980RGNS4RDW"))*1</f>
        <v>#VALUE!</v>
      </c>
      <c r="B3123" s="1">
        <v>6900224</v>
      </c>
      <c r="C3123" t="s">
        <v>554</v>
      </c>
      <c r="D3123" t="s">
        <v>3311</v>
      </c>
      <c r="E3123" t="s">
        <v>10</v>
      </c>
    </row>
    <row r="3124" spans="1:5" hidden="1" outlineLevel="2">
      <c r="A3124" s="3" t="e">
        <f>(HYPERLINK("http://www.autodoc.ru/Web/price/art/3980RGNS4RV?analog=on","3980RGNS4RV"))*1</f>
        <v>#VALUE!</v>
      </c>
      <c r="B3124" s="1">
        <v>6995248</v>
      </c>
      <c r="C3124" t="s">
        <v>554</v>
      </c>
      <c r="D3124" t="s">
        <v>3312</v>
      </c>
      <c r="E3124" t="s">
        <v>10</v>
      </c>
    </row>
    <row r="3125" spans="1:5" hidden="1" outlineLevel="1">
      <c r="A3125" s="2">
        <v>0</v>
      </c>
      <c r="B3125" s="26" t="s">
        <v>3313</v>
      </c>
      <c r="C3125" s="27">
        <v>0</v>
      </c>
      <c r="D3125" s="27">
        <v>0</v>
      </c>
      <c r="E3125" s="27">
        <v>0</v>
      </c>
    </row>
    <row r="3126" spans="1:5" hidden="1" outlineLevel="2">
      <c r="A3126" s="3" t="e">
        <f>(HYPERLINK("http://www.autodoc.ru/Web/price/art/3974AGSGNV?analog=on","3974AGSGNV"))*1</f>
        <v>#VALUE!</v>
      </c>
      <c r="B3126" s="1">
        <v>6960241</v>
      </c>
      <c r="C3126" t="s">
        <v>554</v>
      </c>
      <c r="D3126" t="s">
        <v>3314</v>
      </c>
      <c r="E3126" t="s">
        <v>8</v>
      </c>
    </row>
    <row r="3127" spans="1:5" hidden="1" outlineLevel="2">
      <c r="A3127" s="3" t="e">
        <f>(HYPERLINK("http://www.autodoc.ru/Web/price/art/3974AGSV?analog=on","3974AGSV"))*1</f>
        <v>#VALUE!</v>
      </c>
      <c r="B3127" s="1">
        <v>6960230</v>
      </c>
      <c r="C3127" t="s">
        <v>554</v>
      </c>
      <c r="D3127" t="s">
        <v>3315</v>
      </c>
      <c r="E3127" t="s">
        <v>8</v>
      </c>
    </row>
    <row r="3128" spans="1:5" hidden="1" outlineLevel="2">
      <c r="A3128" s="3" t="e">
        <f>(HYPERLINK("http://www.autodoc.ru/Web/price/art/3974AGSV1C?analog=on","3974AGSV1C"))*1</f>
        <v>#VALUE!</v>
      </c>
      <c r="B3128" s="1">
        <v>6960789</v>
      </c>
      <c r="C3128" t="s">
        <v>3316</v>
      </c>
      <c r="D3128" t="s">
        <v>3317</v>
      </c>
      <c r="E3128" t="s">
        <v>8</v>
      </c>
    </row>
    <row r="3129" spans="1:5" hidden="1" outlineLevel="2">
      <c r="A3129" s="3" t="e">
        <f>(HYPERLINK("http://www.autodoc.ru/Web/price/art/3974ASMHT?analog=on","3974ASMHT"))*1</f>
        <v>#VALUE!</v>
      </c>
      <c r="B3129" s="1">
        <v>6100593</v>
      </c>
      <c r="C3129" t="s">
        <v>19</v>
      </c>
      <c r="D3129" t="s">
        <v>3318</v>
      </c>
      <c r="E3129" t="s">
        <v>21</v>
      </c>
    </row>
    <row r="3130" spans="1:5" hidden="1" outlineLevel="2">
      <c r="A3130" s="3" t="e">
        <f>(HYPERLINK("http://www.autodoc.ru/Web/price/art/3974LGSH5FDW?analog=on","3974LGSH5FDW"))*1</f>
        <v>#VALUE!</v>
      </c>
      <c r="B3130" s="1">
        <v>6999943</v>
      </c>
      <c r="C3130" t="s">
        <v>554</v>
      </c>
      <c r="D3130" t="s">
        <v>3319</v>
      </c>
      <c r="E3130" t="s">
        <v>10</v>
      </c>
    </row>
    <row r="3131" spans="1:5" hidden="1" outlineLevel="2">
      <c r="A3131" s="3" t="e">
        <f>(HYPERLINK("http://www.autodoc.ru/Web/price/art/3974LGSH5RDW?analog=on","3974LGSH5RDW"))*1</f>
        <v>#VALUE!</v>
      </c>
      <c r="B3131" s="1">
        <v>6900142</v>
      </c>
      <c r="C3131" t="s">
        <v>554</v>
      </c>
      <c r="D3131" t="s">
        <v>3320</v>
      </c>
      <c r="E3131" t="s">
        <v>10</v>
      </c>
    </row>
    <row r="3132" spans="1:5" hidden="1" outlineLevel="2">
      <c r="A3132" s="3" t="e">
        <f>(HYPERLINK("http://www.autodoc.ru/Web/price/art/3974LGSH5RQ?analog=on","3974LGSH5RQ"))*1</f>
        <v>#VALUE!</v>
      </c>
      <c r="B3132" s="1">
        <v>6990864</v>
      </c>
      <c r="C3132" t="s">
        <v>554</v>
      </c>
      <c r="D3132" t="s">
        <v>3321</v>
      </c>
      <c r="E3132" t="s">
        <v>10</v>
      </c>
    </row>
    <row r="3133" spans="1:5" hidden="1" outlineLevel="2">
      <c r="A3133" s="3" t="e">
        <f>(HYPERLINK("http://www.autodoc.ru/Web/price/art/3974RGSH5FDW?analog=on","3974RGSH5FDW"))*1</f>
        <v>#VALUE!</v>
      </c>
      <c r="B3133" s="1">
        <v>6900035</v>
      </c>
      <c r="C3133" t="s">
        <v>554</v>
      </c>
      <c r="D3133" t="s">
        <v>3322</v>
      </c>
      <c r="E3133" t="s">
        <v>10</v>
      </c>
    </row>
    <row r="3134" spans="1:5" hidden="1" outlineLevel="2">
      <c r="A3134" s="3" t="e">
        <f>(HYPERLINK("http://www.autodoc.ru/Web/price/art/3974RGSH5RDW?analog=on","3974RGSH5RDW"))*1</f>
        <v>#VALUE!</v>
      </c>
      <c r="B3134" s="1">
        <v>6900223</v>
      </c>
      <c r="C3134" t="s">
        <v>554</v>
      </c>
      <c r="D3134" t="s">
        <v>3323</v>
      </c>
      <c r="E3134" t="s">
        <v>10</v>
      </c>
    </row>
    <row r="3135" spans="1:5" hidden="1" outlineLevel="2">
      <c r="A3135" s="3" t="e">
        <f>(HYPERLINK("http://www.autodoc.ru/Web/price/art/3974RGSH5RQ?analog=on","3974RGSH5RQ"))*1</f>
        <v>#VALUE!</v>
      </c>
      <c r="B3135" s="1">
        <v>6990863</v>
      </c>
      <c r="C3135" t="s">
        <v>554</v>
      </c>
      <c r="D3135" t="s">
        <v>3324</v>
      </c>
      <c r="E3135" t="s">
        <v>10</v>
      </c>
    </row>
    <row r="3136" spans="1:5" hidden="1" outlineLevel="1">
      <c r="A3136" s="2">
        <v>0</v>
      </c>
      <c r="B3136" s="26" t="s">
        <v>3325</v>
      </c>
      <c r="C3136" s="27">
        <v>0</v>
      </c>
      <c r="D3136" s="27">
        <v>0</v>
      </c>
      <c r="E3136" s="27">
        <v>0</v>
      </c>
    </row>
    <row r="3137" spans="1:5" hidden="1" outlineLevel="2">
      <c r="A3137" s="3" t="e">
        <f>(HYPERLINK("http://www.autodoc.ru/Web/price/art/3998AGSMV1B?analog=on","3998AGSMV1B"))*1</f>
        <v>#VALUE!</v>
      </c>
      <c r="B3137" s="1">
        <v>6961526</v>
      </c>
      <c r="C3137" t="s">
        <v>3326</v>
      </c>
      <c r="D3137" t="s">
        <v>3327</v>
      </c>
      <c r="E3137" t="s">
        <v>8</v>
      </c>
    </row>
    <row r="3138" spans="1:5" hidden="1" outlineLevel="2">
      <c r="A3138" s="3" t="e">
        <f>(HYPERLINK("http://www.autodoc.ru/Web/price/art/3998AGSV?analog=on","3998AGSV"))*1</f>
        <v>#VALUE!</v>
      </c>
      <c r="B3138" s="1">
        <v>6961525</v>
      </c>
      <c r="C3138" t="s">
        <v>3326</v>
      </c>
      <c r="D3138" t="s">
        <v>3328</v>
      </c>
      <c r="E3138" t="s">
        <v>8</v>
      </c>
    </row>
    <row r="3139" spans="1:5" hidden="1" outlineLevel="2">
      <c r="A3139" s="3" t="e">
        <f>(HYPERLINK("http://www.autodoc.ru/Web/price/art/3998AGSBLV?analog=on","3998AGSBLV"))*1</f>
        <v>#VALUE!</v>
      </c>
      <c r="B3139" s="1">
        <v>6964677</v>
      </c>
      <c r="C3139" t="s">
        <v>3326</v>
      </c>
      <c r="D3139" t="s">
        <v>3329</v>
      </c>
      <c r="E3139" t="s">
        <v>8</v>
      </c>
    </row>
    <row r="3140" spans="1:5" hidden="1" outlineLevel="2">
      <c r="A3140" s="3" t="e">
        <f>(HYPERLINK("http://www.autodoc.ru/Web/price/art/3998AGSMVW1B?analog=on","3998AGSMVW1B"))*1</f>
        <v>#VALUE!</v>
      </c>
      <c r="B3140" s="1">
        <v>6964817</v>
      </c>
      <c r="C3140" t="s">
        <v>3326</v>
      </c>
      <c r="D3140" t="s">
        <v>3330</v>
      </c>
      <c r="E3140" t="s">
        <v>8</v>
      </c>
    </row>
    <row r="3141" spans="1:5" hidden="1" outlineLevel="2">
      <c r="A3141" s="3" t="e">
        <f>(HYPERLINK("http://www.autodoc.ru/Web/price/art/3998AGSVW?analog=on","3998AGSVW"))*1</f>
        <v>#VALUE!</v>
      </c>
      <c r="B3141" s="1">
        <v>6964818</v>
      </c>
      <c r="C3141" t="s">
        <v>3326</v>
      </c>
      <c r="D3141" t="s">
        <v>3328</v>
      </c>
      <c r="E3141" t="s">
        <v>8</v>
      </c>
    </row>
    <row r="3142" spans="1:5" hidden="1" outlineLevel="2">
      <c r="A3142" s="3" t="e">
        <f>(HYPERLINK("http://www.autodoc.ru/Web/price/art/3998ASMHT?analog=on","3998ASMHT"))*1</f>
        <v>#VALUE!</v>
      </c>
      <c r="B3142" s="1">
        <v>6102026</v>
      </c>
      <c r="C3142" t="s">
        <v>19</v>
      </c>
      <c r="D3142" t="s">
        <v>3331</v>
      </c>
      <c r="E3142" t="s">
        <v>21</v>
      </c>
    </row>
    <row r="3143" spans="1:5" hidden="1" outlineLevel="2">
      <c r="A3143" s="3" t="e">
        <f>(HYPERLINK("http://www.autodoc.ru/Web/price/art/3998BGSHAGY1B?analog=on","3998BGSHAGY1B"))*1</f>
        <v>#VALUE!</v>
      </c>
      <c r="B3143" s="1">
        <v>6901871</v>
      </c>
      <c r="C3143" t="s">
        <v>3326</v>
      </c>
      <c r="D3143" t="s">
        <v>3332</v>
      </c>
      <c r="E3143" t="s">
        <v>23</v>
      </c>
    </row>
    <row r="3144" spans="1:5" hidden="1" outlineLevel="2">
      <c r="A3144" s="3" t="e">
        <f>(HYPERLINK("http://www.autodoc.ru/Web/price/art/3998BGSHAGWY1M?analog=on","3998BGSHAGWY1M"))*1</f>
        <v>#VALUE!</v>
      </c>
      <c r="B3144" s="1">
        <v>6996493</v>
      </c>
      <c r="C3144" t="s">
        <v>3326</v>
      </c>
      <c r="D3144" t="s">
        <v>3333</v>
      </c>
      <c r="E3144" t="s">
        <v>23</v>
      </c>
    </row>
    <row r="3145" spans="1:5" hidden="1" outlineLevel="2">
      <c r="A3145" s="3" t="e">
        <f>(HYPERLINK("http://www.autodoc.ru/Web/price/art/3998BGSHAWY?analog=on","3998BGSHAWY"))*1</f>
        <v>#VALUE!</v>
      </c>
      <c r="B3145" s="1">
        <v>6900505</v>
      </c>
      <c r="C3145" t="s">
        <v>3326</v>
      </c>
      <c r="D3145" t="s">
        <v>3334</v>
      </c>
      <c r="E3145" t="s">
        <v>23</v>
      </c>
    </row>
    <row r="3146" spans="1:5" hidden="1" outlineLevel="2">
      <c r="A3146" s="3" t="e">
        <f>(HYPERLINK("http://www.autodoc.ru/Web/price/art/3998BGSHAWY1M?analog=on","3998BGSHAWY1M"))*1</f>
        <v>#VALUE!</v>
      </c>
      <c r="B3146" s="1">
        <v>6996492</v>
      </c>
      <c r="C3146" t="s">
        <v>3326</v>
      </c>
      <c r="D3146" t="s">
        <v>3335</v>
      </c>
      <c r="E3146" t="s">
        <v>23</v>
      </c>
    </row>
    <row r="3147" spans="1:5" hidden="1" outlineLevel="2">
      <c r="A3147" s="3" t="e">
        <f>(HYPERLINK("http://www.autodoc.ru/Web/price/art/3998LGSH5FDW1M?analog=on","3998LGSH5FDW1M"))*1</f>
        <v>#VALUE!</v>
      </c>
      <c r="B3147" s="1">
        <v>6993362</v>
      </c>
      <c r="C3147" t="s">
        <v>3326</v>
      </c>
      <c r="D3147" t="s">
        <v>3336</v>
      </c>
      <c r="E3147" t="s">
        <v>10</v>
      </c>
    </row>
    <row r="3148" spans="1:5" hidden="1" outlineLevel="2">
      <c r="A3148" s="3" t="e">
        <f>(HYPERLINK("http://www.autodoc.ru/Web/price/art/3998LGSH5FDW2M?analog=on","3998LGSH5FDW2M"))*1</f>
        <v>#VALUE!</v>
      </c>
      <c r="B3148" s="1">
        <v>6993837</v>
      </c>
      <c r="C3148" t="s">
        <v>3326</v>
      </c>
      <c r="D3148" t="s">
        <v>3336</v>
      </c>
      <c r="E3148" t="s">
        <v>10</v>
      </c>
    </row>
    <row r="3149" spans="1:5" hidden="1" outlineLevel="2">
      <c r="A3149" s="3" t="e">
        <f>(HYPERLINK("http://www.autodoc.ru/Web/price/art/3998LGSH5RDW?analog=on","3998LGSH5RDW"))*1</f>
        <v>#VALUE!</v>
      </c>
      <c r="B3149" s="1">
        <v>6993364</v>
      </c>
      <c r="C3149" t="s">
        <v>3326</v>
      </c>
      <c r="D3149" t="s">
        <v>3337</v>
      </c>
      <c r="E3149" t="s">
        <v>10</v>
      </c>
    </row>
    <row r="3150" spans="1:5" hidden="1" outlineLevel="2">
      <c r="A3150" s="3" t="e">
        <f>(HYPERLINK("http://www.autodoc.ru/Web/price/art/3998RGSH5FDW1M?analog=on","3998RGSH5FDW1M"))*1</f>
        <v>#VALUE!</v>
      </c>
      <c r="B3150" s="1">
        <v>6993361</v>
      </c>
      <c r="C3150" t="s">
        <v>3326</v>
      </c>
      <c r="D3150" t="s">
        <v>3338</v>
      </c>
      <c r="E3150" t="s">
        <v>10</v>
      </c>
    </row>
    <row r="3151" spans="1:5" hidden="1" outlineLevel="2">
      <c r="A3151" s="3" t="e">
        <f>(HYPERLINK("http://www.autodoc.ru/Web/price/art/3998RGSH5FDW2M?analog=on","3998RGSH5FDW2M"))*1</f>
        <v>#VALUE!</v>
      </c>
      <c r="B3151" s="1">
        <v>6993836</v>
      </c>
      <c r="C3151" t="s">
        <v>3326</v>
      </c>
      <c r="D3151" t="s">
        <v>3338</v>
      </c>
      <c r="E3151" t="s">
        <v>10</v>
      </c>
    </row>
    <row r="3152" spans="1:5" hidden="1" outlineLevel="2">
      <c r="A3152" s="3" t="e">
        <f>(HYPERLINK("http://www.autodoc.ru/Web/price/art/3998RGSH5RDW?analog=on","3998RGSH5RDW"))*1</f>
        <v>#VALUE!</v>
      </c>
      <c r="B3152" s="1">
        <v>6993363</v>
      </c>
      <c r="C3152" t="s">
        <v>3326</v>
      </c>
      <c r="D3152" t="s">
        <v>3339</v>
      </c>
      <c r="E3152" t="s">
        <v>10</v>
      </c>
    </row>
    <row r="3153" spans="1:5" hidden="1" outlineLevel="1">
      <c r="A3153" s="2">
        <v>0</v>
      </c>
      <c r="B3153" s="26" t="s">
        <v>3340</v>
      </c>
      <c r="C3153" s="27">
        <v>0</v>
      </c>
      <c r="D3153" s="27">
        <v>0</v>
      </c>
      <c r="E3153" s="27">
        <v>0</v>
      </c>
    </row>
    <row r="3154" spans="1:5" hidden="1" outlineLevel="2">
      <c r="A3154" s="3" t="e">
        <f>(HYPERLINK("http://www.autodoc.ru/Web/price/art/3999AGNV?analog=on","3999AGNV"))*1</f>
        <v>#VALUE!</v>
      </c>
      <c r="B3154" s="1">
        <v>6962797</v>
      </c>
      <c r="C3154" t="s">
        <v>3341</v>
      </c>
      <c r="D3154" t="s">
        <v>3342</v>
      </c>
      <c r="E3154" t="s">
        <v>8</v>
      </c>
    </row>
    <row r="3155" spans="1:5" hidden="1" outlineLevel="1">
      <c r="A3155" s="2">
        <v>0</v>
      </c>
      <c r="B3155" s="26" t="s">
        <v>3343</v>
      </c>
      <c r="C3155" s="27">
        <v>0</v>
      </c>
      <c r="D3155" s="27">
        <v>0</v>
      </c>
      <c r="E3155" s="27">
        <v>0</v>
      </c>
    </row>
    <row r="3156" spans="1:5" hidden="1" outlineLevel="2">
      <c r="A3156" s="3" t="e">
        <f>(HYPERLINK("http://www.autodoc.ru/Web/price/art/3943ABLBL?analog=on","3943ABLBL"))*1</f>
        <v>#VALUE!</v>
      </c>
      <c r="B3156" s="1">
        <v>6190419</v>
      </c>
      <c r="C3156" t="s">
        <v>3344</v>
      </c>
      <c r="D3156" t="s">
        <v>3345</v>
      </c>
      <c r="E3156" t="s">
        <v>8</v>
      </c>
    </row>
    <row r="3157" spans="1:5" hidden="1" outlineLevel="2">
      <c r="A3157" s="3" t="e">
        <f>(HYPERLINK("http://www.autodoc.ru/Web/price/art/3943AGNBL?analog=on","3943AGNBL"))*1</f>
        <v>#VALUE!</v>
      </c>
      <c r="B3157" s="1">
        <v>6190421</v>
      </c>
      <c r="C3157" t="s">
        <v>3344</v>
      </c>
      <c r="D3157" t="s">
        <v>3346</v>
      </c>
      <c r="E3157" t="s">
        <v>8</v>
      </c>
    </row>
    <row r="3158" spans="1:5" hidden="1" outlineLevel="2">
      <c r="A3158" s="3" t="e">
        <f>(HYPERLINK("http://www.autodoc.ru/Web/price/art/3943AKCH?analog=on","3943AKCH"))*1</f>
        <v>#VALUE!</v>
      </c>
      <c r="B3158" s="1">
        <v>6100980</v>
      </c>
      <c r="C3158" t="s">
        <v>19</v>
      </c>
      <c r="D3158" t="s">
        <v>3347</v>
      </c>
      <c r="E3158" t="s">
        <v>21</v>
      </c>
    </row>
    <row r="3159" spans="1:5" hidden="1" outlineLevel="2">
      <c r="A3159" s="3" t="e">
        <f>(HYPERLINK("http://www.autodoc.ru/Web/price/art/3943ASMHT?analog=on","3943ASMHT"))*1</f>
        <v>#VALUE!</v>
      </c>
      <c r="B3159" s="1">
        <v>6100084</v>
      </c>
      <c r="C3159" t="s">
        <v>19</v>
      </c>
      <c r="D3159" t="s">
        <v>3348</v>
      </c>
      <c r="E3159" t="s">
        <v>21</v>
      </c>
    </row>
    <row r="3160" spans="1:5" hidden="1" outlineLevel="1">
      <c r="A3160" s="2">
        <v>0</v>
      </c>
      <c r="B3160" s="26" t="s">
        <v>3349</v>
      </c>
      <c r="C3160" s="27">
        <v>0</v>
      </c>
      <c r="D3160" s="27">
        <v>0</v>
      </c>
      <c r="E3160" s="27">
        <v>0</v>
      </c>
    </row>
    <row r="3161" spans="1:5" hidden="1" outlineLevel="2">
      <c r="A3161" s="3" t="e">
        <f>(HYPERLINK("http://www.autodoc.ru/Web/price/art/3962AGN?analog=on","3962AGN"))*1</f>
        <v>#VALUE!</v>
      </c>
      <c r="B3161" s="1">
        <v>6961420</v>
      </c>
      <c r="C3161" t="s">
        <v>1710</v>
      </c>
      <c r="D3161" t="s">
        <v>3350</v>
      </c>
      <c r="E3161" t="s">
        <v>8</v>
      </c>
    </row>
    <row r="3162" spans="1:5" hidden="1" outlineLevel="2">
      <c r="A3162" s="3" t="e">
        <f>(HYPERLINK("http://www.autodoc.ru/Web/price/art/3962AGNBL?analog=on","3962AGNBL"))*1</f>
        <v>#VALUE!</v>
      </c>
      <c r="B3162" s="1">
        <v>6963233</v>
      </c>
      <c r="C3162" t="s">
        <v>1710</v>
      </c>
      <c r="D3162" t="s">
        <v>3351</v>
      </c>
      <c r="E3162" t="s">
        <v>8</v>
      </c>
    </row>
    <row r="3163" spans="1:5" hidden="1" outlineLevel="2">
      <c r="A3163" s="3" t="e">
        <f>(HYPERLINK("http://www.autodoc.ru/Web/price/art/3962AGNGN?analog=on","3962AGNGN"))*1</f>
        <v>#VALUE!</v>
      </c>
      <c r="B3163" s="1">
        <v>6960699</v>
      </c>
      <c r="C3163" t="s">
        <v>1710</v>
      </c>
      <c r="D3163" t="s">
        <v>3352</v>
      </c>
      <c r="E3163" t="s">
        <v>8</v>
      </c>
    </row>
    <row r="3164" spans="1:5" hidden="1" outlineLevel="2">
      <c r="A3164" s="3" t="e">
        <f>(HYPERLINK("http://www.autodoc.ru/Web/price/art/3962AGNGY?analog=on","3962AGNGY"))*1</f>
        <v>#VALUE!</v>
      </c>
      <c r="B3164" s="1">
        <v>6962942</v>
      </c>
      <c r="C3164" t="s">
        <v>1710</v>
      </c>
      <c r="D3164" t="s">
        <v>3353</v>
      </c>
      <c r="E3164" t="s">
        <v>8</v>
      </c>
    </row>
    <row r="3165" spans="1:5" hidden="1" outlineLevel="2">
      <c r="A3165" s="3" t="e">
        <f>(HYPERLINK("http://www.autodoc.ru/Web/price/art/3962AKSR?analog=on","3962AKSR"))*1</f>
        <v>#VALUE!</v>
      </c>
      <c r="B3165" s="1">
        <v>6102339</v>
      </c>
      <c r="C3165" t="s">
        <v>19</v>
      </c>
      <c r="D3165" t="s">
        <v>3354</v>
      </c>
      <c r="E3165" t="s">
        <v>21</v>
      </c>
    </row>
    <row r="3166" spans="1:5" hidden="1" outlineLevel="2">
      <c r="A3166" s="3" t="e">
        <f>(HYPERLINK("http://www.autodoc.ru/Web/price/art/3962ASMR?analog=on","3962ASMR"))*1</f>
        <v>#VALUE!</v>
      </c>
      <c r="B3166" s="1">
        <v>6100086</v>
      </c>
      <c r="C3166" t="s">
        <v>19</v>
      </c>
      <c r="D3166" t="s">
        <v>3355</v>
      </c>
      <c r="E3166" t="s">
        <v>21</v>
      </c>
    </row>
    <row r="3167" spans="1:5" hidden="1" outlineLevel="2">
      <c r="A3167" s="3" t="e">
        <f>(HYPERLINK("http://www.autodoc.ru/Web/price/art/3962LGNR5FDW?analog=on","3962LGNR5FDW"))*1</f>
        <v>#VALUE!</v>
      </c>
      <c r="B3167" s="1">
        <v>6995699</v>
      </c>
      <c r="C3167" t="s">
        <v>1710</v>
      </c>
      <c r="D3167" t="s">
        <v>3356</v>
      </c>
      <c r="E3167" t="s">
        <v>10</v>
      </c>
    </row>
    <row r="3168" spans="1:5" hidden="1" outlineLevel="2">
      <c r="A3168" s="3" t="e">
        <f>(HYPERLINK("http://www.autodoc.ru/Web/price/art/3962LGNR5RDW?analog=on","3962LGNR5RDW"))*1</f>
        <v>#VALUE!</v>
      </c>
      <c r="B3168" s="1">
        <v>6995700</v>
      </c>
      <c r="C3168" t="s">
        <v>1710</v>
      </c>
      <c r="D3168" t="s">
        <v>3357</v>
      </c>
      <c r="E3168" t="s">
        <v>10</v>
      </c>
    </row>
    <row r="3169" spans="1:5" hidden="1" outlineLevel="2">
      <c r="A3169" s="3" t="e">
        <f>(HYPERLINK("http://www.autodoc.ru/Web/price/art/3962LGNR5RV?analog=on","3962LGNR5RV"))*1</f>
        <v>#VALUE!</v>
      </c>
      <c r="B3169" s="1">
        <v>6995701</v>
      </c>
      <c r="C3169" t="s">
        <v>1710</v>
      </c>
      <c r="D3169" t="s">
        <v>3358</v>
      </c>
      <c r="E3169" t="s">
        <v>10</v>
      </c>
    </row>
    <row r="3170" spans="1:5" hidden="1" outlineLevel="2">
      <c r="A3170" s="3" t="e">
        <f>(HYPERLINK("http://www.autodoc.ru/Web/price/art/3962RGNR5FDW?analog=on","3962RGNR5FDW"))*1</f>
        <v>#VALUE!</v>
      </c>
      <c r="B3170" s="1">
        <v>6995702</v>
      </c>
      <c r="C3170" t="s">
        <v>1710</v>
      </c>
      <c r="D3170" t="s">
        <v>3359</v>
      </c>
      <c r="E3170" t="s">
        <v>10</v>
      </c>
    </row>
    <row r="3171" spans="1:5" hidden="1" outlineLevel="2">
      <c r="A3171" s="3" t="e">
        <f>(HYPERLINK("http://www.autodoc.ru/Web/price/art/3962RGNR5RDW?analog=on","3962RGNR5RDW"))*1</f>
        <v>#VALUE!</v>
      </c>
      <c r="B3171" s="1">
        <v>6995703</v>
      </c>
      <c r="C3171" t="s">
        <v>1710</v>
      </c>
      <c r="D3171" t="s">
        <v>3360</v>
      </c>
      <c r="E3171" t="s">
        <v>10</v>
      </c>
    </row>
    <row r="3172" spans="1:5" hidden="1" outlineLevel="2">
      <c r="A3172" s="3" t="e">
        <f>(HYPERLINK("http://www.autodoc.ru/Web/price/art/3962RGNR5RV?analog=on","3962RGNR5RV"))*1</f>
        <v>#VALUE!</v>
      </c>
      <c r="B3172" s="1">
        <v>6995704</v>
      </c>
      <c r="C3172" t="s">
        <v>1710</v>
      </c>
      <c r="D3172" t="s">
        <v>3361</v>
      </c>
      <c r="E3172" t="s">
        <v>10</v>
      </c>
    </row>
    <row r="3173" spans="1:5" hidden="1" outlineLevel="1">
      <c r="A3173" s="2">
        <v>0</v>
      </c>
      <c r="B3173" s="26" t="s">
        <v>3362</v>
      </c>
      <c r="C3173" s="27">
        <v>0</v>
      </c>
      <c r="D3173" s="27">
        <v>0</v>
      </c>
      <c r="E3173" s="27">
        <v>0</v>
      </c>
    </row>
    <row r="3174" spans="1:5" hidden="1" outlineLevel="2">
      <c r="A3174" s="3" t="e">
        <f>(HYPERLINK("http://www.autodoc.ru/Web/price/art/3983AGSBLV?analog=on","3983AGSBLV"))*1</f>
        <v>#VALUE!</v>
      </c>
      <c r="B3174" s="1">
        <v>6964832</v>
      </c>
      <c r="C3174" t="s">
        <v>829</v>
      </c>
      <c r="D3174" t="s">
        <v>3363</v>
      </c>
      <c r="E3174" t="s">
        <v>8</v>
      </c>
    </row>
    <row r="3175" spans="1:5" hidden="1" outlineLevel="2">
      <c r="A3175" s="3" t="e">
        <f>(HYPERLINK("http://www.autodoc.ru/Web/price/art/3983AGSV?analog=on","3983AGSV"))*1</f>
        <v>#VALUE!</v>
      </c>
      <c r="B3175" s="1">
        <v>6961011</v>
      </c>
      <c r="C3175" t="s">
        <v>829</v>
      </c>
      <c r="D3175" t="s">
        <v>3364</v>
      </c>
      <c r="E3175" t="s">
        <v>8</v>
      </c>
    </row>
    <row r="3176" spans="1:5" hidden="1" outlineLevel="2">
      <c r="A3176" s="3" t="e">
        <f>(HYPERLINK("http://www.autodoc.ru/Web/price/art/3983AGSV1C?analog=on","3983AGSV1C"))*1</f>
        <v>#VALUE!</v>
      </c>
      <c r="B3176" s="1">
        <v>6961967</v>
      </c>
      <c r="C3176" t="s">
        <v>829</v>
      </c>
      <c r="D3176" t="s">
        <v>3365</v>
      </c>
      <c r="E3176" t="s">
        <v>8</v>
      </c>
    </row>
    <row r="3177" spans="1:5" hidden="1" outlineLevel="2">
      <c r="A3177" s="3" t="e">
        <f>(HYPERLINK("http://www.autodoc.ru/Web/price/art/3983AGSVW1C?analog=on","3983AGSVW1C"))*1</f>
        <v>#VALUE!</v>
      </c>
      <c r="B3177" s="1">
        <v>6963013</v>
      </c>
      <c r="C3177" t="s">
        <v>829</v>
      </c>
      <c r="D3177" t="s">
        <v>3366</v>
      </c>
      <c r="E3177" t="s">
        <v>8</v>
      </c>
    </row>
    <row r="3178" spans="1:5" hidden="1" outlineLevel="2">
      <c r="A3178" s="3" t="e">
        <f>(HYPERLINK("http://www.autodoc.ru/Web/price/art/3983AGSBLV1C?analog=on","3983AGSBLV1C"))*1</f>
        <v>#VALUE!</v>
      </c>
      <c r="B3178" s="1">
        <v>6964816</v>
      </c>
      <c r="C3178" t="s">
        <v>3367</v>
      </c>
      <c r="D3178" t="s">
        <v>3368</v>
      </c>
      <c r="E3178" t="s">
        <v>8</v>
      </c>
    </row>
    <row r="3179" spans="1:5" hidden="1" outlineLevel="2">
      <c r="A3179" s="3" t="e">
        <f>(HYPERLINK("http://www.autodoc.ru/Web/price/art/3983ASMRT?analog=on","3983ASMRT"))*1</f>
        <v>#VALUE!</v>
      </c>
      <c r="B3179" s="1">
        <v>6101066</v>
      </c>
      <c r="C3179" t="s">
        <v>19</v>
      </c>
      <c r="D3179" t="s">
        <v>3369</v>
      </c>
      <c r="E3179" t="s">
        <v>21</v>
      </c>
    </row>
    <row r="3180" spans="1:5" hidden="1" outlineLevel="2">
      <c r="A3180" s="3" t="e">
        <f>(HYPERLINK("http://www.autodoc.ru/Web/price/art/3983BGSRBOW?analog=on","3983BGSRBOW"))*1</f>
        <v>#VALUE!</v>
      </c>
      <c r="B3180" s="1">
        <v>6992796</v>
      </c>
      <c r="C3180" t="s">
        <v>829</v>
      </c>
      <c r="D3180" t="s">
        <v>3370</v>
      </c>
      <c r="E3180" t="s">
        <v>23</v>
      </c>
    </row>
    <row r="3181" spans="1:5" hidden="1" outlineLevel="2">
      <c r="A3181" s="3" t="e">
        <f>(HYPERLINK("http://www.autodoc.ru/Web/price/art/3983LGSR5FDW?analog=on","3983LGSR5FDW"))*1</f>
        <v>#VALUE!</v>
      </c>
      <c r="B3181" s="1">
        <v>6993209</v>
      </c>
      <c r="C3181" t="s">
        <v>829</v>
      </c>
      <c r="D3181" t="s">
        <v>3371</v>
      </c>
      <c r="E3181" t="s">
        <v>10</v>
      </c>
    </row>
    <row r="3182" spans="1:5" hidden="1" outlineLevel="2">
      <c r="A3182" s="3" t="e">
        <f>(HYPERLINK("http://www.autodoc.ru/Web/price/art/3983LGSR5RDW?analog=on","3983LGSR5RDW"))*1</f>
        <v>#VALUE!</v>
      </c>
      <c r="B3182" s="1">
        <v>6980098</v>
      </c>
      <c r="C3182" t="s">
        <v>829</v>
      </c>
      <c r="D3182" t="s">
        <v>3372</v>
      </c>
      <c r="E3182" t="s">
        <v>10</v>
      </c>
    </row>
    <row r="3183" spans="1:5" hidden="1" outlineLevel="2">
      <c r="A3183" s="3" t="e">
        <f>(HYPERLINK("http://www.autodoc.ru/Web/price/art/3983LGSR5RV?analog=on","3983LGSR5RV"))*1</f>
        <v>#VALUE!</v>
      </c>
      <c r="B3183" s="1">
        <v>6991645</v>
      </c>
      <c r="C3183" t="s">
        <v>829</v>
      </c>
      <c r="D3183" t="s">
        <v>3373</v>
      </c>
      <c r="E3183" t="s">
        <v>10</v>
      </c>
    </row>
    <row r="3184" spans="1:5" hidden="1" outlineLevel="2">
      <c r="A3184" s="3" t="e">
        <f>(HYPERLINK("http://www.autodoc.ru/Web/price/art/3983RGSR5FDW?analog=on","3983RGSR5FDW"))*1</f>
        <v>#VALUE!</v>
      </c>
      <c r="B3184" s="1">
        <v>6993210</v>
      </c>
      <c r="C3184" t="s">
        <v>829</v>
      </c>
      <c r="D3184" t="s">
        <v>3374</v>
      </c>
      <c r="E3184" t="s">
        <v>10</v>
      </c>
    </row>
    <row r="3185" spans="1:5" hidden="1" outlineLevel="2">
      <c r="A3185" s="3" t="e">
        <f>(HYPERLINK("http://www.autodoc.ru/Web/price/art/3983RGSR5RDW?analog=on","3983RGSR5RDW"))*1</f>
        <v>#VALUE!</v>
      </c>
      <c r="B3185" s="1">
        <v>6980099</v>
      </c>
      <c r="C3185" t="s">
        <v>829</v>
      </c>
      <c r="D3185" t="s">
        <v>3375</v>
      </c>
      <c r="E3185" t="s">
        <v>10</v>
      </c>
    </row>
    <row r="3186" spans="1:5" hidden="1" outlineLevel="2">
      <c r="A3186" s="3" t="e">
        <f>(HYPERLINK("http://www.autodoc.ru/Web/price/art/3983RGSR5RV?analog=on","3983RGSR5RV"))*1</f>
        <v>#VALUE!</v>
      </c>
      <c r="B3186" s="1">
        <v>6991644</v>
      </c>
      <c r="C3186" t="s">
        <v>829</v>
      </c>
      <c r="D3186" t="s">
        <v>3376</v>
      </c>
      <c r="E3186" t="s">
        <v>10</v>
      </c>
    </row>
    <row r="3187" spans="1:5" hidden="1" outlineLevel="1">
      <c r="A3187" s="2">
        <v>0</v>
      </c>
      <c r="B3187" s="26" t="s">
        <v>3377</v>
      </c>
      <c r="C3187" s="27">
        <v>0</v>
      </c>
      <c r="D3187" s="27">
        <v>0</v>
      </c>
      <c r="E3187" s="27">
        <v>0</v>
      </c>
    </row>
    <row r="3188" spans="1:5" hidden="1" outlineLevel="2">
      <c r="A3188" s="3" t="e">
        <f>(HYPERLINK("http://www.autodoc.ru/Web/price/art/4000AGAMV1B?analog=on","4000AGAMV1B"))*1</f>
        <v>#VALUE!</v>
      </c>
      <c r="B3188" s="1">
        <v>6962567</v>
      </c>
      <c r="C3188" t="s">
        <v>3378</v>
      </c>
      <c r="D3188" t="s">
        <v>3379</v>
      </c>
      <c r="E3188" t="s">
        <v>8</v>
      </c>
    </row>
    <row r="3189" spans="1:5" hidden="1" outlineLevel="2">
      <c r="A3189" s="3" t="e">
        <f>(HYPERLINK("http://www.autodoc.ru/Web/price/art/4000AGNMV1B?analog=on","4000AGNMV1B"))*1</f>
        <v>#VALUE!</v>
      </c>
      <c r="B3189" s="1">
        <v>6964651</v>
      </c>
      <c r="C3189" t="s">
        <v>3378</v>
      </c>
      <c r="D3189" t="s">
        <v>3380</v>
      </c>
      <c r="E3189" t="s">
        <v>8</v>
      </c>
    </row>
    <row r="3190" spans="1:5" hidden="1" outlineLevel="2">
      <c r="A3190" s="3" t="e">
        <f>(HYPERLINK("http://www.autodoc.ru/Web/price/art/4000AGAV?analog=on","4000AGAV"))*1</f>
        <v>#VALUE!</v>
      </c>
      <c r="B3190" s="1">
        <v>6962568</v>
      </c>
      <c r="C3190" t="s">
        <v>3378</v>
      </c>
      <c r="D3190" t="s">
        <v>3381</v>
      </c>
      <c r="E3190" t="s">
        <v>8</v>
      </c>
    </row>
    <row r="3191" spans="1:5" hidden="1" outlineLevel="2">
      <c r="A3191" s="3" t="e">
        <f>(HYPERLINK("http://www.autodoc.ru/Web/price/art/4000AGAVW?analog=on","4000AGAVW"))*1</f>
        <v>#VALUE!</v>
      </c>
      <c r="B3191" s="1">
        <v>6962471</v>
      </c>
      <c r="C3191" t="s">
        <v>3378</v>
      </c>
      <c r="D3191" t="s">
        <v>3382</v>
      </c>
      <c r="E3191" t="s">
        <v>8</v>
      </c>
    </row>
    <row r="3192" spans="1:5" hidden="1" outlineLevel="2">
      <c r="A3192" s="3" t="e">
        <f>(HYPERLINK("http://www.autodoc.ru/Web/price/art/4000AGNV?analog=on","4000AGNV"))*1</f>
        <v>#VALUE!</v>
      </c>
      <c r="B3192" s="1">
        <v>6964652</v>
      </c>
      <c r="C3192" t="s">
        <v>3378</v>
      </c>
      <c r="D3192" t="s">
        <v>3381</v>
      </c>
      <c r="E3192" t="s">
        <v>8</v>
      </c>
    </row>
    <row r="3193" spans="1:5" hidden="1" outlineLevel="2">
      <c r="A3193" s="3" t="e">
        <f>(HYPERLINK("http://www.autodoc.ru/Web/price/art/4000ASMRT?analog=on","4000ASMRT"))*1</f>
        <v>#VALUE!</v>
      </c>
      <c r="B3193" s="1">
        <v>6102312</v>
      </c>
      <c r="C3193" t="s">
        <v>19</v>
      </c>
      <c r="D3193" t="s">
        <v>3383</v>
      </c>
      <c r="E3193" t="s">
        <v>21</v>
      </c>
    </row>
    <row r="3194" spans="1:5" hidden="1" outlineLevel="2">
      <c r="A3194" s="3" t="e">
        <f>(HYPERLINK("http://www.autodoc.ru/Web/price/art/4000BGSRABIZ?analog=on","4000BGSRABIZ"))*1</f>
        <v>#VALUE!</v>
      </c>
      <c r="B3194" s="1">
        <v>6994731</v>
      </c>
      <c r="C3194" t="s">
        <v>3378</v>
      </c>
      <c r="D3194" t="s">
        <v>3384</v>
      </c>
      <c r="E3194" t="s">
        <v>23</v>
      </c>
    </row>
    <row r="3195" spans="1:5" hidden="1" outlineLevel="2">
      <c r="A3195" s="3" t="e">
        <f>(HYPERLINK("http://www.autodoc.ru/Web/price/art/4000BGSRAB1F?analog=on","4000BGSRAB1F"))*1</f>
        <v>#VALUE!</v>
      </c>
      <c r="B3195" s="1">
        <v>6994730</v>
      </c>
      <c r="C3195" t="s">
        <v>3378</v>
      </c>
      <c r="D3195" t="s">
        <v>3385</v>
      </c>
      <c r="E3195" t="s">
        <v>23</v>
      </c>
    </row>
    <row r="3196" spans="1:5" hidden="1" outlineLevel="2">
      <c r="A3196" s="3" t="e">
        <f>(HYPERLINK("http://www.autodoc.ru/Web/price/art/4000BGSRBIZ?analog=on","4000BGSRBIZ"))*1</f>
        <v>#VALUE!</v>
      </c>
      <c r="B3196" s="1">
        <v>6993766</v>
      </c>
      <c r="C3196" t="s">
        <v>3378</v>
      </c>
      <c r="D3196" t="s">
        <v>3386</v>
      </c>
      <c r="E3196" t="s">
        <v>23</v>
      </c>
    </row>
    <row r="3197" spans="1:5" hidden="1" outlineLevel="2">
      <c r="A3197" s="3" t="e">
        <f>(HYPERLINK("http://www.autodoc.ru/Web/price/art/4000BYPRABIZ?analog=on","4000BYPRABIZ"))*1</f>
        <v>#VALUE!</v>
      </c>
      <c r="B3197" s="1">
        <v>6994728</v>
      </c>
      <c r="C3197" t="s">
        <v>3378</v>
      </c>
      <c r="D3197" t="s">
        <v>3387</v>
      </c>
      <c r="E3197" t="s">
        <v>23</v>
      </c>
    </row>
    <row r="3198" spans="1:5" hidden="1" outlineLevel="2">
      <c r="A3198" s="3" t="e">
        <f>(HYPERLINK("http://www.autodoc.ru/Web/price/art/4000BYPRAB1F?analog=on","4000BYPRAB1F"))*1</f>
        <v>#VALUE!</v>
      </c>
      <c r="B3198" s="1">
        <v>6994729</v>
      </c>
      <c r="C3198" t="s">
        <v>3378</v>
      </c>
      <c r="D3198" t="s">
        <v>3388</v>
      </c>
      <c r="E3198" t="s">
        <v>23</v>
      </c>
    </row>
    <row r="3199" spans="1:5" hidden="1" outlineLevel="2">
      <c r="A3199" s="3" t="e">
        <f>(HYPERLINK("http://www.autodoc.ru/Web/price/art/4000BYPRB?analog=on","4000BYPRB"))*1</f>
        <v>#VALUE!</v>
      </c>
      <c r="B3199" s="1">
        <v>6993767</v>
      </c>
      <c r="C3199" t="s">
        <v>3378</v>
      </c>
      <c r="D3199" t="s">
        <v>3389</v>
      </c>
      <c r="E3199" t="s">
        <v>23</v>
      </c>
    </row>
    <row r="3200" spans="1:5" hidden="1" outlineLevel="2">
      <c r="A3200" s="3" t="e">
        <f>(HYPERLINK("http://www.autodoc.ru/Web/price/art/4000LGSR5FDW1M?analog=on","4000LGSR5FDW1M"))*1</f>
        <v>#VALUE!</v>
      </c>
      <c r="B3200" s="1">
        <v>6994720</v>
      </c>
      <c r="C3200" t="s">
        <v>3378</v>
      </c>
      <c r="D3200" t="s">
        <v>3390</v>
      </c>
      <c r="E3200" t="s">
        <v>10</v>
      </c>
    </row>
    <row r="3201" spans="1:5" hidden="1" outlineLevel="2">
      <c r="A3201" s="3" t="e">
        <f>(HYPERLINK("http://www.autodoc.ru/Web/price/art/4000LGSR5FDW2M?analog=on","4000LGSR5FDW2M"))*1</f>
        <v>#VALUE!</v>
      </c>
      <c r="B3201" s="1">
        <v>6995130</v>
      </c>
      <c r="C3201" t="s">
        <v>3378</v>
      </c>
      <c r="D3201" t="s">
        <v>3390</v>
      </c>
      <c r="E3201" t="s">
        <v>10</v>
      </c>
    </row>
    <row r="3202" spans="1:5" hidden="1" outlineLevel="2">
      <c r="A3202" s="3" t="e">
        <f>(HYPERLINK("http://www.autodoc.ru/Web/price/art/4000LGSR5RDW?analog=on","4000LGSR5RDW"))*1</f>
        <v>#VALUE!</v>
      </c>
      <c r="B3202" s="1">
        <v>6993771</v>
      </c>
      <c r="C3202" t="s">
        <v>3378</v>
      </c>
      <c r="D3202" t="s">
        <v>3391</v>
      </c>
      <c r="E3202" t="s">
        <v>10</v>
      </c>
    </row>
    <row r="3203" spans="1:5" hidden="1" outlineLevel="2">
      <c r="A3203" s="3" t="e">
        <f>(HYPERLINK("http://www.autodoc.ru/Web/price/art/4000LGSR5RQ?analog=on","4000LGSR5RQ"))*1</f>
        <v>#VALUE!</v>
      </c>
      <c r="B3203" s="1">
        <v>6993773</v>
      </c>
      <c r="C3203" t="s">
        <v>3378</v>
      </c>
      <c r="D3203" t="s">
        <v>3392</v>
      </c>
      <c r="E3203" t="s">
        <v>10</v>
      </c>
    </row>
    <row r="3204" spans="1:5" hidden="1" outlineLevel="2">
      <c r="A3204" s="3" t="e">
        <f>(HYPERLINK("http://www.autodoc.ru/Web/price/art/4000LYPR5RDW?analog=on","4000LYPR5RDW"))*1</f>
        <v>#VALUE!</v>
      </c>
      <c r="B3204" s="1">
        <v>6993777</v>
      </c>
      <c r="C3204" t="s">
        <v>3378</v>
      </c>
      <c r="D3204" t="s">
        <v>3393</v>
      </c>
      <c r="E3204" t="s">
        <v>10</v>
      </c>
    </row>
    <row r="3205" spans="1:5" hidden="1" outlineLevel="2">
      <c r="A3205" s="3" t="e">
        <f>(HYPERLINK("http://www.autodoc.ru/Web/price/art/4000LYPR5RQ?analog=on","4000LYPR5RQ"))*1</f>
        <v>#VALUE!</v>
      </c>
      <c r="B3205" s="1">
        <v>6993775</v>
      </c>
      <c r="C3205" t="s">
        <v>3378</v>
      </c>
      <c r="D3205" t="s">
        <v>3394</v>
      </c>
      <c r="E3205" t="s">
        <v>10</v>
      </c>
    </row>
    <row r="3206" spans="1:5" hidden="1" outlineLevel="2">
      <c r="A3206" s="3" t="e">
        <f>(HYPERLINK("http://www.autodoc.ru/Web/price/art/4000RGSR5FDW1M?analog=on","4000RGSR5FDW1M"))*1</f>
        <v>#VALUE!</v>
      </c>
      <c r="B3206" s="1">
        <v>6994719</v>
      </c>
      <c r="C3206" t="s">
        <v>3378</v>
      </c>
      <c r="D3206" t="s">
        <v>3395</v>
      </c>
      <c r="E3206" t="s">
        <v>10</v>
      </c>
    </row>
    <row r="3207" spans="1:5" hidden="1" outlineLevel="2">
      <c r="A3207" s="3" t="e">
        <f>(HYPERLINK("http://www.autodoc.ru/Web/price/art/4000RGSR5FDW2M?analog=on","4000RGSR5FDW2M"))*1</f>
        <v>#VALUE!</v>
      </c>
      <c r="B3207" s="1">
        <v>6995128</v>
      </c>
      <c r="C3207" t="s">
        <v>3378</v>
      </c>
      <c r="D3207" t="s">
        <v>3395</v>
      </c>
      <c r="E3207" t="s">
        <v>10</v>
      </c>
    </row>
    <row r="3208" spans="1:5" hidden="1" outlineLevel="2">
      <c r="A3208" s="3" t="e">
        <f>(HYPERLINK("http://www.autodoc.ru/Web/price/art/4000RGSR5RDW?analog=on","4000RGSR5RDW"))*1</f>
        <v>#VALUE!</v>
      </c>
      <c r="B3208" s="1">
        <v>6993770</v>
      </c>
      <c r="C3208" t="s">
        <v>3378</v>
      </c>
      <c r="D3208" t="s">
        <v>3396</v>
      </c>
      <c r="E3208" t="s">
        <v>10</v>
      </c>
    </row>
    <row r="3209" spans="1:5" hidden="1" outlineLevel="2">
      <c r="A3209" s="3" t="e">
        <f>(HYPERLINK("http://www.autodoc.ru/Web/price/art/4000RGSR5RQ?analog=on","4000RGSR5RQ"))*1</f>
        <v>#VALUE!</v>
      </c>
      <c r="B3209" s="1">
        <v>6993772</v>
      </c>
      <c r="C3209" t="s">
        <v>3378</v>
      </c>
      <c r="D3209" t="s">
        <v>3397</v>
      </c>
      <c r="E3209" t="s">
        <v>10</v>
      </c>
    </row>
    <row r="3210" spans="1:5" hidden="1" outlineLevel="2">
      <c r="A3210" s="3" t="e">
        <f>(HYPERLINK("http://www.autodoc.ru/Web/price/art/4000RYPR5RDW?analog=on","4000RYPR5RDW"))*1</f>
        <v>#VALUE!</v>
      </c>
      <c r="B3210" s="1">
        <v>6993776</v>
      </c>
      <c r="C3210" t="s">
        <v>3378</v>
      </c>
      <c r="D3210" t="s">
        <v>3398</v>
      </c>
      <c r="E3210" t="s">
        <v>10</v>
      </c>
    </row>
    <row r="3211" spans="1:5" hidden="1" outlineLevel="2">
      <c r="A3211" s="3" t="e">
        <f>(HYPERLINK("http://www.autodoc.ru/Web/price/art/4000RYPR5RQ?analog=on","4000RYPR5RQ"))*1</f>
        <v>#VALUE!</v>
      </c>
      <c r="B3211" s="1">
        <v>6993774</v>
      </c>
      <c r="C3211" t="s">
        <v>3378</v>
      </c>
      <c r="D3211" t="s">
        <v>3399</v>
      </c>
      <c r="E3211" t="s">
        <v>10</v>
      </c>
    </row>
    <row r="3212" spans="1:5" hidden="1" outlineLevel="1">
      <c r="A3212" s="2">
        <v>0</v>
      </c>
      <c r="B3212" s="26" t="s">
        <v>3400</v>
      </c>
      <c r="C3212" s="27">
        <v>0</v>
      </c>
      <c r="D3212" s="27">
        <v>0</v>
      </c>
      <c r="E3212" s="27">
        <v>0</v>
      </c>
    </row>
    <row r="3213" spans="1:5" hidden="1" outlineLevel="2">
      <c r="A3213" s="3" t="e">
        <f>(HYPERLINK("http://www.autodoc.ru/Web/price/art/3948ABL?analog=on","3948ABL"))*1</f>
        <v>#VALUE!</v>
      </c>
      <c r="B3213" s="1">
        <v>6963552</v>
      </c>
      <c r="C3213" t="s">
        <v>499</v>
      </c>
      <c r="D3213" t="s">
        <v>3401</v>
      </c>
      <c r="E3213" t="s">
        <v>8</v>
      </c>
    </row>
    <row r="3214" spans="1:5" hidden="1" outlineLevel="2">
      <c r="A3214" s="3" t="e">
        <f>(HYPERLINK("http://www.autodoc.ru/Web/price/art/3948AGN?analog=on","3948AGN"))*1</f>
        <v>#VALUE!</v>
      </c>
      <c r="B3214" s="1">
        <v>6963868</v>
      </c>
      <c r="C3214" t="s">
        <v>2445</v>
      </c>
      <c r="D3214" t="s">
        <v>3402</v>
      </c>
      <c r="E3214" t="s">
        <v>8</v>
      </c>
    </row>
    <row r="3215" spans="1:5" hidden="1" outlineLevel="2">
      <c r="A3215" s="3" t="e">
        <f>(HYPERLINK("http://www.autodoc.ru/Web/price/art/3948AKCC?analog=on","3948AKCC"))*1</f>
        <v>#VALUE!</v>
      </c>
      <c r="B3215" s="1">
        <v>6100965</v>
      </c>
      <c r="C3215" t="s">
        <v>19</v>
      </c>
      <c r="D3215" t="s">
        <v>3403</v>
      </c>
      <c r="E3215" t="s">
        <v>21</v>
      </c>
    </row>
    <row r="3216" spans="1:5" hidden="1" outlineLevel="2">
      <c r="A3216" s="3" t="e">
        <f>(HYPERLINK("http://www.autodoc.ru/Web/price/art/3948ASMCT?analog=on","3948ASMCT"))*1</f>
        <v>#VALUE!</v>
      </c>
      <c r="B3216" s="1">
        <v>6100085</v>
      </c>
      <c r="C3216" t="s">
        <v>19</v>
      </c>
      <c r="D3216" t="s">
        <v>3404</v>
      </c>
      <c r="E3216" t="s">
        <v>21</v>
      </c>
    </row>
    <row r="3217" spans="1:5" hidden="1" outlineLevel="1">
      <c r="A3217" s="2">
        <v>0</v>
      </c>
      <c r="B3217" s="26" t="s">
        <v>3405</v>
      </c>
      <c r="C3217" s="27">
        <v>0</v>
      </c>
      <c r="D3217" s="27">
        <v>0</v>
      </c>
      <c r="E3217" s="27">
        <v>0</v>
      </c>
    </row>
    <row r="3218" spans="1:5" hidden="1" outlineLevel="2">
      <c r="A3218" s="3" t="e">
        <f>(HYPERLINK("http://www.autodoc.ru/Web/price/art/4002AGNV?analog=on","4002AGNV"))*1</f>
        <v>#VALUE!</v>
      </c>
      <c r="B3218" s="1">
        <v>6962963</v>
      </c>
      <c r="C3218" t="s">
        <v>3406</v>
      </c>
      <c r="D3218" t="s">
        <v>3407</v>
      </c>
      <c r="E3218" t="s">
        <v>8</v>
      </c>
    </row>
    <row r="3219" spans="1:5" hidden="1" outlineLevel="2">
      <c r="A3219" s="3" t="e">
        <f>(HYPERLINK("http://www.autodoc.ru/Web/price/art/39A6AGN?analog=on","39A6AGN"))*1</f>
        <v>#VALUE!</v>
      </c>
      <c r="B3219" s="1">
        <v>6963015</v>
      </c>
      <c r="C3219" t="s">
        <v>3408</v>
      </c>
      <c r="D3219" t="s">
        <v>3409</v>
      </c>
      <c r="E3219" t="s">
        <v>8</v>
      </c>
    </row>
    <row r="3220" spans="1:5" hidden="1" outlineLevel="1">
      <c r="A3220" s="2">
        <v>0</v>
      </c>
      <c r="B3220" s="26" t="s">
        <v>3410</v>
      </c>
      <c r="C3220" s="27">
        <v>0</v>
      </c>
      <c r="D3220" s="27">
        <v>0</v>
      </c>
      <c r="E3220" s="27">
        <v>0</v>
      </c>
    </row>
    <row r="3221" spans="1:5" hidden="1" outlineLevel="2">
      <c r="A3221" s="3" t="e">
        <f>(HYPERLINK("http://www.autodoc.ru/Web/price/art/3992AGNMV1B?analog=on","3992AGNMV1B"))*1</f>
        <v>#VALUE!</v>
      </c>
      <c r="B3221" s="1">
        <v>6962261</v>
      </c>
      <c r="C3221" t="s">
        <v>3411</v>
      </c>
      <c r="D3221" t="s">
        <v>3412</v>
      </c>
      <c r="E3221" t="s">
        <v>8</v>
      </c>
    </row>
    <row r="3222" spans="1:5" hidden="1" outlineLevel="2">
      <c r="A3222" s="3" t="e">
        <f>(HYPERLINK("http://www.autodoc.ru/Web/price/art/3992AGNV?analog=on","3992AGNV"))*1</f>
        <v>#VALUE!</v>
      </c>
      <c r="B3222" s="1">
        <v>6961300</v>
      </c>
      <c r="C3222" t="s">
        <v>3413</v>
      </c>
      <c r="D3222" t="s">
        <v>3414</v>
      </c>
      <c r="E3222" t="s">
        <v>8</v>
      </c>
    </row>
    <row r="3223" spans="1:5" hidden="1" outlineLevel="2">
      <c r="A3223" s="3" t="e">
        <f>(HYPERLINK("http://www.autodoc.ru/Web/price/art/3992ASMVT?analog=on","3992ASMVT"))*1</f>
        <v>#VALUE!</v>
      </c>
      <c r="B3223" s="1">
        <v>6102027</v>
      </c>
      <c r="C3223" t="s">
        <v>19</v>
      </c>
      <c r="D3223" t="s">
        <v>3415</v>
      </c>
      <c r="E3223" t="s">
        <v>21</v>
      </c>
    </row>
    <row r="3224" spans="1:5" hidden="1" outlineLevel="2">
      <c r="A3224" s="3" t="e">
        <f>(HYPERLINK("http://www.autodoc.ru/Web/price/art/3992RGSV5FDW1M?analog=on","3992RGSV5FDW1M"))*1</f>
        <v>#VALUE!</v>
      </c>
      <c r="B3224" s="1">
        <v>6900704</v>
      </c>
      <c r="C3224" t="s">
        <v>3413</v>
      </c>
      <c r="D3224" t="s">
        <v>3416</v>
      </c>
      <c r="E3224" t="s">
        <v>10</v>
      </c>
    </row>
    <row r="3225" spans="1:5" hidden="1" outlineLevel="1">
      <c r="A3225" s="2">
        <v>0</v>
      </c>
      <c r="B3225" s="26" t="s">
        <v>3417</v>
      </c>
      <c r="C3225" s="27">
        <v>0</v>
      </c>
      <c r="D3225" s="27">
        <v>0</v>
      </c>
      <c r="E3225" s="27">
        <v>0</v>
      </c>
    </row>
    <row r="3226" spans="1:5" hidden="1" outlineLevel="2">
      <c r="A3226" s="3" t="e">
        <f>(HYPERLINK("http://www.autodoc.ru/Web/price/art/3967AGNBLV1P?analog=on","3967AGNBLV1P"))*1</f>
        <v>#VALUE!</v>
      </c>
      <c r="B3226" s="1">
        <v>6950291</v>
      </c>
      <c r="C3226" t="s">
        <v>1134</v>
      </c>
      <c r="D3226" t="s">
        <v>3418</v>
      </c>
      <c r="E3226" t="s">
        <v>8</v>
      </c>
    </row>
    <row r="3227" spans="1:5" hidden="1" outlineLevel="2">
      <c r="A3227" s="3" t="e">
        <f>(HYPERLINK("http://www.autodoc.ru/Web/price/art/3967AGNV?analog=on","3967AGNV"))*1</f>
        <v>#VALUE!</v>
      </c>
      <c r="B3227" s="1">
        <v>6960667</v>
      </c>
      <c r="C3227" t="s">
        <v>1134</v>
      </c>
      <c r="D3227" t="s">
        <v>3419</v>
      </c>
      <c r="E3227" t="s">
        <v>8</v>
      </c>
    </row>
    <row r="3228" spans="1:5" hidden="1" outlineLevel="2">
      <c r="A3228" s="3" t="e">
        <f>(HYPERLINK("http://www.autodoc.ru/Web/price/art/3967AGNV1P?analog=on","3967AGNV1P"))*1</f>
        <v>#VALUE!</v>
      </c>
      <c r="B3228" s="1">
        <v>6960666</v>
      </c>
      <c r="C3228" t="s">
        <v>1134</v>
      </c>
      <c r="D3228" t="s">
        <v>3420</v>
      </c>
      <c r="E3228" t="s">
        <v>8</v>
      </c>
    </row>
    <row r="3229" spans="1:5" hidden="1" outlineLevel="2">
      <c r="A3229" s="3" t="e">
        <f>(HYPERLINK("http://www.autodoc.ru/Web/price/art/3967ASMR?analog=on","3967ASMR"))*1</f>
        <v>#VALUE!</v>
      </c>
      <c r="B3229" s="1">
        <v>6100087</v>
      </c>
      <c r="C3229" t="s">
        <v>19</v>
      </c>
      <c r="D3229" t="s">
        <v>3421</v>
      </c>
      <c r="E3229" t="s">
        <v>21</v>
      </c>
    </row>
    <row r="3230" spans="1:5" hidden="1" outlineLevel="2">
      <c r="A3230" s="3" t="e">
        <f>(HYPERLINK("http://www.autodoc.ru/Web/price/art/3967LGNR3FDW?analog=on","3967LGNR3FDW"))*1</f>
        <v>#VALUE!</v>
      </c>
      <c r="B3230" s="1">
        <v>6992465</v>
      </c>
      <c r="C3230" t="s">
        <v>1134</v>
      </c>
      <c r="D3230" t="s">
        <v>3422</v>
      </c>
      <c r="E3230" t="s">
        <v>10</v>
      </c>
    </row>
    <row r="3231" spans="1:5" hidden="1" outlineLevel="2">
      <c r="A3231" s="3" t="e">
        <f>(HYPERLINK("http://www.autodoc.ru/Web/price/art/3967LGNR3RQ?analog=on","3967LGNR3RQ"))*1</f>
        <v>#VALUE!</v>
      </c>
      <c r="B3231" s="1">
        <v>6991706</v>
      </c>
      <c r="C3231" t="s">
        <v>1134</v>
      </c>
      <c r="D3231" t="s">
        <v>3423</v>
      </c>
      <c r="E3231" t="s">
        <v>10</v>
      </c>
    </row>
    <row r="3232" spans="1:5" hidden="1" outlineLevel="2">
      <c r="A3232" s="3" t="e">
        <f>(HYPERLINK("http://www.autodoc.ru/Web/price/art/3967LGNR5FDW?analog=on","3967LGNR5FDW"))*1</f>
        <v>#VALUE!</v>
      </c>
      <c r="B3232" s="1">
        <v>6999946</v>
      </c>
      <c r="C3232" t="s">
        <v>1134</v>
      </c>
      <c r="D3232" t="s">
        <v>3424</v>
      </c>
      <c r="E3232" t="s">
        <v>10</v>
      </c>
    </row>
    <row r="3233" spans="1:5" hidden="1" outlineLevel="2">
      <c r="A3233" s="3" t="e">
        <f>(HYPERLINK("http://www.autodoc.ru/Web/price/art/3967LGNR5RDW?analog=on","3967LGNR5RDW"))*1</f>
        <v>#VALUE!</v>
      </c>
      <c r="B3233" s="1">
        <v>6900144</v>
      </c>
      <c r="C3233" t="s">
        <v>1134</v>
      </c>
      <c r="D3233" t="s">
        <v>3425</v>
      </c>
      <c r="E3233" t="s">
        <v>10</v>
      </c>
    </row>
    <row r="3234" spans="1:5" hidden="1" outlineLevel="2">
      <c r="A3234" s="3" t="e">
        <f>(HYPERLINK("http://www.autodoc.ru/Web/price/art/3967RGNR3FDW?analog=on","3967RGNR3FDW"))*1</f>
        <v>#VALUE!</v>
      </c>
      <c r="B3234" s="1">
        <v>6992466</v>
      </c>
      <c r="C3234" t="s">
        <v>1134</v>
      </c>
      <c r="D3234" t="s">
        <v>3426</v>
      </c>
      <c r="E3234" t="s">
        <v>10</v>
      </c>
    </row>
    <row r="3235" spans="1:5" hidden="1" outlineLevel="2">
      <c r="A3235" s="3" t="e">
        <f>(HYPERLINK("http://www.autodoc.ru/Web/price/art/3967RGNR3RQ?analog=on","3967RGNR3RQ"))*1</f>
        <v>#VALUE!</v>
      </c>
      <c r="B3235" s="1">
        <v>6992409</v>
      </c>
      <c r="C3235" t="s">
        <v>1134</v>
      </c>
      <c r="D3235" t="s">
        <v>3427</v>
      </c>
      <c r="E3235" t="s">
        <v>10</v>
      </c>
    </row>
    <row r="3236" spans="1:5" hidden="1" outlineLevel="2">
      <c r="A3236" s="3" t="e">
        <f>(HYPERLINK("http://www.autodoc.ru/Web/price/art/3967RGNR5FDW?analog=on","3967RGNR5FDW"))*1</f>
        <v>#VALUE!</v>
      </c>
      <c r="B3236" s="1">
        <v>6900038</v>
      </c>
      <c r="C3236" t="s">
        <v>1134</v>
      </c>
      <c r="D3236" t="s">
        <v>3428</v>
      </c>
      <c r="E3236" t="s">
        <v>10</v>
      </c>
    </row>
    <row r="3237" spans="1:5" hidden="1" outlineLevel="2">
      <c r="A3237" s="3" t="e">
        <f>(HYPERLINK("http://www.autodoc.ru/Web/price/art/3967RGNR5RDW?analog=on","3967RGNR5RDW"))*1</f>
        <v>#VALUE!</v>
      </c>
      <c r="B3237" s="1">
        <v>6900225</v>
      </c>
      <c r="C3237" t="s">
        <v>1134</v>
      </c>
      <c r="D3237" t="s">
        <v>3429</v>
      </c>
      <c r="E3237" t="s">
        <v>10</v>
      </c>
    </row>
    <row r="3238" spans="1:5" hidden="1" outlineLevel="1">
      <c r="A3238" s="2">
        <v>0</v>
      </c>
      <c r="B3238" s="26" t="s">
        <v>3430</v>
      </c>
      <c r="C3238" s="27">
        <v>0</v>
      </c>
      <c r="D3238" s="27">
        <v>0</v>
      </c>
      <c r="E3238" s="27">
        <v>0</v>
      </c>
    </row>
    <row r="3239" spans="1:5" hidden="1" outlineLevel="2">
      <c r="A3239" s="3" t="e">
        <f>(HYPERLINK("http://www.autodoc.ru/Web/price/art/3926ABL?analog=on","3926ABL"))*1</f>
        <v>#VALUE!</v>
      </c>
      <c r="B3239" s="1">
        <v>6963618</v>
      </c>
      <c r="C3239" t="s">
        <v>3431</v>
      </c>
      <c r="D3239" t="s">
        <v>3432</v>
      </c>
      <c r="E3239" t="s">
        <v>8</v>
      </c>
    </row>
    <row r="3240" spans="1:5" hidden="1" outlineLevel="1">
      <c r="A3240" s="2">
        <v>0</v>
      </c>
      <c r="B3240" s="26" t="s">
        <v>3433</v>
      </c>
      <c r="C3240" s="27">
        <v>0</v>
      </c>
      <c r="D3240" s="27">
        <v>0</v>
      </c>
      <c r="E3240" s="27">
        <v>0</v>
      </c>
    </row>
    <row r="3241" spans="1:5" hidden="1" outlineLevel="2">
      <c r="A3241" s="3" t="e">
        <f>(HYPERLINK("http://www.autodoc.ru/Web/price/art/3965AGN?analog=on","3965AGN"))*1</f>
        <v>#VALUE!</v>
      </c>
      <c r="B3241" s="1">
        <v>6950168</v>
      </c>
      <c r="C3241" t="s">
        <v>359</v>
      </c>
      <c r="D3241" t="s">
        <v>3434</v>
      </c>
      <c r="E3241" t="s">
        <v>8</v>
      </c>
    </row>
    <row r="3242" spans="1:5" hidden="1" outlineLevel="1">
      <c r="A3242" s="2">
        <v>0</v>
      </c>
      <c r="B3242" s="26" t="s">
        <v>3435</v>
      </c>
      <c r="C3242" s="27">
        <v>0</v>
      </c>
      <c r="D3242" s="27">
        <v>0</v>
      </c>
      <c r="E3242" s="27">
        <v>0</v>
      </c>
    </row>
    <row r="3243" spans="1:5" hidden="1" outlineLevel="2">
      <c r="A3243" s="3" t="e">
        <f>(HYPERLINK("http://www.autodoc.ru/Web/price/art/3919ABL?analog=on","3919ABL"))*1</f>
        <v>#VALUE!</v>
      </c>
      <c r="B3243" s="1">
        <v>6963737</v>
      </c>
      <c r="C3243" t="s">
        <v>3194</v>
      </c>
      <c r="D3243" t="s">
        <v>3436</v>
      </c>
      <c r="E3243" t="s">
        <v>8</v>
      </c>
    </row>
    <row r="3244" spans="1:5" hidden="1" outlineLevel="1">
      <c r="A3244" s="2">
        <v>0</v>
      </c>
      <c r="B3244" s="26" t="s">
        <v>3437</v>
      </c>
      <c r="C3244" s="27">
        <v>0</v>
      </c>
      <c r="D3244" s="27">
        <v>0</v>
      </c>
      <c r="E3244" s="27">
        <v>0</v>
      </c>
    </row>
    <row r="3245" spans="1:5" hidden="1" outlineLevel="2">
      <c r="A3245" s="3" t="e">
        <f>(HYPERLINK("http://www.autodoc.ru/Web/price/art/3979AGNGNV?analog=on","3979AGNGNV"))*1</f>
        <v>#VALUE!</v>
      </c>
      <c r="B3245" s="1">
        <v>6964834</v>
      </c>
      <c r="C3245" t="s">
        <v>2633</v>
      </c>
      <c r="D3245" t="s">
        <v>3438</v>
      </c>
      <c r="E3245" t="s">
        <v>8</v>
      </c>
    </row>
    <row r="3246" spans="1:5" hidden="1" outlineLevel="2">
      <c r="A3246" s="3" t="e">
        <f>(HYPERLINK("http://www.autodoc.ru/Web/price/art/3979AGNV?analog=on","3979AGNV"))*1</f>
        <v>#VALUE!</v>
      </c>
      <c r="B3246" s="1">
        <v>6960745</v>
      </c>
      <c r="C3246" t="s">
        <v>2633</v>
      </c>
      <c r="D3246" t="s">
        <v>3439</v>
      </c>
      <c r="E3246" t="s">
        <v>8</v>
      </c>
    </row>
    <row r="3247" spans="1:5" hidden="1" outlineLevel="2">
      <c r="A3247" s="3" t="e">
        <f>(HYPERLINK("http://www.autodoc.ru/Web/price/art/3979ASMH?analog=on","3979ASMH"))*1</f>
        <v>#VALUE!</v>
      </c>
      <c r="B3247" s="1">
        <v>6100594</v>
      </c>
      <c r="C3247" t="s">
        <v>19</v>
      </c>
      <c r="D3247" t="s">
        <v>3440</v>
      </c>
      <c r="E3247" t="s">
        <v>21</v>
      </c>
    </row>
    <row r="3248" spans="1:5" hidden="1" outlineLevel="2">
      <c r="A3248" s="3" t="e">
        <f>(HYPERLINK("http://www.autodoc.ru/Web/price/art/3979BGNHB?analog=on","3979BGNHB"))*1</f>
        <v>#VALUE!</v>
      </c>
      <c r="B3248" s="1">
        <v>6996465</v>
      </c>
      <c r="C3248" t="s">
        <v>2633</v>
      </c>
      <c r="D3248" t="s">
        <v>3441</v>
      </c>
      <c r="E3248" t="s">
        <v>23</v>
      </c>
    </row>
    <row r="3249" spans="1:5" hidden="1" outlineLevel="2">
      <c r="A3249" s="3" t="e">
        <f>(HYPERLINK("http://www.autodoc.ru/Web/price/art/3979LGNH5FDW?analog=on","3979LGNH5FDW"))*1</f>
        <v>#VALUE!</v>
      </c>
      <c r="B3249" s="1">
        <v>6993815</v>
      </c>
      <c r="C3249" t="s">
        <v>2633</v>
      </c>
      <c r="D3249" t="s">
        <v>3442</v>
      </c>
      <c r="E3249" t="s">
        <v>10</v>
      </c>
    </row>
    <row r="3250" spans="1:5" hidden="1" outlineLevel="2">
      <c r="A3250" s="3" t="e">
        <f>(HYPERLINK("http://www.autodoc.ru/Web/price/art/3979LGNH5RDW?analog=on","3979LGNH5RDW"))*1</f>
        <v>#VALUE!</v>
      </c>
      <c r="B3250" s="1">
        <v>6997598</v>
      </c>
      <c r="C3250" t="s">
        <v>2633</v>
      </c>
      <c r="D3250" t="s">
        <v>3443</v>
      </c>
      <c r="E3250" t="s">
        <v>10</v>
      </c>
    </row>
    <row r="3251" spans="1:5" hidden="1" outlineLevel="2">
      <c r="A3251" s="3" t="e">
        <f>(HYPERLINK("http://www.autodoc.ru/Web/price/art/3979LGNH5RQ?analog=on","3979LGNH5RQ"))*1</f>
        <v>#VALUE!</v>
      </c>
      <c r="B3251" s="1">
        <v>6995249</v>
      </c>
      <c r="C3251" t="s">
        <v>2633</v>
      </c>
      <c r="D3251" t="s">
        <v>3444</v>
      </c>
      <c r="E3251" t="s">
        <v>10</v>
      </c>
    </row>
    <row r="3252" spans="1:5" hidden="1" outlineLevel="2">
      <c r="A3252" s="3" t="e">
        <f>(HYPERLINK("http://www.autodoc.ru/Web/price/art/3979RGNH5FDW?analog=on","3979RGNH5FDW"))*1</f>
        <v>#VALUE!</v>
      </c>
      <c r="B3252" s="1">
        <v>6993814</v>
      </c>
      <c r="C3252" t="s">
        <v>2633</v>
      </c>
      <c r="D3252" t="s">
        <v>3445</v>
      </c>
      <c r="E3252" t="s">
        <v>10</v>
      </c>
    </row>
    <row r="3253" spans="1:5" hidden="1" outlineLevel="2">
      <c r="A3253" s="3" t="e">
        <f>(HYPERLINK("http://www.autodoc.ru/Web/price/art/3979RGNH5RDW?analog=on","3979RGNH5RDW"))*1</f>
        <v>#VALUE!</v>
      </c>
      <c r="B3253" s="1">
        <v>6997599</v>
      </c>
      <c r="C3253" t="s">
        <v>2633</v>
      </c>
      <c r="D3253" t="s">
        <v>3446</v>
      </c>
      <c r="E3253" t="s">
        <v>10</v>
      </c>
    </row>
    <row r="3254" spans="1:5" hidden="1" outlineLevel="2">
      <c r="A3254" s="3" t="e">
        <f>(HYPERLINK("http://www.autodoc.ru/Web/price/art/3979RGNH5RQ?analog=on","3979RGNH5RQ"))*1</f>
        <v>#VALUE!</v>
      </c>
      <c r="B3254" s="1">
        <v>6995250</v>
      </c>
      <c r="C3254" t="s">
        <v>2633</v>
      </c>
      <c r="D3254" t="s">
        <v>3447</v>
      </c>
      <c r="E3254" t="s">
        <v>10</v>
      </c>
    </row>
    <row r="3255" spans="1:5" hidden="1" outlineLevel="1">
      <c r="A3255" s="2">
        <v>0</v>
      </c>
      <c r="B3255" s="26" t="s">
        <v>3448</v>
      </c>
      <c r="C3255" s="27">
        <v>0</v>
      </c>
      <c r="D3255" s="27">
        <v>0</v>
      </c>
      <c r="E3255" s="27">
        <v>0</v>
      </c>
    </row>
    <row r="3256" spans="1:5" hidden="1" outlineLevel="2">
      <c r="A3256" s="3" t="e">
        <f>(HYPERLINK("http://www.autodoc.ru/Web/price/art/4004AGSMV1B?analog=on","4004AGSMV1B"))*1</f>
        <v>#VALUE!</v>
      </c>
      <c r="B3256" s="1">
        <v>6964714</v>
      </c>
      <c r="C3256" t="s">
        <v>366</v>
      </c>
      <c r="D3256" t="s">
        <v>3449</v>
      </c>
      <c r="E3256" t="s">
        <v>8</v>
      </c>
    </row>
    <row r="3257" spans="1:5" hidden="1" outlineLevel="2">
      <c r="A3257" s="3" t="e">
        <f>(HYPERLINK("http://www.autodoc.ru/Web/price/art/4004AGSV?analog=on","4004AGSV"))*1</f>
        <v>#VALUE!</v>
      </c>
      <c r="B3257" s="1">
        <v>6964712</v>
      </c>
      <c r="C3257" t="s">
        <v>366</v>
      </c>
      <c r="D3257" t="s">
        <v>3450</v>
      </c>
      <c r="E3257" t="s">
        <v>8</v>
      </c>
    </row>
    <row r="3258" spans="1:5" hidden="1" outlineLevel="1">
      <c r="A3258" s="2">
        <v>0</v>
      </c>
      <c r="B3258" s="26" t="s">
        <v>3451</v>
      </c>
      <c r="C3258" s="27">
        <v>0</v>
      </c>
      <c r="D3258" s="27">
        <v>0</v>
      </c>
      <c r="E3258" s="27">
        <v>0</v>
      </c>
    </row>
    <row r="3259" spans="1:5" hidden="1" outlineLevel="2">
      <c r="A3259" s="3" t="e">
        <f>(HYPERLINK("http://www.autodoc.ru/Web/price/art/3959AGNBL?analog=on","3959AGNBL"))*1</f>
        <v>#VALUE!</v>
      </c>
      <c r="B3259" s="1">
        <v>6963554</v>
      </c>
      <c r="C3259" t="s">
        <v>1173</v>
      </c>
      <c r="D3259" t="s">
        <v>3452</v>
      </c>
      <c r="E3259" t="s">
        <v>8</v>
      </c>
    </row>
    <row r="3260" spans="1:5" hidden="1" outlineLevel="2">
      <c r="A3260" s="3" t="e">
        <f>(HYPERLINK("http://www.autodoc.ru/Web/price/art/3959LGNS4FDW?analog=on","3959LGNS4FDW"))*1</f>
        <v>#VALUE!</v>
      </c>
      <c r="B3260" s="1">
        <v>6999947</v>
      </c>
      <c r="C3260" t="s">
        <v>1173</v>
      </c>
      <c r="D3260" t="s">
        <v>3453</v>
      </c>
      <c r="E3260" t="s">
        <v>10</v>
      </c>
    </row>
    <row r="3261" spans="1:5" hidden="1" outlineLevel="2">
      <c r="A3261" s="3" t="e">
        <f>(HYPERLINK("http://www.autodoc.ru/Web/price/art/3959LGNS4RDW?analog=on","3959LGNS4RDW"))*1</f>
        <v>#VALUE!</v>
      </c>
      <c r="B3261" s="1">
        <v>6900145</v>
      </c>
      <c r="C3261" t="s">
        <v>1173</v>
      </c>
      <c r="D3261" t="s">
        <v>3454</v>
      </c>
      <c r="E3261" t="s">
        <v>10</v>
      </c>
    </row>
    <row r="3262" spans="1:5" hidden="1" outlineLevel="2">
      <c r="A3262" s="3" t="e">
        <f>(HYPERLINK("http://www.autodoc.ru/Web/price/art/3959RGNS4RDW?analog=on","3959RGNS4RDW"))*1</f>
        <v>#VALUE!</v>
      </c>
      <c r="B3262" s="1">
        <v>6900226</v>
      </c>
      <c r="C3262" t="s">
        <v>1173</v>
      </c>
      <c r="D3262" t="s">
        <v>3455</v>
      </c>
      <c r="E3262" t="s">
        <v>10</v>
      </c>
    </row>
    <row r="3263" spans="1:5" hidden="1" outlineLevel="1">
      <c r="A3263" s="2">
        <v>0</v>
      </c>
      <c r="B3263" s="26" t="s">
        <v>3456</v>
      </c>
      <c r="C3263" s="27">
        <v>0</v>
      </c>
      <c r="D3263" s="27">
        <v>0</v>
      </c>
      <c r="E3263" s="27">
        <v>0</v>
      </c>
    </row>
    <row r="3264" spans="1:5" hidden="1" outlineLevel="2">
      <c r="A3264" s="3" t="e">
        <f>(HYPERLINK("http://www.autodoc.ru/Web/price/art/4001AGSBLMV?analog=on","4001AGSBLMV"))*1</f>
        <v>#VALUE!</v>
      </c>
      <c r="B3264" s="1">
        <v>6962571</v>
      </c>
      <c r="C3264" t="s">
        <v>290</v>
      </c>
      <c r="D3264" t="s">
        <v>3457</v>
      </c>
      <c r="E3264" t="s">
        <v>8</v>
      </c>
    </row>
    <row r="3265" spans="1:5" hidden="1" outlineLevel="1">
      <c r="A3265" s="2">
        <v>0</v>
      </c>
      <c r="B3265" s="26" t="s">
        <v>3458</v>
      </c>
      <c r="C3265" s="27">
        <v>0</v>
      </c>
      <c r="D3265" s="27">
        <v>0</v>
      </c>
      <c r="E3265" s="27">
        <v>0</v>
      </c>
    </row>
    <row r="3266" spans="1:5" hidden="1" outlineLevel="2">
      <c r="A3266" s="3" t="e">
        <f>(HYPERLINK("http://www.autodoc.ru/Web/price/art/3968AGNV?analog=on","3968AGNV"))*1</f>
        <v>#VALUE!</v>
      </c>
      <c r="B3266" s="1">
        <v>6960668</v>
      </c>
      <c r="C3266" t="s">
        <v>639</v>
      </c>
      <c r="D3266" t="s">
        <v>3459</v>
      </c>
      <c r="E3266" t="s">
        <v>8</v>
      </c>
    </row>
    <row r="3267" spans="1:5" hidden="1" outlineLevel="2">
      <c r="A3267" s="3" t="e">
        <f>(HYPERLINK("http://www.autodoc.ru/Web/price/art/OLD-3968ASMH?analog=on","OLD-3968ASMH"))*1</f>
        <v>#VALUE!</v>
      </c>
      <c r="B3267" s="1">
        <v>6101777</v>
      </c>
      <c r="C3267" t="s">
        <v>19</v>
      </c>
      <c r="D3267" t="s">
        <v>3460</v>
      </c>
      <c r="E3267" t="s">
        <v>21</v>
      </c>
    </row>
    <row r="3268" spans="1:5" hidden="1" outlineLevel="2">
      <c r="A3268" s="3" t="e">
        <f>(HYPERLINK("http://www.autodoc.ru/Web/price/art/3968BGNHB?analog=on","3968BGNHB"))*1</f>
        <v>#VALUE!</v>
      </c>
      <c r="B3268" s="1">
        <v>6980291</v>
      </c>
      <c r="C3268" t="s">
        <v>639</v>
      </c>
      <c r="D3268" t="s">
        <v>3461</v>
      </c>
      <c r="E3268" t="s">
        <v>23</v>
      </c>
    </row>
    <row r="3269" spans="1:5" hidden="1" outlineLevel="2">
      <c r="A3269" s="3" t="e">
        <f>(HYPERLINK("http://www.autodoc.ru/Web/price/art/3968LGNH3FDW?analog=on","3968LGNH3FDW"))*1</f>
        <v>#VALUE!</v>
      </c>
      <c r="B3269" s="1">
        <v>6980444</v>
      </c>
      <c r="C3269" t="s">
        <v>639</v>
      </c>
      <c r="D3269" t="s">
        <v>3462</v>
      </c>
      <c r="E3269" t="s">
        <v>10</v>
      </c>
    </row>
    <row r="3270" spans="1:5" hidden="1" outlineLevel="2">
      <c r="A3270" s="3" t="e">
        <f>(HYPERLINK("http://www.autodoc.ru/Web/price/art/3968RGNH3FDW?analog=on","3968RGNH3FDW"))*1</f>
        <v>#VALUE!</v>
      </c>
      <c r="B3270" s="1">
        <v>6980445</v>
      </c>
      <c r="C3270" t="s">
        <v>639</v>
      </c>
      <c r="D3270" t="s">
        <v>3463</v>
      </c>
      <c r="E3270" t="s">
        <v>10</v>
      </c>
    </row>
    <row r="3271" spans="1:5" hidden="1" outlineLevel="1">
      <c r="A3271" s="2">
        <v>0</v>
      </c>
      <c r="B3271" s="26" t="s">
        <v>3464</v>
      </c>
      <c r="C3271" s="27">
        <v>0</v>
      </c>
      <c r="D3271" s="27">
        <v>0</v>
      </c>
      <c r="E3271" s="27">
        <v>0</v>
      </c>
    </row>
    <row r="3272" spans="1:5" hidden="1" outlineLevel="2">
      <c r="A3272" s="3" t="e">
        <f>(HYPERLINK("http://www.autodoc.ru/Web/price/art/3984AGNBL?analog=on","3984AGNBL"))*1</f>
        <v>#VALUE!</v>
      </c>
      <c r="B3272" s="1">
        <v>6963016</v>
      </c>
      <c r="C3272" t="s">
        <v>332</v>
      </c>
      <c r="D3272" t="s">
        <v>3465</v>
      </c>
      <c r="E3272" t="s">
        <v>8</v>
      </c>
    </row>
    <row r="3273" spans="1:5" hidden="1" outlineLevel="1">
      <c r="A3273" s="2">
        <v>0</v>
      </c>
      <c r="B3273" s="26" t="s">
        <v>3466</v>
      </c>
      <c r="C3273" s="27">
        <v>0</v>
      </c>
      <c r="D3273" s="27">
        <v>0</v>
      </c>
      <c r="E3273" s="27">
        <v>0</v>
      </c>
    </row>
    <row r="3274" spans="1:5" hidden="1" outlineLevel="2">
      <c r="A3274" s="3" t="e">
        <f>(HYPERLINK("http://www.autodoc.ru/Web/price/art/39C1AGNBLV?analog=on","39C1AGNBLV"))*1</f>
        <v>#VALUE!</v>
      </c>
      <c r="B3274" s="1">
        <v>6964912</v>
      </c>
      <c r="C3274" t="s">
        <v>366</v>
      </c>
      <c r="D3274" t="s">
        <v>3467</v>
      </c>
      <c r="E3274" t="s">
        <v>8</v>
      </c>
    </row>
    <row r="3275" spans="1:5" hidden="1" outlineLevel="1">
      <c r="A3275" s="2">
        <v>0</v>
      </c>
      <c r="B3275" s="26" t="s">
        <v>3468</v>
      </c>
      <c r="C3275" s="27">
        <v>0</v>
      </c>
      <c r="D3275" s="27">
        <v>0</v>
      </c>
      <c r="E3275" s="27">
        <v>0</v>
      </c>
    </row>
    <row r="3276" spans="1:5" hidden="1" outlineLevel="2">
      <c r="A3276" s="3" t="e">
        <f>(HYPERLINK("http://www.autodoc.ru/Web/price/art/3918ABL?analog=on","3918ABL"))*1</f>
        <v>#VALUE!</v>
      </c>
      <c r="B3276" s="1">
        <v>6963736</v>
      </c>
      <c r="C3276" t="s">
        <v>1929</v>
      </c>
      <c r="D3276" t="s">
        <v>3469</v>
      </c>
      <c r="E3276" t="s">
        <v>8</v>
      </c>
    </row>
    <row r="3277" spans="1:5" hidden="1" outlineLevel="2">
      <c r="A3277" s="3" t="e">
        <f>(HYPERLINK("http://www.autodoc.ru/Web/price/art/3918LBLC2FDW?analog=on","3918LBLC2FDW"))*1</f>
        <v>#VALUE!</v>
      </c>
      <c r="B3277" s="1">
        <v>6996959</v>
      </c>
      <c r="C3277" t="s">
        <v>1929</v>
      </c>
      <c r="D3277" t="s">
        <v>3470</v>
      </c>
      <c r="E3277" t="s">
        <v>10</v>
      </c>
    </row>
    <row r="3278" spans="1:5" hidden="1" outlineLevel="2">
      <c r="A3278" s="3" t="e">
        <f>(HYPERLINK("http://www.autodoc.ru/Web/price/art/3918RBLC2FDW?analog=on","3918RBLC2FDW"))*1</f>
        <v>#VALUE!</v>
      </c>
      <c r="B3278" s="1">
        <v>6996960</v>
      </c>
      <c r="C3278" t="s">
        <v>1929</v>
      </c>
      <c r="D3278" t="s">
        <v>3471</v>
      </c>
      <c r="E3278" t="s">
        <v>10</v>
      </c>
    </row>
    <row r="3279" spans="1:5" hidden="1" outlineLevel="1">
      <c r="A3279" s="2">
        <v>0</v>
      </c>
      <c r="B3279" s="26" t="s">
        <v>3472</v>
      </c>
      <c r="C3279" s="27">
        <v>0</v>
      </c>
      <c r="D3279" s="27">
        <v>0</v>
      </c>
      <c r="E3279" s="27">
        <v>0</v>
      </c>
    </row>
    <row r="3280" spans="1:5" hidden="1" outlineLevel="2">
      <c r="A3280" s="3" t="e">
        <f>(HYPERLINK("http://www.autodoc.ru/Web/price/art/3931ABL?analog=on","3931ABL"))*1</f>
        <v>#VALUE!</v>
      </c>
      <c r="B3280" s="1">
        <v>6963739</v>
      </c>
      <c r="C3280" t="s">
        <v>3473</v>
      </c>
      <c r="D3280" t="s">
        <v>3474</v>
      </c>
      <c r="E3280" t="s">
        <v>8</v>
      </c>
    </row>
    <row r="3281" spans="1:5" hidden="1" outlineLevel="2">
      <c r="A3281" s="3" t="e">
        <f>(HYPERLINK("http://www.autodoc.ru/Web/price/art/3931ABLBL?analog=on","3931ABLBL"))*1</f>
        <v>#VALUE!</v>
      </c>
      <c r="B3281" s="1">
        <v>6963740</v>
      </c>
      <c r="C3281" t="s">
        <v>3473</v>
      </c>
      <c r="D3281" t="s">
        <v>3475</v>
      </c>
      <c r="E3281" t="s">
        <v>8</v>
      </c>
    </row>
    <row r="3282" spans="1:5" hidden="1" outlineLevel="2">
      <c r="A3282" s="3" t="e">
        <f>(HYPERLINK("http://www.autodoc.ru/Web/price/art/3931AKSC?analog=on","3931AKSC"))*1</f>
        <v>#VALUE!</v>
      </c>
      <c r="B3282" s="1">
        <v>6102508</v>
      </c>
      <c r="C3282" t="s">
        <v>19</v>
      </c>
      <c r="D3282" t="s">
        <v>3476</v>
      </c>
      <c r="E3282" t="s">
        <v>21</v>
      </c>
    </row>
    <row r="3283" spans="1:5" hidden="1" outlineLevel="2">
      <c r="A3283" s="3" t="e">
        <f>(HYPERLINK("http://www.autodoc.ru/Web/price/art/3931LBLC2FDW?analog=on","3931LBLC2FDW"))*1</f>
        <v>#VALUE!</v>
      </c>
      <c r="B3283" s="1">
        <v>6995669</v>
      </c>
      <c r="C3283" t="s">
        <v>3473</v>
      </c>
      <c r="D3283" t="s">
        <v>3477</v>
      </c>
      <c r="E3283" t="s">
        <v>10</v>
      </c>
    </row>
    <row r="3284" spans="1:5" hidden="1" outlineLevel="2">
      <c r="A3284" s="3" t="e">
        <f>(HYPERLINK("http://www.autodoc.ru/Web/price/art/3931RBLC2FDW?analog=on","3931RBLC2FDW"))*1</f>
        <v>#VALUE!</v>
      </c>
      <c r="B3284" s="1">
        <v>6995671</v>
      </c>
      <c r="C3284" t="s">
        <v>3473</v>
      </c>
      <c r="D3284" t="s">
        <v>3478</v>
      </c>
      <c r="E3284" t="s">
        <v>10</v>
      </c>
    </row>
    <row r="3285" spans="1:5" hidden="1" outlineLevel="1">
      <c r="A3285" s="2">
        <v>0</v>
      </c>
      <c r="B3285" s="26" t="s">
        <v>3479</v>
      </c>
      <c r="C3285" s="27">
        <v>0</v>
      </c>
      <c r="D3285" s="27">
        <v>0</v>
      </c>
      <c r="E3285" s="27">
        <v>0</v>
      </c>
    </row>
    <row r="3286" spans="1:5" hidden="1" outlineLevel="2">
      <c r="A3286" s="3" t="e">
        <f>(HYPERLINK("http://www.autodoc.ru/Web/price/art/3942ABL?analog=on","3942ABL"))*1</f>
        <v>#VALUE!</v>
      </c>
      <c r="B3286" s="1">
        <v>6963380</v>
      </c>
      <c r="C3286" t="s">
        <v>3480</v>
      </c>
      <c r="D3286" t="s">
        <v>3481</v>
      </c>
      <c r="E3286" t="s">
        <v>8</v>
      </c>
    </row>
    <row r="3287" spans="1:5" hidden="1" outlineLevel="2">
      <c r="A3287" s="3" t="e">
        <f>(HYPERLINK("http://www.autodoc.ru/Web/price/art/3942ABLBL?analog=on","3942ABLBL"))*1</f>
        <v>#VALUE!</v>
      </c>
      <c r="B3287" s="1">
        <v>6963741</v>
      </c>
      <c r="C3287" t="s">
        <v>3480</v>
      </c>
      <c r="D3287" t="s">
        <v>3482</v>
      </c>
      <c r="E3287" t="s">
        <v>8</v>
      </c>
    </row>
    <row r="3288" spans="1:5" hidden="1" outlineLevel="2">
      <c r="A3288" s="3" t="e">
        <f>(HYPERLINK("http://www.autodoc.ru/Web/price/art/3942AGN?analog=on","3942AGN"))*1</f>
        <v>#VALUE!</v>
      </c>
      <c r="B3288" s="1">
        <v>6992956</v>
      </c>
      <c r="C3288" t="s">
        <v>3480</v>
      </c>
      <c r="D3288" t="s">
        <v>3483</v>
      </c>
      <c r="E3288" t="s">
        <v>8</v>
      </c>
    </row>
    <row r="3289" spans="1:5" hidden="1" outlineLevel="2">
      <c r="A3289" s="3" t="e">
        <f>(HYPERLINK("http://www.autodoc.ru/Web/price/art/3942AKCC?analog=on","3942AKCC"))*1</f>
        <v>#VALUE!</v>
      </c>
      <c r="B3289" s="1">
        <v>6100976</v>
      </c>
      <c r="C3289" t="s">
        <v>19</v>
      </c>
      <c r="D3289" t="s">
        <v>3484</v>
      </c>
      <c r="E3289" t="s">
        <v>21</v>
      </c>
    </row>
    <row r="3290" spans="1:5" hidden="1" outlineLevel="2">
      <c r="A3290" s="3" t="e">
        <f>(HYPERLINK("http://www.autodoc.ru/Web/price/art/3942ASMC?analog=on","3942ASMC"))*1</f>
        <v>#VALUE!</v>
      </c>
      <c r="B3290" s="1">
        <v>6100405</v>
      </c>
      <c r="C3290" t="s">
        <v>19</v>
      </c>
      <c r="D3290" t="s">
        <v>3485</v>
      </c>
      <c r="E3290" t="s">
        <v>21</v>
      </c>
    </row>
    <row r="3291" spans="1:5" hidden="1" outlineLevel="2">
      <c r="A3291" s="3" t="e">
        <f>(HYPERLINK("http://www.autodoc.ru/Web/price/art/3942LBLC2FDW?analog=on","3942LBLC2FDW"))*1</f>
        <v>#VALUE!</v>
      </c>
      <c r="B3291" s="1">
        <v>6995683</v>
      </c>
      <c r="C3291" t="s">
        <v>3480</v>
      </c>
      <c r="D3291" t="s">
        <v>3486</v>
      </c>
      <c r="E3291" t="s">
        <v>10</v>
      </c>
    </row>
    <row r="3292" spans="1:5" hidden="1" outlineLevel="2">
      <c r="A3292" s="3" t="e">
        <f>(HYPERLINK("http://www.autodoc.ru/Web/price/art/3942RBLC2FDW?analog=on","3942RBLC2FDW"))*1</f>
        <v>#VALUE!</v>
      </c>
      <c r="B3292" s="1">
        <v>6995685</v>
      </c>
      <c r="C3292" t="s">
        <v>3480</v>
      </c>
      <c r="D3292" t="s">
        <v>3487</v>
      </c>
      <c r="E3292" t="s">
        <v>10</v>
      </c>
    </row>
    <row r="3293" spans="1:5" hidden="1" outlineLevel="1">
      <c r="A3293" s="2">
        <v>0</v>
      </c>
      <c r="B3293" s="26" t="s">
        <v>3488</v>
      </c>
      <c r="C3293" s="27">
        <v>0</v>
      </c>
      <c r="D3293" s="27">
        <v>0</v>
      </c>
      <c r="E3293" s="27">
        <v>0</v>
      </c>
    </row>
    <row r="3294" spans="1:5" hidden="1" outlineLevel="2">
      <c r="A3294" s="3" t="e">
        <f>(HYPERLINK("http://www.autodoc.ru/Web/price/art/3961AGN?analog=on","3961AGN"))*1</f>
        <v>#VALUE!</v>
      </c>
      <c r="B3294" s="1">
        <v>6963555</v>
      </c>
      <c r="C3294" t="s">
        <v>1988</v>
      </c>
      <c r="D3294" t="s">
        <v>3489</v>
      </c>
      <c r="E3294" t="s">
        <v>8</v>
      </c>
    </row>
    <row r="3295" spans="1:5" hidden="1" outlineLevel="2">
      <c r="A3295" s="3" t="e">
        <f>(HYPERLINK("http://www.autodoc.ru/Web/price/art/3961AGNBL?analog=on","3961AGNBL"))*1</f>
        <v>#VALUE!</v>
      </c>
      <c r="B3295" s="1">
        <v>6963227</v>
      </c>
      <c r="C3295" t="s">
        <v>1988</v>
      </c>
      <c r="D3295" t="s">
        <v>3490</v>
      </c>
      <c r="E3295" t="s">
        <v>8</v>
      </c>
    </row>
    <row r="3296" spans="1:5" hidden="1" outlineLevel="2">
      <c r="A3296" s="3" t="e">
        <f>(HYPERLINK("http://www.autodoc.ru/Web/price/art/3961ASMC?analog=on","3961ASMC"))*1</f>
        <v>#VALUE!</v>
      </c>
      <c r="B3296" s="1">
        <v>6100402</v>
      </c>
      <c r="C3296" t="s">
        <v>19</v>
      </c>
      <c r="D3296" t="s">
        <v>3491</v>
      </c>
      <c r="E3296" t="s">
        <v>21</v>
      </c>
    </row>
    <row r="3297" spans="1:5" hidden="1" outlineLevel="2">
      <c r="A3297" s="3" t="e">
        <f>(HYPERLINK("http://www.autodoc.ru/Web/price/art/3961LGNC2FDW?analog=on","3961LGNC2FDW"))*1</f>
        <v>#VALUE!</v>
      </c>
      <c r="B3297" s="1">
        <v>6999948</v>
      </c>
      <c r="C3297" t="s">
        <v>1988</v>
      </c>
      <c r="D3297" t="s">
        <v>3492</v>
      </c>
      <c r="E3297" t="s">
        <v>10</v>
      </c>
    </row>
    <row r="3298" spans="1:5" hidden="1" outlineLevel="2">
      <c r="A3298" s="3" t="e">
        <f>(HYPERLINK("http://www.autodoc.ru/Web/price/art/3961RGNC2FDW?analog=on","3961RGNC2FDW"))*1</f>
        <v>#VALUE!</v>
      </c>
      <c r="B3298" s="1">
        <v>6900039</v>
      </c>
      <c r="C3298" t="s">
        <v>1988</v>
      </c>
      <c r="D3298" t="s">
        <v>3493</v>
      </c>
      <c r="E3298" t="s">
        <v>10</v>
      </c>
    </row>
    <row r="3299" spans="1:5" hidden="1" outlineLevel="1">
      <c r="A3299" s="2">
        <v>0</v>
      </c>
      <c r="B3299" s="26" t="s">
        <v>3494</v>
      </c>
      <c r="C3299" s="27">
        <v>0</v>
      </c>
      <c r="D3299" s="27">
        <v>0</v>
      </c>
      <c r="E3299" s="27">
        <v>0</v>
      </c>
    </row>
    <row r="3300" spans="1:5" hidden="1" outlineLevel="2">
      <c r="A3300" s="3" t="e">
        <f>(HYPERLINK("http://www.autodoc.ru/Web/price/art/3969AGNV?analog=on","3969AGNV"))*1</f>
        <v>#VALUE!</v>
      </c>
      <c r="B3300" s="1">
        <v>6962573</v>
      </c>
      <c r="C3300" t="s">
        <v>3495</v>
      </c>
      <c r="D3300" t="s">
        <v>3496</v>
      </c>
      <c r="E3300" t="s">
        <v>8</v>
      </c>
    </row>
    <row r="3301" spans="1:5" hidden="1" outlineLevel="1">
      <c r="A3301" s="2">
        <v>0</v>
      </c>
      <c r="B3301" s="26" t="s">
        <v>3497</v>
      </c>
      <c r="C3301" s="27">
        <v>0</v>
      </c>
      <c r="D3301" s="27">
        <v>0</v>
      </c>
      <c r="E3301" s="27">
        <v>0</v>
      </c>
    </row>
    <row r="3302" spans="1:5" hidden="1" outlineLevel="2">
      <c r="A3302" s="3" t="e">
        <f>(HYPERLINK("http://www.autodoc.ru/Web/price/art/3978AGNV?analog=on","3978AGNV"))*1</f>
        <v>#VALUE!</v>
      </c>
      <c r="B3302" s="1">
        <v>6960669</v>
      </c>
      <c r="C3302" t="s">
        <v>554</v>
      </c>
      <c r="D3302" t="s">
        <v>3498</v>
      </c>
      <c r="E3302" t="s">
        <v>8</v>
      </c>
    </row>
    <row r="3303" spans="1:5" hidden="1" outlineLevel="2">
      <c r="A3303" s="3" t="e">
        <f>(HYPERLINK("http://www.autodoc.ru/Web/price/art/3978ASMVT?analog=on","3978ASMVT"))*1</f>
        <v>#VALUE!</v>
      </c>
      <c r="B3303" s="1">
        <v>6100596</v>
      </c>
      <c r="C3303" t="s">
        <v>19</v>
      </c>
      <c r="D3303" t="s">
        <v>3499</v>
      </c>
      <c r="E3303" t="s">
        <v>21</v>
      </c>
    </row>
    <row r="3304" spans="1:5" hidden="1" outlineLevel="2">
      <c r="A3304" s="3" t="e">
        <f>(HYPERLINK("http://www.autodoc.ru/Web/price/art/3978BGNV?analog=on","3978BGNV"))*1</f>
        <v>#VALUE!</v>
      </c>
      <c r="B3304" s="1">
        <v>6997554</v>
      </c>
      <c r="C3304" t="s">
        <v>554</v>
      </c>
      <c r="D3304" t="s">
        <v>3500</v>
      </c>
      <c r="E3304" t="s">
        <v>23</v>
      </c>
    </row>
    <row r="3305" spans="1:5" hidden="1" outlineLevel="2">
      <c r="A3305" s="3" t="e">
        <f>(HYPERLINK("http://www.autodoc.ru/Web/price/art/3978LGNV5FDW?analog=on","3978LGNV5FDW"))*1</f>
        <v>#VALUE!</v>
      </c>
      <c r="B3305" s="1">
        <v>6999950</v>
      </c>
      <c r="C3305" t="s">
        <v>554</v>
      </c>
      <c r="D3305" t="s">
        <v>3501</v>
      </c>
      <c r="E3305" t="s">
        <v>10</v>
      </c>
    </row>
    <row r="3306" spans="1:5" hidden="1" outlineLevel="2">
      <c r="A3306" s="3" t="e">
        <f>(HYPERLINK("http://www.autodoc.ru/Web/price/art/3978LGNV5RDW?analog=on","3978LGNV5RDW"))*1</f>
        <v>#VALUE!</v>
      </c>
      <c r="B3306" s="1">
        <v>6900147</v>
      </c>
      <c r="C3306" t="s">
        <v>554</v>
      </c>
      <c r="D3306" t="s">
        <v>3502</v>
      </c>
      <c r="E3306" t="s">
        <v>10</v>
      </c>
    </row>
    <row r="3307" spans="1:5" hidden="1" outlineLevel="2">
      <c r="A3307" s="3" t="e">
        <f>(HYPERLINK("http://www.autodoc.ru/Web/price/art/3978LGNV5RQ?analog=on","3978LGNV5RQ"))*1</f>
        <v>#VALUE!</v>
      </c>
      <c r="B3307" s="1">
        <v>6995251</v>
      </c>
      <c r="C3307" t="s">
        <v>554</v>
      </c>
      <c r="D3307" t="s">
        <v>3503</v>
      </c>
      <c r="E3307" t="s">
        <v>10</v>
      </c>
    </row>
    <row r="3308" spans="1:5" hidden="1" outlineLevel="2">
      <c r="A3308" s="3" t="e">
        <f>(HYPERLINK("http://www.autodoc.ru/Web/price/art/3978RGNV5FDW?analog=on","3978RGNV5FDW"))*1</f>
        <v>#VALUE!</v>
      </c>
      <c r="B3308" s="1">
        <v>6900041</v>
      </c>
      <c r="C3308" t="s">
        <v>554</v>
      </c>
      <c r="D3308" t="s">
        <v>3504</v>
      </c>
      <c r="E3308" t="s">
        <v>10</v>
      </c>
    </row>
    <row r="3309" spans="1:5" hidden="1" outlineLevel="2">
      <c r="A3309" s="3" t="e">
        <f>(HYPERLINK("http://www.autodoc.ru/Web/price/art/3978RGNV5RDW?analog=on","3978RGNV5RDW"))*1</f>
        <v>#VALUE!</v>
      </c>
      <c r="B3309" s="1">
        <v>6900227</v>
      </c>
      <c r="C3309" t="s">
        <v>554</v>
      </c>
      <c r="D3309" t="s">
        <v>3505</v>
      </c>
      <c r="E3309" t="s">
        <v>10</v>
      </c>
    </row>
    <row r="3310" spans="1:5" hidden="1" outlineLevel="2">
      <c r="A3310" s="3" t="e">
        <f>(HYPERLINK("http://www.autodoc.ru/Web/price/art/3978RGNV5RQ?analog=on","3978RGNV5RQ"))*1</f>
        <v>#VALUE!</v>
      </c>
      <c r="B3310" s="1">
        <v>6995252</v>
      </c>
      <c r="C3310" t="s">
        <v>554</v>
      </c>
      <c r="D3310" t="s">
        <v>3506</v>
      </c>
      <c r="E3310" t="s">
        <v>10</v>
      </c>
    </row>
    <row r="3311" spans="1:5" hidden="1" outlineLevel="1">
      <c r="A3311" s="2">
        <v>0</v>
      </c>
      <c r="B3311" s="26" t="s">
        <v>3507</v>
      </c>
      <c r="C3311" s="27">
        <v>0</v>
      </c>
      <c r="D3311" s="27">
        <v>0</v>
      </c>
      <c r="E3311" s="27">
        <v>0</v>
      </c>
    </row>
    <row r="3312" spans="1:5" hidden="1" outlineLevel="2">
      <c r="A3312" s="3" t="e">
        <f>(HYPERLINK("http://www.autodoc.ru/Web/price/art/3977AGNV?analog=on","3977AGNV"))*1</f>
        <v>#VALUE!</v>
      </c>
      <c r="B3312" s="1">
        <v>6950350</v>
      </c>
      <c r="C3312" t="s">
        <v>641</v>
      </c>
      <c r="D3312" t="s">
        <v>3508</v>
      </c>
      <c r="E3312" t="s">
        <v>8</v>
      </c>
    </row>
    <row r="3313" spans="1:5" hidden="1" outlineLevel="2">
      <c r="A3313" s="3" t="e">
        <f>(HYPERLINK("http://www.autodoc.ru/Web/price/art/3977LGNV5RQ?analog=on","3977LGNV5RQ"))*1</f>
        <v>#VALUE!</v>
      </c>
      <c r="B3313" s="1">
        <v>6190193</v>
      </c>
      <c r="C3313" t="s">
        <v>641</v>
      </c>
      <c r="D3313" t="s">
        <v>3509</v>
      </c>
      <c r="E3313" t="s">
        <v>10</v>
      </c>
    </row>
    <row r="3314" spans="1:5" hidden="1" outlineLevel="2">
      <c r="A3314" s="3" t="e">
        <f>(HYPERLINK("http://www.autodoc.ru/Web/price/art/3977RGNV5RQ?analog=on","3977RGNV5RQ"))*1</f>
        <v>#VALUE!</v>
      </c>
      <c r="B3314" s="1">
        <v>6190194</v>
      </c>
      <c r="C3314" t="s">
        <v>641</v>
      </c>
      <c r="D3314" t="s">
        <v>3510</v>
      </c>
      <c r="E3314" t="s">
        <v>10</v>
      </c>
    </row>
    <row r="3315" spans="1:5" collapsed="1">
      <c r="A3315" s="28" t="s">
        <v>3511</v>
      </c>
      <c r="B3315" s="28">
        <v>0</v>
      </c>
      <c r="C3315" s="28">
        <v>0</v>
      </c>
      <c r="D3315" s="28">
        <v>0</v>
      </c>
      <c r="E3315" s="28">
        <v>0</v>
      </c>
    </row>
    <row r="3316" spans="1:5" hidden="1" outlineLevel="1">
      <c r="A3316" s="2">
        <v>0</v>
      </c>
      <c r="B3316" s="26" t="s">
        <v>3512</v>
      </c>
      <c r="C3316" s="27">
        <v>0</v>
      </c>
      <c r="D3316" s="27">
        <v>0</v>
      </c>
      <c r="E3316" s="27">
        <v>0</v>
      </c>
    </row>
    <row r="3317" spans="1:5" hidden="1" outlineLevel="2">
      <c r="A3317" s="3" t="e">
        <f>(HYPERLINK("http://www.autodoc.ru/Web/price/art/AG12AGSVW?analog=on","AG12AGSVW"))*1</f>
        <v>#VALUE!</v>
      </c>
      <c r="B3317" s="1">
        <v>6962919</v>
      </c>
      <c r="C3317" t="s">
        <v>3411</v>
      </c>
      <c r="D3317" t="s">
        <v>3513</v>
      </c>
      <c r="E3317" t="s">
        <v>8</v>
      </c>
    </row>
    <row r="3318" spans="1:5" hidden="1" outlineLevel="2">
      <c r="A3318" s="3" t="e">
        <f>(HYPERLINK("http://www.autodoc.ru/Web/price/art/AG12AGSW?analog=on","AG12AGSW"))*1</f>
        <v>#VALUE!</v>
      </c>
      <c r="B3318" s="1">
        <v>6962158</v>
      </c>
      <c r="C3318" t="s">
        <v>3411</v>
      </c>
      <c r="D3318" t="s">
        <v>3514</v>
      </c>
      <c r="E3318" t="s">
        <v>8</v>
      </c>
    </row>
    <row r="3319" spans="1:5" hidden="1" outlineLevel="2">
      <c r="A3319" s="3" t="e">
        <f>(HYPERLINK("http://www.autodoc.ru/Web/price/art/AG12BGSRW?analog=on","AG12BGSRW"))*1</f>
        <v>#VALUE!</v>
      </c>
      <c r="B3319" s="1">
        <v>6999506</v>
      </c>
      <c r="C3319" t="s">
        <v>3411</v>
      </c>
      <c r="D3319" t="s">
        <v>3515</v>
      </c>
      <c r="E3319" t="s">
        <v>23</v>
      </c>
    </row>
    <row r="3320" spans="1:5" hidden="1" outlineLevel="2">
      <c r="A3320" s="3" t="e">
        <f>(HYPERLINK("http://www.autodoc.ru/Web/price/art/AG12LGSR5FD?analog=on","AG12LGSR5FD"))*1</f>
        <v>#VALUE!</v>
      </c>
      <c r="B3320" s="1">
        <v>6900510</v>
      </c>
      <c r="C3320" t="s">
        <v>3411</v>
      </c>
      <c r="D3320" t="s">
        <v>3516</v>
      </c>
      <c r="E3320" t="s">
        <v>10</v>
      </c>
    </row>
    <row r="3321" spans="1:5" hidden="1" outlineLevel="2">
      <c r="A3321" s="3" t="e">
        <f>(HYPERLINK("http://www.autodoc.ru/Web/price/art/AG12LGSR5RD?analog=on","AG12LGSR5RD"))*1</f>
        <v>#VALUE!</v>
      </c>
      <c r="B3321" s="1">
        <v>6900513</v>
      </c>
      <c r="C3321" t="s">
        <v>3411</v>
      </c>
      <c r="D3321" t="s">
        <v>3517</v>
      </c>
      <c r="E3321" t="s">
        <v>10</v>
      </c>
    </row>
    <row r="3322" spans="1:5" hidden="1" outlineLevel="2">
      <c r="A3322" s="3" t="e">
        <f>(HYPERLINK("http://www.autodoc.ru/Web/price/art/AG12RGSR5FD?analog=on","AG12RGSR5FD"))*1</f>
        <v>#VALUE!</v>
      </c>
      <c r="B3322" s="1">
        <v>6900512</v>
      </c>
      <c r="C3322" t="s">
        <v>3411</v>
      </c>
      <c r="D3322" t="s">
        <v>3518</v>
      </c>
      <c r="E3322" t="s">
        <v>10</v>
      </c>
    </row>
    <row r="3323" spans="1:5" hidden="1" outlineLevel="1">
      <c r="A3323" s="2">
        <v>0</v>
      </c>
      <c r="B3323" s="26" t="s">
        <v>3519</v>
      </c>
      <c r="C3323" s="27">
        <v>0</v>
      </c>
      <c r="D3323" s="27">
        <v>0</v>
      </c>
      <c r="E3323" s="27">
        <v>0</v>
      </c>
    </row>
    <row r="3324" spans="1:5" hidden="1" outlineLevel="2">
      <c r="A3324" s="3" t="e">
        <f>(HYPERLINK("http://www.autodoc.ru/Web/price/art/AG13AGNBLW?analog=on","AG13AGNBLW"))*1</f>
        <v>#VALUE!</v>
      </c>
      <c r="B3324" s="1">
        <v>6962221</v>
      </c>
      <c r="C3324" t="s">
        <v>3326</v>
      </c>
      <c r="D3324" t="s">
        <v>3520</v>
      </c>
      <c r="E3324" t="s">
        <v>8</v>
      </c>
    </row>
    <row r="3325" spans="1:5" hidden="1" outlineLevel="2">
      <c r="A3325" s="3" t="e">
        <f>(HYPERLINK("http://www.autodoc.ru/Web/price/art/AG13BGPRW?analog=on","AG13BGPRW"))*1</f>
        <v>#VALUE!</v>
      </c>
      <c r="B3325" s="1">
        <v>6900511</v>
      </c>
      <c r="C3325" t="s">
        <v>3326</v>
      </c>
      <c r="D3325" t="s">
        <v>3521</v>
      </c>
      <c r="E3325" t="s">
        <v>23</v>
      </c>
    </row>
    <row r="3326" spans="1:5" hidden="1" outlineLevel="2">
      <c r="A3326" s="3" t="e">
        <f>(HYPERLINK("http://www.autodoc.ru/Web/price/art/AG13LGSR5FD?analog=on","AG13LGSR5FD"))*1</f>
        <v>#VALUE!</v>
      </c>
      <c r="B3326" s="1">
        <v>6900500</v>
      </c>
      <c r="C3326" t="s">
        <v>3326</v>
      </c>
      <c r="D3326" t="s">
        <v>3522</v>
      </c>
      <c r="E3326" t="s">
        <v>10</v>
      </c>
    </row>
    <row r="3327" spans="1:5" hidden="1" outlineLevel="2">
      <c r="A3327" s="3" t="e">
        <f>(HYPERLINK("http://www.autodoc.ru/Web/price/art/AG13RGSR5FD?analog=on","AG13RGSR5FD"))*1</f>
        <v>#VALUE!</v>
      </c>
      <c r="B3327" s="1">
        <v>6900508</v>
      </c>
      <c r="C3327" t="s">
        <v>3326</v>
      </c>
      <c r="D3327" t="s">
        <v>3523</v>
      </c>
      <c r="E3327" t="s">
        <v>10</v>
      </c>
    </row>
    <row r="3328" spans="1:5" hidden="1" outlineLevel="2">
      <c r="A3328" s="3" t="e">
        <f>(HYPERLINK("http://www.autodoc.ru/Web/price/art/AG13RGSR5RD?analog=on","AG13RGSR5RD"))*1</f>
        <v>#VALUE!</v>
      </c>
      <c r="B3328" s="1">
        <v>6900509</v>
      </c>
      <c r="C3328" t="s">
        <v>3326</v>
      </c>
      <c r="D3328" t="s">
        <v>3524</v>
      </c>
      <c r="E3328" t="s">
        <v>10</v>
      </c>
    </row>
    <row r="3329" spans="1:5" collapsed="1">
      <c r="A3329" s="28" t="s">
        <v>3525</v>
      </c>
      <c r="B3329" s="28">
        <v>0</v>
      </c>
      <c r="C3329" s="28">
        <v>0</v>
      </c>
      <c r="D3329" s="28">
        <v>0</v>
      </c>
      <c r="E3329" s="28">
        <v>0</v>
      </c>
    </row>
    <row r="3330" spans="1:5" hidden="1" outlineLevel="1">
      <c r="A3330" s="2">
        <v>0</v>
      </c>
      <c r="B3330" s="26" t="s">
        <v>3526</v>
      </c>
      <c r="C3330" s="27">
        <v>0</v>
      </c>
      <c r="D3330" s="27">
        <v>0</v>
      </c>
      <c r="E3330" s="27">
        <v>0</v>
      </c>
    </row>
    <row r="3331" spans="1:5" hidden="1" outlineLevel="2">
      <c r="A3331" s="3" t="e">
        <f>(HYPERLINK("http://www.autodoc.ru/Web/price/art/4109AGNBL?analog=on","4109AGNBL"))*1</f>
        <v>#VALUE!</v>
      </c>
      <c r="B3331" s="1">
        <v>6964515</v>
      </c>
      <c r="C3331" t="s">
        <v>637</v>
      </c>
      <c r="D3331" t="s">
        <v>3527</v>
      </c>
      <c r="E3331" t="s">
        <v>8</v>
      </c>
    </row>
    <row r="3332" spans="1:5" hidden="1" outlineLevel="2">
      <c r="A3332" s="3" t="e">
        <f>(HYPERLINK("http://www.autodoc.ru/Web/price/art/4109AGNBL1C?analog=on","4109AGNBL1C"))*1</f>
        <v>#VALUE!</v>
      </c>
      <c r="B3332" s="1">
        <v>6961422</v>
      </c>
      <c r="C3332" t="s">
        <v>637</v>
      </c>
      <c r="D3332" t="s">
        <v>3527</v>
      </c>
      <c r="E3332" t="s">
        <v>8</v>
      </c>
    </row>
    <row r="3333" spans="1:5" hidden="1" outlineLevel="2">
      <c r="A3333" s="3" t="e">
        <f>(HYPERLINK("http://www.autodoc.ru/Web/price/art/4109AGNBL2C?analog=on","4109AGNBL2C"))*1</f>
        <v>#VALUE!</v>
      </c>
      <c r="B3333" s="1">
        <v>6960671</v>
      </c>
      <c r="C3333" t="s">
        <v>499</v>
      </c>
      <c r="D3333" t="s">
        <v>3528</v>
      </c>
      <c r="E3333" t="s">
        <v>8</v>
      </c>
    </row>
    <row r="3334" spans="1:5" hidden="1" outlineLevel="2">
      <c r="A3334" s="3" t="e">
        <f>(HYPERLINK("http://www.autodoc.ru/Web/price/art/4109AKMH?analog=on","4109AKMH"))*1</f>
        <v>#VALUE!</v>
      </c>
      <c r="B3334" s="1">
        <v>6101192</v>
      </c>
      <c r="C3334" t="s">
        <v>19</v>
      </c>
      <c r="D3334" t="s">
        <v>3529</v>
      </c>
      <c r="E3334" t="s">
        <v>21</v>
      </c>
    </row>
    <row r="3335" spans="1:5" hidden="1" outlineLevel="2">
      <c r="A3335" s="3" t="e">
        <f>(HYPERLINK("http://www.autodoc.ru/Web/price/art/4109BCLH1H?analog=on","4109BCLH1H"))*1</f>
        <v>#VALUE!</v>
      </c>
      <c r="B3335" s="1">
        <v>6993241</v>
      </c>
      <c r="C3335" t="s">
        <v>499</v>
      </c>
      <c r="D3335" t="s">
        <v>3530</v>
      </c>
      <c r="E3335" t="s">
        <v>23</v>
      </c>
    </row>
    <row r="3336" spans="1:5" hidden="1" outlineLevel="2">
      <c r="A3336" s="3" t="e">
        <f>(HYPERLINK("http://www.autodoc.ru/Web/price/art/4109BGNH1H?analog=on","4109BGNH1H"))*1</f>
        <v>#VALUE!</v>
      </c>
      <c r="B3336" s="1">
        <v>6992468</v>
      </c>
      <c r="C3336" t="s">
        <v>499</v>
      </c>
      <c r="D3336" t="s">
        <v>3531</v>
      </c>
      <c r="E3336" t="s">
        <v>23</v>
      </c>
    </row>
    <row r="3337" spans="1:5" hidden="1" outlineLevel="2">
      <c r="A3337" s="3" t="e">
        <f>(HYPERLINK("http://www.autodoc.ru/Web/price/art/4109BGNS?analog=on","4109BGNS"))*1</f>
        <v>#VALUE!</v>
      </c>
      <c r="B3337" s="1">
        <v>6980297</v>
      </c>
      <c r="C3337" t="s">
        <v>499</v>
      </c>
      <c r="D3337" t="s">
        <v>3532</v>
      </c>
      <c r="E3337" t="s">
        <v>23</v>
      </c>
    </row>
    <row r="3338" spans="1:5" hidden="1" outlineLevel="2">
      <c r="A3338" s="3" t="e">
        <f>(HYPERLINK("http://www.autodoc.ru/Web/price/art/4109LGNH5RDW?analog=on","4109LGNH5RDW"))*1</f>
        <v>#VALUE!</v>
      </c>
      <c r="B3338" s="1">
        <v>6994437</v>
      </c>
      <c r="C3338" t="s">
        <v>499</v>
      </c>
      <c r="D3338" t="s">
        <v>3533</v>
      </c>
      <c r="E3338" t="s">
        <v>10</v>
      </c>
    </row>
    <row r="3339" spans="1:5" hidden="1" outlineLevel="2">
      <c r="A3339" s="3" t="e">
        <f>(HYPERLINK("http://www.autodoc.ru/Web/price/art/4109LGNH5RV?analog=on","4109LGNH5RV"))*1</f>
        <v>#VALUE!</v>
      </c>
      <c r="B3339" s="1">
        <v>6994438</v>
      </c>
      <c r="C3339" t="s">
        <v>499</v>
      </c>
      <c r="D3339" t="s">
        <v>3534</v>
      </c>
      <c r="E3339" t="s">
        <v>10</v>
      </c>
    </row>
    <row r="3340" spans="1:5" hidden="1" outlineLevel="2">
      <c r="A3340" s="3" t="e">
        <f>(HYPERLINK("http://www.autodoc.ru/Web/price/art/4109RCLH5FDW?analog=on","4109RCLH5FDW"))*1</f>
        <v>#VALUE!</v>
      </c>
      <c r="B3340" s="1">
        <v>6900042</v>
      </c>
      <c r="C3340" t="s">
        <v>499</v>
      </c>
      <c r="D3340" t="s">
        <v>3535</v>
      </c>
      <c r="E3340" t="s">
        <v>10</v>
      </c>
    </row>
    <row r="3341" spans="1:5" hidden="1" outlineLevel="2">
      <c r="A3341" s="3" t="e">
        <f>(HYPERLINK("http://www.autodoc.ru/Web/price/art/4109RGNH3FDW?analog=on","4109RGNH3FDW"))*1</f>
        <v>#VALUE!</v>
      </c>
      <c r="B3341" s="1">
        <v>6996189</v>
      </c>
      <c r="C3341" t="s">
        <v>499</v>
      </c>
      <c r="D3341" t="s">
        <v>3536</v>
      </c>
      <c r="E3341" t="s">
        <v>10</v>
      </c>
    </row>
    <row r="3342" spans="1:5" hidden="1" outlineLevel="2">
      <c r="A3342" s="3" t="e">
        <f>(HYPERLINK("http://www.autodoc.ru/Web/price/art/4109RGNH5FDW?analog=on","4109RGNH5FDW"))*1</f>
        <v>#VALUE!</v>
      </c>
      <c r="B3342" s="1">
        <v>6994169</v>
      </c>
      <c r="C3342" t="s">
        <v>499</v>
      </c>
      <c r="D3342" t="s">
        <v>3537</v>
      </c>
      <c r="E3342" t="s">
        <v>10</v>
      </c>
    </row>
    <row r="3343" spans="1:5" hidden="1" outlineLevel="2">
      <c r="A3343" s="3" t="e">
        <f>(HYPERLINK("http://www.autodoc.ru/Web/price/art/4109RGNH5RDW?analog=on","4109RGNH5RDW"))*1</f>
        <v>#VALUE!</v>
      </c>
      <c r="B3343" s="1">
        <v>6994439</v>
      </c>
      <c r="C3343" t="s">
        <v>499</v>
      </c>
      <c r="D3343" t="s">
        <v>3538</v>
      </c>
      <c r="E3343" t="s">
        <v>10</v>
      </c>
    </row>
    <row r="3344" spans="1:5" hidden="1" outlineLevel="2">
      <c r="A3344" s="3" t="e">
        <f>(HYPERLINK("http://www.autodoc.ru/Web/price/art/4109RGNH5RV?analog=on","4109RGNH5RV"))*1</f>
        <v>#VALUE!</v>
      </c>
      <c r="B3344" s="1">
        <v>6994440</v>
      </c>
      <c r="C3344" t="s">
        <v>499</v>
      </c>
      <c r="D3344" t="s">
        <v>3539</v>
      </c>
      <c r="E3344" t="s">
        <v>10</v>
      </c>
    </row>
    <row r="3345" spans="1:5" hidden="1" outlineLevel="1">
      <c r="A3345" s="2">
        <v>0</v>
      </c>
      <c r="B3345" s="26" t="s">
        <v>3540</v>
      </c>
      <c r="C3345" s="27">
        <v>0</v>
      </c>
      <c r="D3345" s="27">
        <v>0</v>
      </c>
      <c r="E3345" s="27">
        <v>0</v>
      </c>
    </row>
    <row r="3346" spans="1:5" hidden="1" outlineLevel="2">
      <c r="A3346" s="3" t="e">
        <f>(HYPERLINK("http://www.autodoc.ru/Web/price/art/4118ACL?analog=on","4118ACL"))*1</f>
        <v>#VALUE!</v>
      </c>
      <c r="B3346" s="1">
        <v>6961377</v>
      </c>
      <c r="C3346" t="s">
        <v>831</v>
      </c>
      <c r="D3346" t="s">
        <v>3541</v>
      </c>
      <c r="E3346" t="s">
        <v>8</v>
      </c>
    </row>
    <row r="3347" spans="1:5" hidden="1" outlineLevel="2">
      <c r="A3347" s="3" t="e">
        <f>(HYPERLINK("http://www.autodoc.ru/Web/price/art/4118AGNBL?analog=on","4118AGNBL"))*1</f>
        <v>#VALUE!</v>
      </c>
      <c r="B3347" s="1">
        <v>6960670</v>
      </c>
      <c r="C3347" t="s">
        <v>831</v>
      </c>
      <c r="D3347" t="s">
        <v>3542</v>
      </c>
      <c r="E3347" t="s">
        <v>8</v>
      </c>
    </row>
    <row r="3348" spans="1:5" hidden="1" outlineLevel="2">
      <c r="A3348" s="3" t="e">
        <f>(HYPERLINK("http://www.autodoc.ru/Web/price/art/4118ASMH?analog=on","4118ASMH"))*1</f>
        <v>#VALUE!</v>
      </c>
      <c r="B3348" s="1">
        <v>6100597</v>
      </c>
      <c r="C3348" t="s">
        <v>19</v>
      </c>
      <c r="D3348" t="s">
        <v>3543</v>
      </c>
      <c r="E3348" t="s">
        <v>21</v>
      </c>
    </row>
    <row r="3349" spans="1:5" hidden="1" outlineLevel="2">
      <c r="A3349" s="3" t="e">
        <f>(HYPERLINK("http://www.autodoc.ru/Web/price/art/4118BGNHW?analog=on","4118BGNHW"))*1</f>
        <v>#VALUE!</v>
      </c>
      <c r="B3349" s="1">
        <v>6980302</v>
      </c>
      <c r="C3349" t="s">
        <v>831</v>
      </c>
      <c r="D3349" t="s">
        <v>3544</v>
      </c>
      <c r="E3349" t="s">
        <v>23</v>
      </c>
    </row>
    <row r="3350" spans="1:5" hidden="1" outlineLevel="2">
      <c r="A3350" s="3" t="e">
        <f>(HYPERLINK("http://www.autodoc.ru/Web/price/art/4118BGNHW1H?analog=on","4118BGNHW1H"))*1</f>
        <v>#VALUE!</v>
      </c>
      <c r="B3350" s="1">
        <v>6980003</v>
      </c>
      <c r="C3350" t="s">
        <v>831</v>
      </c>
      <c r="D3350" t="s">
        <v>3545</v>
      </c>
      <c r="E3350" t="s">
        <v>23</v>
      </c>
    </row>
    <row r="3351" spans="1:5" hidden="1" outlineLevel="2">
      <c r="A3351" s="3" t="e">
        <f>(HYPERLINK("http://www.autodoc.ru/Web/price/art/4118BGNS?analog=on","4118BGNS"))*1</f>
        <v>#VALUE!</v>
      </c>
      <c r="B3351" s="1">
        <v>6980035</v>
      </c>
      <c r="C3351" t="s">
        <v>831</v>
      </c>
      <c r="D3351" t="s">
        <v>3546</v>
      </c>
      <c r="E3351" t="s">
        <v>23</v>
      </c>
    </row>
    <row r="3352" spans="1:5" hidden="1" outlineLevel="2">
      <c r="A3352" s="3" t="e">
        <f>(HYPERLINK("http://www.autodoc.ru/Web/price/art/4118LCLH5RD?analog=on","4118LCLH5RD"))*1</f>
        <v>#VALUE!</v>
      </c>
      <c r="B3352" s="1">
        <v>6900148</v>
      </c>
      <c r="C3352" t="s">
        <v>831</v>
      </c>
      <c r="D3352" t="s">
        <v>3547</v>
      </c>
      <c r="E3352" t="s">
        <v>10</v>
      </c>
    </row>
    <row r="3353" spans="1:5" hidden="1" outlineLevel="2">
      <c r="A3353" s="3" t="e">
        <f>(HYPERLINK("http://www.autodoc.ru/Web/price/art/4118LCLH5RV?analog=on","4118LCLH5RV"))*1</f>
        <v>#VALUE!</v>
      </c>
      <c r="B3353" s="1">
        <v>6900294</v>
      </c>
      <c r="C3353" t="s">
        <v>831</v>
      </c>
      <c r="D3353" t="s">
        <v>3548</v>
      </c>
      <c r="E3353" t="s">
        <v>10</v>
      </c>
    </row>
    <row r="3354" spans="1:5" hidden="1" outlineLevel="2">
      <c r="A3354" s="3" t="e">
        <f>(HYPERLINK("http://www.autodoc.ru/Web/price/art/4118LGNH3FD?analog=on","4118LGNH3FD"))*1</f>
        <v>#VALUE!</v>
      </c>
      <c r="B3354" s="1">
        <v>6993093</v>
      </c>
      <c r="C3354" t="s">
        <v>831</v>
      </c>
      <c r="D3354" t="s">
        <v>3549</v>
      </c>
      <c r="E3354" t="s">
        <v>10</v>
      </c>
    </row>
    <row r="3355" spans="1:5" hidden="1" outlineLevel="2">
      <c r="A3355" s="3" t="e">
        <f>(HYPERLINK("http://www.autodoc.ru/Web/price/art/4118LGNH5FD?analog=on","4118LGNH5FD"))*1</f>
        <v>#VALUE!</v>
      </c>
      <c r="B3355" s="1">
        <v>6993109</v>
      </c>
      <c r="C3355" t="s">
        <v>831</v>
      </c>
      <c r="D3355" t="s">
        <v>3550</v>
      </c>
      <c r="E3355" t="s">
        <v>10</v>
      </c>
    </row>
    <row r="3356" spans="1:5" hidden="1" outlineLevel="2">
      <c r="A3356" s="3" t="e">
        <f>(HYPERLINK("http://www.autodoc.ru/Web/price/art/4118LGNH5RD?analog=on","4118LGNH5RD"))*1</f>
        <v>#VALUE!</v>
      </c>
      <c r="B3356" s="1">
        <v>6995253</v>
      </c>
      <c r="C3356" t="s">
        <v>831</v>
      </c>
      <c r="D3356" t="s">
        <v>3551</v>
      </c>
      <c r="E3356" t="s">
        <v>10</v>
      </c>
    </row>
    <row r="3357" spans="1:5" hidden="1" outlineLevel="2">
      <c r="A3357" s="3" t="e">
        <f>(HYPERLINK("http://www.autodoc.ru/Web/price/art/4118LGNH5RV?analog=on","4118LGNH5RV"))*1</f>
        <v>#VALUE!</v>
      </c>
      <c r="B3357" s="1">
        <v>6995255</v>
      </c>
      <c r="C3357" t="s">
        <v>831</v>
      </c>
      <c r="D3357" t="s">
        <v>3552</v>
      </c>
      <c r="E3357" t="s">
        <v>10</v>
      </c>
    </row>
    <row r="3358" spans="1:5" hidden="1" outlineLevel="2">
      <c r="A3358" s="3" t="e">
        <f>(HYPERLINK("http://www.autodoc.ru/Web/price/art/4118RCLH5FD?analog=on","4118RCLH5FD"))*1</f>
        <v>#VALUE!</v>
      </c>
      <c r="B3358" s="1">
        <v>6993819</v>
      </c>
      <c r="C3358" t="s">
        <v>831</v>
      </c>
      <c r="D3358" t="s">
        <v>3553</v>
      </c>
      <c r="E3358" t="s">
        <v>10</v>
      </c>
    </row>
    <row r="3359" spans="1:5" hidden="1" outlineLevel="2">
      <c r="A3359" s="3" t="e">
        <f>(HYPERLINK("http://www.autodoc.ru/Web/price/art/4118RCLH5RD?analog=on","4118RCLH5RD"))*1</f>
        <v>#VALUE!</v>
      </c>
      <c r="B3359" s="1">
        <v>6993820</v>
      </c>
      <c r="C3359" t="s">
        <v>831</v>
      </c>
      <c r="D3359" t="s">
        <v>3554</v>
      </c>
      <c r="E3359" t="s">
        <v>10</v>
      </c>
    </row>
    <row r="3360" spans="1:5" hidden="1" outlineLevel="2">
      <c r="A3360" s="3" t="e">
        <f>(HYPERLINK("http://www.autodoc.ru/Web/price/art/4118RGNH3FD?analog=on","4118RGNH3FD"))*1</f>
        <v>#VALUE!</v>
      </c>
      <c r="B3360" s="1">
        <v>6993108</v>
      </c>
      <c r="C3360" t="s">
        <v>831</v>
      </c>
      <c r="D3360" t="s">
        <v>3555</v>
      </c>
      <c r="E3360" t="s">
        <v>10</v>
      </c>
    </row>
    <row r="3361" spans="1:5" hidden="1" outlineLevel="2">
      <c r="A3361" s="3" t="e">
        <f>(HYPERLINK("http://www.autodoc.ru/Web/price/art/4118RGNH5FD?analog=on","4118RGNH5FD"))*1</f>
        <v>#VALUE!</v>
      </c>
      <c r="B3361" s="1">
        <v>6993110</v>
      </c>
      <c r="C3361" t="s">
        <v>831</v>
      </c>
      <c r="D3361" t="s">
        <v>3556</v>
      </c>
      <c r="E3361" t="s">
        <v>10</v>
      </c>
    </row>
    <row r="3362" spans="1:5" hidden="1" outlineLevel="2">
      <c r="A3362" s="3" t="e">
        <f>(HYPERLINK("http://www.autodoc.ru/Web/price/art/4118RGNH5RD?analog=on","4118RGNH5RD"))*1</f>
        <v>#VALUE!</v>
      </c>
      <c r="B3362" s="1">
        <v>6995254</v>
      </c>
      <c r="C3362" t="s">
        <v>831</v>
      </c>
      <c r="D3362" t="s">
        <v>3557</v>
      </c>
      <c r="E3362" t="s">
        <v>10</v>
      </c>
    </row>
    <row r="3363" spans="1:5" hidden="1" outlineLevel="2">
      <c r="A3363" s="3" t="e">
        <f>(HYPERLINK("http://www.autodoc.ru/Web/price/art/4118RGNH5RV?analog=on","4118RGNH5RV"))*1</f>
        <v>#VALUE!</v>
      </c>
      <c r="B3363" s="1">
        <v>6995256</v>
      </c>
      <c r="C3363" t="s">
        <v>831</v>
      </c>
      <c r="D3363" t="s">
        <v>3558</v>
      </c>
      <c r="E3363" t="s">
        <v>10</v>
      </c>
    </row>
    <row r="3364" spans="1:5" hidden="1" outlineLevel="1">
      <c r="A3364" s="2">
        <v>0</v>
      </c>
      <c r="B3364" s="26" t="s">
        <v>3559</v>
      </c>
      <c r="C3364" s="27">
        <v>0</v>
      </c>
      <c r="D3364" s="27">
        <v>0</v>
      </c>
      <c r="E3364" s="27">
        <v>0</v>
      </c>
    </row>
    <row r="3365" spans="1:5" hidden="1" outlineLevel="2">
      <c r="A3365" s="3" t="e">
        <f>(HYPERLINK("http://www.autodoc.ru/Web/price/art/4115ACL?analog=on","4115ACL"))*1</f>
        <v>#VALUE!</v>
      </c>
      <c r="B3365" s="1">
        <v>6963628</v>
      </c>
      <c r="C3365" t="s">
        <v>359</v>
      </c>
      <c r="D3365" t="s">
        <v>3560</v>
      </c>
      <c r="E3365" t="s">
        <v>8</v>
      </c>
    </row>
    <row r="3366" spans="1:5" hidden="1" outlineLevel="2">
      <c r="A3366" s="3" t="e">
        <f>(HYPERLINK("http://www.autodoc.ru/Web/price/art/4115ALG?analog=on","4115ALG"))*1</f>
        <v>#VALUE!</v>
      </c>
      <c r="B3366" s="1">
        <v>6963313</v>
      </c>
      <c r="C3366" t="s">
        <v>359</v>
      </c>
      <c r="D3366" t="s">
        <v>3561</v>
      </c>
      <c r="E3366" t="s">
        <v>8</v>
      </c>
    </row>
    <row r="3367" spans="1:5" hidden="1" outlineLevel="2">
      <c r="A3367" s="3" t="e">
        <f>(HYPERLINK("http://www.autodoc.ru/Web/price/art/4115ASMH?analog=on","4115ASMH"))*1</f>
        <v>#VALUE!</v>
      </c>
      <c r="B3367" s="1">
        <v>6100095</v>
      </c>
      <c r="C3367" t="s">
        <v>19</v>
      </c>
      <c r="D3367" t="s">
        <v>3562</v>
      </c>
      <c r="E3367" t="s">
        <v>21</v>
      </c>
    </row>
    <row r="3368" spans="1:5" hidden="1" outlineLevel="1">
      <c r="A3368" s="2">
        <v>0</v>
      </c>
      <c r="B3368" s="26" t="s">
        <v>3563</v>
      </c>
      <c r="C3368" s="27">
        <v>0</v>
      </c>
      <c r="D3368" s="27">
        <v>0</v>
      </c>
      <c r="E3368" s="27">
        <v>0</v>
      </c>
    </row>
    <row r="3369" spans="1:5" hidden="1" outlineLevel="2">
      <c r="A3369" s="3" t="e">
        <f>(HYPERLINK("http://www.autodoc.ru/Web/price/art/4121ALGBL?analog=on","4121ALGBL"))*1</f>
        <v>#VALUE!</v>
      </c>
      <c r="B3369" s="1">
        <v>6960672</v>
      </c>
      <c r="C3369" t="s">
        <v>2598</v>
      </c>
      <c r="D3369" t="s">
        <v>3564</v>
      </c>
      <c r="E3369" t="s">
        <v>8</v>
      </c>
    </row>
    <row r="3370" spans="1:5" hidden="1" outlineLevel="2">
      <c r="A3370" s="3" t="e">
        <f>(HYPERLINK("http://www.autodoc.ru/Web/price/art/4121LLGH5FD?analog=on","4121LLGH5FD"))*1</f>
        <v>#VALUE!</v>
      </c>
      <c r="B3370" s="1">
        <v>6993266</v>
      </c>
      <c r="C3370" t="s">
        <v>2598</v>
      </c>
      <c r="D3370" t="s">
        <v>3565</v>
      </c>
      <c r="E3370" t="s">
        <v>10</v>
      </c>
    </row>
    <row r="3371" spans="1:5" hidden="1" outlineLevel="2">
      <c r="A3371" s="3" t="e">
        <f>(HYPERLINK("http://www.autodoc.ru/Web/price/art/4121LLGH5RV?analog=on","4121LLGH5RV"))*1</f>
        <v>#VALUE!</v>
      </c>
      <c r="B3371" s="1">
        <v>6992620</v>
      </c>
      <c r="C3371" t="s">
        <v>2598</v>
      </c>
      <c r="D3371" t="s">
        <v>3566</v>
      </c>
      <c r="E3371" t="s">
        <v>10</v>
      </c>
    </row>
    <row r="3372" spans="1:5" hidden="1" outlineLevel="2">
      <c r="A3372" s="3" t="e">
        <f>(HYPERLINK("http://www.autodoc.ru/Web/price/art/4121RLGH5FD?analog=on","4121RLGH5FD"))*1</f>
        <v>#VALUE!</v>
      </c>
      <c r="B3372" s="1">
        <v>6993267</v>
      </c>
      <c r="C3372" t="s">
        <v>2598</v>
      </c>
      <c r="D3372" t="s">
        <v>3567</v>
      </c>
      <c r="E3372" t="s">
        <v>10</v>
      </c>
    </row>
    <row r="3373" spans="1:5" hidden="1" outlineLevel="2">
      <c r="A3373" s="3" t="e">
        <f>(HYPERLINK("http://www.autodoc.ru/Web/price/art/4121RLGH5RV?analog=on","4121RLGH5RV"))*1</f>
        <v>#VALUE!</v>
      </c>
      <c r="B3373" s="1">
        <v>6992621</v>
      </c>
      <c r="C3373" t="s">
        <v>2598</v>
      </c>
      <c r="D3373" t="s">
        <v>3568</v>
      </c>
      <c r="E3373" t="s">
        <v>10</v>
      </c>
    </row>
    <row r="3374" spans="1:5" hidden="1" outlineLevel="1">
      <c r="A3374" s="2">
        <v>0</v>
      </c>
      <c r="B3374" s="26" t="s">
        <v>3569</v>
      </c>
      <c r="C3374" s="27">
        <v>0</v>
      </c>
      <c r="D3374" s="27">
        <v>0</v>
      </c>
      <c r="E3374" s="27">
        <v>0</v>
      </c>
    </row>
    <row r="3375" spans="1:5" hidden="1" outlineLevel="2">
      <c r="A3375" s="3" t="e">
        <f>(HYPERLINK("http://www.autodoc.ru/Web/price/art/4122AGN?analog=on","4122AGN"))*1</f>
        <v>#VALUE!</v>
      </c>
      <c r="B3375" s="1">
        <v>6964655</v>
      </c>
      <c r="C3375" t="s">
        <v>831</v>
      </c>
      <c r="D3375" t="s">
        <v>3570</v>
      </c>
      <c r="E3375" t="s">
        <v>8</v>
      </c>
    </row>
    <row r="3376" spans="1:5" hidden="1" outlineLevel="2">
      <c r="A3376" s="3" t="e">
        <f>(HYPERLINK("http://www.autodoc.ru/Web/price/art/4122AGNBL?analog=on","4122AGNBL"))*1</f>
        <v>#VALUE!</v>
      </c>
      <c r="B3376" s="1">
        <v>6964656</v>
      </c>
      <c r="C3376" t="s">
        <v>831</v>
      </c>
      <c r="D3376" t="s">
        <v>3571</v>
      </c>
      <c r="E3376" t="s">
        <v>8</v>
      </c>
    </row>
    <row r="3377" spans="1:5" hidden="1" outlineLevel="2">
      <c r="A3377" s="3" t="e">
        <f>(HYPERLINK("http://www.autodoc.ru/Web/price/art/4122ASMHT?analog=on","4122ASMHT"))*1</f>
        <v>#VALUE!</v>
      </c>
      <c r="B3377" s="1">
        <v>6100970</v>
      </c>
      <c r="C3377" t="s">
        <v>19</v>
      </c>
      <c r="D3377" t="s">
        <v>3572</v>
      </c>
      <c r="E3377" t="s">
        <v>21</v>
      </c>
    </row>
    <row r="3378" spans="1:5" hidden="1" outlineLevel="2">
      <c r="A3378" s="3" t="e">
        <f>(HYPERLINK("http://www.autodoc.ru/Web/price/art/4122BGNHBW?analog=on","4122BGNHBW"))*1</f>
        <v>#VALUE!</v>
      </c>
      <c r="B3378" s="1">
        <v>6980013</v>
      </c>
      <c r="C3378" t="s">
        <v>831</v>
      </c>
      <c r="D3378" t="s">
        <v>3573</v>
      </c>
      <c r="E3378" t="s">
        <v>23</v>
      </c>
    </row>
    <row r="3379" spans="1:5" hidden="1" outlineLevel="2">
      <c r="A3379" s="3" t="e">
        <f>(HYPERLINK("http://www.autodoc.ru/Web/price/art/4122BGNSW?analog=on","4122BGNSW"))*1</f>
        <v>#VALUE!</v>
      </c>
      <c r="B3379" s="1">
        <v>6980015</v>
      </c>
      <c r="C3379" t="s">
        <v>831</v>
      </c>
      <c r="D3379" t="s">
        <v>3574</v>
      </c>
      <c r="E3379" t="s">
        <v>23</v>
      </c>
    </row>
    <row r="3380" spans="1:5" hidden="1" outlineLevel="2">
      <c r="A3380" s="3" t="e">
        <f>(HYPERLINK("http://www.autodoc.ru/Web/price/art/4122LGNH5FDW?analog=on","4122LGNH5FDW"))*1</f>
        <v>#VALUE!</v>
      </c>
      <c r="B3380" s="1">
        <v>6993150</v>
      </c>
      <c r="C3380" t="s">
        <v>831</v>
      </c>
      <c r="D3380" t="s">
        <v>3575</v>
      </c>
      <c r="E3380" t="s">
        <v>10</v>
      </c>
    </row>
    <row r="3381" spans="1:5" hidden="1" outlineLevel="2">
      <c r="A3381" s="3" t="e">
        <f>(HYPERLINK("http://www.autodoc.ru/Web/price/art/4122LGNH5RDW?analog=on","4122LGNH5RDW"))*1</f>
        <v>#VALUE!</v>
      </c>
      <c r="B3381" s="1">
        <v>6980453</v>
      </c>
      <c r="C3381" t="s">
        <v>831</v>
      </c>
      <c r="D3381" t="s">
        <v>3576</v>
      </c>
      <c r="E3381" t="s">
        <v>10</v>
      </c>
    </row>
    <row r="3382" spans="1:5" hidden="1" outlineLevel="2">
      <c r="A3382" s="3" t="e">
        <f>(HYPERLINK("http://www.autodoc.ru/Web/price/art/4122LGNS4RDW?analog=on","4122LGNS4RDW"))*1</f>
        <v>#VALUE!</v>
      </c>
      <c r="B3382" s="1">
        <v>6900149</v>
      </c>
      <c r="C3382" t="s">
        <v>831</v>
      </c>
      <c r="D3382" t="s">
        <v>3577</v>
      </c>
      <c r="E3382" t="s">
        <v>10</v>
      </c>
    </row>
    <row r="3383" spans="1:5" hidden="1" outlineLevel="2">
      <c r="A3383" s="3" t="e">
        <f>(HYPERLINK("http://www.autodoc.ru/Web/price/art/4122LGNS4RV?analog=on","4122LGNS4RV"))*1</f>
        <v>#VALUE!</v>
      </c>
      <c r="B3383" s="1">
        <v>6980454</v>
      </c>
      <c r="C3383" t="s">
        <v>831</v>
      </c>
      <c r="D3383" t="s">
        <v>3578</v>
      </c>
      <c r="E3383" t="s">
        <v>10</v>
      </c>
    </row>
    <row r="3384" spans="1:5" hidden="1" outlineLevel="2">
      <c r="A3384" s="3" t="e">
        <f>(HYPERLINK("http://www.autodoc.ru/Web/price/art/4122RGNH5FDW?analog=on","4122RGNH5FDW"))*1</f>
        <v>#VALUE!</v>
      </c>
      <c r="B3384" s="1">
        <v>6993151</v>
      </c>
      <c r="C3384" t="s">
        <v>831</v>
      </c>
      <c r="D3384" t="s">
        <v>3579</v>
      </c>
      <c r="E3384" t="s">
        <v>10</v>
      </c>
    </row>
    <row r="3385" spans="1:5" hidden="1" outlineLevel="2">
      <c r="A3385" s="3" t="e">
        <f>(HYPERLINK("http://www.autodoc.ru/Web/price/art/4122RGNH5RDW?analog=on","4122RGNH5RDW"))*1</f>
        <v>#VALUE!</v>
      </c>
      <c r="B3385" s="1">
        <v>6980455</v>
      </c>
      <c r="C3385" t="s">
        <v>831</v>
      </c>
      <c r="D3385" t="s">
        <v>3580</v>
      </c>
      <c r="E3385" t="s">
        <v>10</v>
      </c>
    </row>
    <row r="3386" spans="1:5" hidden="1" outlineLevel="2">
      <c r="A3386" s="3" t="e">
        <f>(HYPERLINK("http://www.autodoc.ru/Web/price/art/4122RGNS4RDW?analog=on","4122RGNS4RDW"))*1</f>
        <v>#VALUE!</v>
      </c>
      <c r="B3386" s="1">
        <v>6900228</v>
      </c>
      <c r="C3386" t="s">
        <v>831</v>
      </c>
      <c r="D3386" t="s">
        <v>3581</v>
      </c>
      <c r="E3386" t="s">
        <v>10</v>
      </c>
    </row>
    <row r="3387" spans="1:5" hidden="1" outlineLevel="2">
      <c r="A3387" s="3" t="e">
        <f>(HYPERLINK("http://www.autodoc.ru/Web/price/art/4122RGNS4RV?analog=on","4122RGNS4RV"))*1</f>
        <v>#VALUE!</v>
      </c>
      <c r="B3387" s="1">
        <v>6980456</v>
      </c>
      <c r="C3387" t="s">
        <v>831</v>
      </c>
      <c r="D3387" t="s">
        <v>3582</v>
      </c>
      <c r="E3387" t="s">
        <v>10</v>
      </c>
    </row>
    <row r="3388" spans="1:5" hidden="1" outlineLevel="1">
      <c r="A3388" s="2">
        <v>0</v>
      </c>
      <c r="B3388" s="26" t="s">
        <v>3583</v>
      </c>
      <c r="C3388" s="27">
        <v>0</v>
      </c>
      <c r="D3388" s="27">
        <v>0</v>
      </c>
      <c r="E3388" s="27">
        <v>0</v>
      </c>
    </row>
    <row r="3389" spans="1:5" hidden="1" outlineLevel="2">
      <c r="A3389" s="3" t="e">
        <f>(HYPERLINK("http://www.autodoc.ru/Web/price/art/41A3AGNBLW-OES?analog=on","41A3AGNBLW-OES"))*1</f>
        <v>#VALUE!</v>
      </c>
      <c r="B3389" s="1" t="s">
        <v>3584</v>
      </c>
      <c r="C3389" t="s">
        <v>672</v>
      </c>
      <c r="D3389" t="s">
        <v>3585</v>
      </c>
      <c r="E3389" t="s">
        <v>8</v>
      </c>
    </row>
    <row r="3390" spans="1:5" hidden="1" outlineLevel="2">
      <c r="A3390" s="3" t="e">
        <f>(HYPERLINK("http://www.autodoc.ru/Web/price/art/41A3AGNBL?analog=on","41A3AGNBL"))*1</f>
        <v>#VALUE!</v>
      </c>
      <c r="B3390" s="1">
        <v>6963102</v>
      </c>
      <c r="C3390" t="s">
        <v>672</v>
      </c>
      <c r="D3390" t="s">
        <v>3585</v>
      </c>
      <c r="E3390" t="s">
        <v>8</v>
      </c>
    </row>
    <row r="3391" spans="1:5" hidden="1" outlineLevel="1">
      <c r="A3391" s="2">
        <v>0</v>
      </c>
      <c r="B3391" s="26" t="s">
        <v>3586</v>
      </c>
      <c r="C3391" s="27">
        <v>0</v>
      </c>
      <c r="D3391" s="27">
        <v>0</v>
      </c>
      <c r="E3391" s="27">
        <v>0</v>
      </c>
    </row>
    <row r="3392" spans="1:5" hidden="1" outlineLevel="2">
      <c r="A3392" s="3" t="e">
        <f>(HYPERLINK("http://www.autodoc.ru/Web/price/art/4114ABL?analog=on","4114ABL"))*1</f>
        <v>#VALUE!</v>
      </c>
      <c r="B3392" s="1">
        <v>6190296</v>
      </c>
      <c r="C3392" t="s">
        <v>645</v>
      </c>
      <c r="D3392" t="s">
        <v>3587</v>
      </c>
      <c r="E3392" t="s">
        <v>8</v>
      </c>
    </row>
    <row r="3393" spans="1:5" hidden="1" outlineLevel="2">
      <c r="A3393" s="3" t="e">
        <f>(HYPERLINK("http://www.autodoc.ru/Web/price/art/4114ABLBL?analog=on","4114ABLBL"))*1</f>
        <v>#VALUE!</v>
      </c>
      <c r="B3393" s="1">
        <v>6190297</v>
      </c>
      <c r="C3393" t="s">
        <v>645</v>
      </c>
      <c r="D3393" t="s">
        <v>3588</v>
      </c>
      <c r="E3393" t="s">
        <v>8</v>
      </c>
    </row>
    <row r="3394" spans="1:5" hidden="1" outlineLevel="2">
      <c r="A3394" s="3" t="e">
        <f>(HYPERLINK("http://www.autodoc.ru/Web/price/art/4114AGNBL?analog=on","4114AGNBL"))*1</f>
        <v>#VALUE!</v>
      </c>
      <c r="B3394" s="1">
        <v>6963478</v>
      </c>
      <c r="C3394" t="s">
        <v>645</v>
      </c>
      <c r="D3394" t="s">
        <v>3589</v>
      </c>
      <c r="E3394" t="s">
        <v>8</v>
      </c>
    </row>
    <row r="3395" spans="1:5" hidden="1" outlineLevel="2">
      <c r="A3395" s="3" t="e">
        <f>(HYPERLINK("http://www.autodoc.ru/Web/price/art/4114BGNR?analog=on","4114BGNR"))*1</f>
        <v>#VALUE!</v>
      </c>
      <c r="B3395" s="1">
        <v>6992410</v>
      </c>
      <c r="C3395" t="s">
        <v>645</v>
      </c>
      <c r="D3395" t="s">
        <v>3590</v>
      </c>
      <c r="E3395" t="s">
        <v>23</v>
      </c>
    </row>
    <row r="3396" spans="1:5" hidden="1" outlineLevel="1">
      <c r="A3396" s="2">
        <v>0</v>
      </c>
      <c r="B3396" s="26" t="s">
        <v>3591</v>
      </c>
      <c r="C3396" s="27">
        <v>0</v>
      </c>
      <c r="D3396" s="27">
        <v>0</v>
      </c>
      <c r="E3396" s="27">
        <v>0</v>
      </c>
    </row>
    <row r="3397" spans="1:5" hidden="1" outlineLevel="2">
      <c r="A3397" s="3" t="e">
        <f>(HYPERLINK("http://www.autodoc.ru/Web/price/art/4128AGSBL?analog=on","4128AGSBL"))*1</f>
        <v>#VALUE!</v>
      </c>
      <c r="B3397" s="1">
        <v>6960816</v>
      </c>
      <c r="C3397" t="s">
        <v>3592</v>
      </c>
      <c r="D3397" t="s">
        <v>3593</v>
      </c>
      <c r="E3397" t="s">
        <v>8</v>
      </c>
    </row>
    <row r="3398" spans="1:5" hidden="1" outlineLevel="2">
      <c r="A3398" s="3" t="e">
        <f>(HYPERLINK("http://www.autodoc.ru/Web/price/art/4128ASMH?analog=on","4128ASMH"))*1</f>
        <v>#VALUE!</v>
      </c>
      <c r="B3398" s="1">
        <v>6101570</v>
      </c>
      <c r="C3398" t="s">
        <v>19</v>
      </c>
      <c r="D3398" t="s">
        <v>3594</v>
      </c>
      <c r="E3398" t="s">
        <v>21</v>
      </c>
    </row>
    <row r="3399" spans="1:5" hidden="1" outlineLevel="2">
      <c r="A3399" s="3" t="e">
        <f>(HYPERLINK("http://www.autodoc.ru/Web/price/art/4128BGSHW?analog=on","4128BGSHW"))*1</f>
        <v>#VALUE!</v>
      </c>
      <c r="B3399" s="1">
        <v>6997555</v>
      </c>
      <c r="C3399" t="s">
        <v>3592</v>
      </c>
      <c r="D3399" t="s">
        <v>3595</v>
      </c>
      <c r="E3399" t="s">
        <v>23</v>
      </c>
    </row>
    <row r="3400" spans="1:5" hidden="1" outlineLevel="2">
      <c r="A3400" s="3" t="e">
        <f>(HYPERLINK("http://www.autodoc.ru/Web/price/art/4128BGSHW1H?analog=on","4128BGSHW1H"))*1</f>
        <v>#VALUE!</v>
      </c>
      <c r="B3400" s="1">
        <v>6996467</v>
      </c>
      <c r="C3400" t="s">
        <v>3592</v>
      </c>
      <c r="D3400" t="s">
        <v>3596</v>
      </c>
      <c r="E3400" t="s">
        <v>23</v>
      </c>
    </row>
    <row r="3401" spans="1:5" hidden="1" outlineLevel="2">
      <c r="A3401" s="3" t="e">
        <f>(HYPERLINK("http://www.autodoc.ru/Web/price/art/4128LGSH3FDW?analog=on","4128LGSH3FDW"))*1</f>
        <v>#VALUE!</v>
      </c>
      <c r="B3401" s="1">
        <v>6996192</v>
      </c>
      <c r="C3401" t="s">
        <v>3592</v>
      </c>
      <c r="D3401" t="s">
        <v>3597</v>
      </c>
      <c r="E3401" t="s">
        <v>10</v>
      </c>
    </row>
    <row r="3402" spans="1:5" hidden="1" outlineLevel="2">
      <c r="A3402" s="3" t="e">
        <f>(HYPERLINK("http://www.autodoc.ru/Web/price/art/4128LGSH3RQZ?analog=on","4128LGSH3RQZ"))*1</f>
        <v>#VALUE!</v>
      </c>
      <c r="B3402" s="1">
        <v>6900331</v>
      </c>
      <c r="C3402" t="s">
        <v>3592</v>
      </c>
      <c r="D3402" t="s">
        <v>3598</v>
      </c>
      <c r="E3402" t="s">
        <v>10</v>
      </c>
    </row>
    <row r="3403" spans="1:5" hidden="1" outlineLevel="2">
      <c r="A3403" s="3" t="e">
        <f>(HYPERLINK("http://www.autodoc.ru/Web/price/art/4128LGSH5FDW?analog=on","4128LGSH5FDW"))*1</f>
        <v>#VALUE!</v>
      </c>
      <c r="B3403" s="1">
        <v>6996194</v>
      </c>
      <c r="C3403" t="s">
        <v>3592</v>
      </c>
      <c r="D3403" t="s">
        <v>3599</v>
      </c>
      <c r="E3403" t="s">
        <v>10</v>
      </c>
    </row>
    <row r="3404" spans="1:5" hidden="1" outlineLevel="2">
      <c r="A3404" s="3" t="e">
        <f>(HYPERLINK("http://www.autodoc.ru/Web/price/art/4128LGSH5RDW?analog=on","4128LGSH5RDW"))*1</f>
        <v>#VALUE!</v>
      </c>
      <c r="B3404" s="1">
        <v>6997613</v>
      </c>
      <c r="C3404" t="s">
        <v>3592</v>
      </c>
      <c r="D3404" t="s">
        <v>3600</v>
      </c>
      <c r="E3404" t="s">
        <v>10</v>
      </c>
    </row>
    <row r="3405" spans="1:5" hidden="1" outlineLevel="2">
      <c r="A3405" s="3" t="e">
        <f>(HYPERLINK("http://www.autodoc.ru/Web/price/art/4128LGSH5RV?analog=on","4128LGSH5RV"))*1</f>
        <v>#VALUE!</v>
      </c>
      <c r="B3405" s="1">
        <v>6993242</v>
      </c>
      <c r="C3405" t="s">
        <v>3592</v>
      </c>
      <c r="D3405" t="s">
        <v>3601</v>
      </c>
      <c r="E3405" t="s">
        <v>10</v>
      </c>
    </row>
    <row r="3406" spans="1:5" hidden="1" outlineLevel="2">
      <c r="A3406" s="3" t="e">
        <f>(HYPERLINK("http://www.autodoc.ru/Web/price/art/4128RGSH3FDW?analog=on","4128RGSH3FDW"))*1</f>
        <v>#VALUE!</v>
      </c>
      <c r="B3406" s="1">
        <v>6996193</v>
      </c>
      <c r="C3406" t="s">
        <v>3592</v>
      </c>
      <c r="D3406" t="s">
        <v>3602</v>
      </c>
      <c r="E3406" t="s">
        <v>10</v>
      </c>
    </row>
    <row r="3407" spans="1:5" hidden="1" outlineLevel="2">
      <c r="A3407" s="3" t="e">
        <f>(HYPERLINK("http://www.autodoc.ru/Web/price/art/4128RGSH3RQZ?analog=on","4128RGSH3RQZ"))*1</f>
        <v>#VALUE!</v>
      </c>
      <c r="B3407" s="1">
        <v>6900348</v>
      </c>
      <c r="C3407" t="s">
        <v>3592</v>
      </c>
      <c r="D3407" t="s">
        <v>3603</v>
      </c>
      <c r="E3407" t="s">
        <v>10</v>
      </c>
    </row>
    <row r="3408" spans="1:5" hidden="1" outlineLevel="2">
      <c r="A3408" s="3" t="e">
        <f>(HYPERLINK("http://www.autodoc.ru/Web/price/art/4128RGSH5FDW?analog=on","4128RGSH5FDW"))*1</f>
        <v>#VALUE!</v>
      </c>
      <c r="B3408" s="1">
        <v>6996195</v>
      </c>
      <c r="C3408" t="s">
        <v>3592</v>
      </c>
      <c r="D3408" t="s">
        <v>3604</v>
      </c>
      <c r="E3408" t="s">
        <v>10</v>
      </c>
    </row>
    <row r="3409" spans="1:5" hidden="1" outlineLevel="2">
      <c r="A3409" s="3" t="e">
        <f>(HYPERLINK("http://www.autodoc.ru/Web/price/art/4128RGSH5RDW?analog=on","4128RGSH5RDW"))*1</f>
        <v>#VALUE!</v>
      </c>
      <c r="B3409" s="1">
        <v>6997616</v>
      </c>
      <c r="C3409" t="s">
        <v>3592</v>
      </c>
      <c r="D3409" t="s">
        <v>3605</v>
      </c>
      <c r="E3409" t="s">
        <v>10</v>
      </c>
    </row>
    <row r="3410" spans="1:5" hidden="1" outlineLevel="2">
      <c r="A3410" s="3" t="e">
        <f>(HYPERLINK("http://www.autodoc.ru/Web/price/art/4128RGSH5RV?analog=on","4128RGSH5RV"))*1</f>
        <v>#VALUE!</v>
      </c>
      <c r="B3410" s="1">
        <v>6993243</v>
      </c>
      <c r="C3410" t="s">
        <v>3592</v>
      </c>
      <c r="D3410" t="s">
        <v>3606</v>
      </c>
      <c r="E3410" t="s">
        <v>10</v>
      </c>
    </row>
    <row r="3411" spans="1:5" hidden="1" outlineLevel="1">
      <c r="A3411" s="2">
        <v>0</v>
      </c>
      <c r="B3411" s="26" t="s">
        <v>3607</v>
      </c>
      <c r="C3411" s="27">
        <v>0</v>
      </c>
      <c r="D3411" s="27">
        <v>0</v>
      </c>
      <c r="E3411" s="27">
        <v>0</v>
      </c>
    </row>
    <row r="3412" spans="1:5" hidden="1" outlineLevel="2">
      <c r="A3412" s="3" t="e">
        <f>(HYPERLINK("http://www.autodoc.ru/Web/price/art/4107ACL?analog=on","4107ACL"))*1</f>
        <v>#VALUE!</v>
      </c>
      <c r="B3412" s="1">
        <v>6963453</v>
      </c>
      <c r="C3412" t="s">
        <v>1491</v>
      </c>
      <c r="D3412" t="s">
        <v>3608</v>
      </c>
      <c r="E3412" t="s">
        <v>8</v>
      </c>
    </row>
    <row r="3413" spans="1:5" hidden="1" outlineLevel="2">
      <c r="A3413" s="3" t="e">
        <f>(HYPERLINK("http://www.autodoc.ru/Web/price/art/4107AGNBL?analog=on","4107AGNBL"))*1</f>
        <v>#VALUE!</v>
      </c>
      <c r="B3413" s="1">
        <v>6963454</v>
      </c>
      <c r="C3413" t="s">
        <v>1491</v>
      </c>
      <c r="D3413" t="s">
        <v>3609</v>
      </c>
      <c r="E3413" t="s">
        <v>8</v>
      </c>
    </row>
    <row r="3414" spans="1:5" hidden="1" outlineLevel="2">
      <c r="A3414" s="3" t="e">
        <f>(HYPERLINK("http://www.autodoc.ru/Web/price/art/4107ASRV?analog=on","4107ASRV"))*1</f>
        <v>#VALUE!</v>
      </c>
      <c r="B3414" s="1">
        <v>6100599</v>
      </c>
      <c r="C3414" t="s">
        <v>19</v>
      </c>
      <c r="D3414" t="s">
        <v>3610</v>
      </c>
      <c r="E3414" t="s">
        <v>21</v>
      </c>
    </row>
    <row r="3415" spans="1:5" hidden="1" outlineLevel="2">
      <c r="A3415" s="3" t="e">
        <f>(HYPERLINK("http://www.autodoc.ru/Web/price/art/4107BCLV?analog=on","4107BCLV"))*1</f>
        <v>#VALUE!</v>
      </c>
      <c r="B3415" s="1">
        <v>6998077</v>
      </c>
      <c r="C3415" t="s">
        <v>2856</v>
      </c>
      <c r="D3415" t="s">
        <v>3611</v>
      </c>
      <c r="E3415" t="s">
        <v>23</v>
      </c>
    </row>
    <row r="3416" spans="1:5" hidden="1" outlineLevel="2">
      <c r="A3416" s="3" t="e">
        <f>(HYPERLINK("http://www.autodoc.ru/Web/price/art/4107BCLV1J?analog=on","4107BCLV1J"))*1</f>
        <v>#VALUE!</v>
      </c>
      <c r="B3416" s="1">
        <v>6980295</v>
      </c>
      <c r="C3416" t="s">
        <v>3612</v>
      </c>
      <c r="D3416" t="s">
        <v>3613</v>
      </c>
      <c r="E3416" t="s">
        <v>23</v>
      </c>
    </row>
    <row r="3417" spans="1:5" hidden="1" outlineLevel="2">
      <c r="A3417" s="3" t="e">
        <f>(HYPERLINK("http://www.autodoc.ru/Web/price/art/4107BGNV1J?analog=on","4107BGNV1J"))*1</f>
        <v>#VALUE!</v>
      </c>
      <c r="B3417" s="1">
        <v>6980296</v>
      </c>
      <c r="C3417" t="s">
        <v>3612</v>
      </c>
      <c r="D3417" t="s">
        <v>3614</v>
      </c>
      <c r="E3417" t="s">
        <v>23</v>
      </c>
    </row>
    <row r="3418" spans="1:5" hidden="1" outlineLevel="1">
      <c r="A3418" s="2">
        <v>0</v>
      </c>
      <c r="B3418" s="26" t="s">
        <v>3615</v>
      </c>
      <c r="C3418" s="27">
        <v>0</v>
      </c>
      <c r="D3418" s="27">
        <v>0</v>
      </c>
      <c r="E3418" s="27">
        <v>0</v>
      </c>
    </row>
    <row r="3419" spans="1:5" hidden="1" outlineLevel="2">
      <c r="A3419" s="3" t="e">
        <f>(HYPERLINK("http://www.autodoc.ru/Web/price/art/4132AGNBLHMV1B?analog=on","4132AGNBLHMV1B"))*1</f>
        <v>#VALUE!</v>
      </c>
      <c r="B3419" s="1">
        <v>6961631</v>
      </c>
      <c r="C3419" t="s">
        <v>890</v>
      </c>
      <c r="D3419" t="s">
        <v>3616</v>
      </c>
      <c r="E3419" t="s">
        <v>8</v>
      </c>
    </row>
    <row r="3420" spans="1:5" hidden="1" outlineLevel="2">
      <c r="A3420" s="3" t="e">
        <f>(HYPERLINK("http://www.autodoc.ru/Web/price/art/4132AGNBLHV?analog=on","4132AGNBLHV"))*1</f>
        <v>#VALUE!</v>
      </c>
      <c r="B3420" s="1">
        <v>6961630</v>
      </c>
      <c r="C3420" t="s">
        <v>890</v>
      </c>
      <c r="D3420" t="s">
        <v>3617</v>
      </c>
      <c r="E3420" t="s">
        <v>8</v>
      </c>
    </row>
    <row r="3421" spans="1:5" hidden="1" outlineLevel="2">
      <c r="A3421" s="3" t="e">
        <f>(HYPERLINK("http://www.autodoc.ru/Web/price/art/4132AGNBLMV1B?analog=on","4132AGNBLMV1B"))*1</f>
        <v>#VALUE!</v>
      </c>
      <c r="B3421" s="1">
        <v>6961583</v>
      </c>
      <c r="C3421" t="s">
        <v>890</v>
      </c>
      <c r="D3421" t="s">
        <v>3618</v>
      </c>
      <c r="E3421" t="s">
        <v>8</v>
      </c>
    </row>
    <row r="3422" spans="1:5" hidden="1" outlineLevel="2">
      <c r="A3422" s="3" t="e">
        <f>(HYPERLINK("http://www.autodoc.ru/Web/price/art/4132AGNBLV?analog=on","4132AGNBLV"))*1</f>
        <v>#VALUE!</v>
      </c>
      <c r="B3422" s="1">
        <v>6961582</v>
      </c>
      <c r="C3422" t="s">
        <v>890</v>
      </c>
      <c r="D3422" t="s">
        <v>3619</v>
      </c>
      <c r="E3422" t="s">
        <v>8</v>
      </c>
    </row>
    <row r="3423" spans="1:5" hidden="1" outlineLevel="1">
      <c r="A3423" s="2">
        <v>0</v>
      </c>
      <c r="B3423" s="26" t="s">
        <v>3620</v>
      </c>
      <c r="C3423" s="27">
        <v>0</v>
      </c>
      <c r="D3423" s="27">
        <v>0</v>
      </c>
      <c r="E3423" s="27">
        <v>0</v>
      </c>
    </row>
    <row r="3424" spans="1:5" hidden="1" outlineLevel="2">
      <c r="A3424" s="3" t="e">
        <f>(HYPERLINK("http://www.autodoc.ru/Web/price/art/4136LGNV3FDW?analog=on","4136LGNV3FDW"))*1</f>
        <v>#VALUE!</v>
      </c>
      <c r="B3424" s="1">
        <v>6901434</v>
      </c>
      <c r="C3424" t="s">
        <v>290</v>
      </c>
      <c r="D3424" t="s">
        <v>3621</v>
      </c>
      <c r="E3424" t="s">
        <v>10</v>
      </c>
    </row>
    <row r="3425" spans="1:5" hidden="1" outlineLevel="2">
      <c r="A3425" s="3" t="e">
        <f>(HYPERLINK("http://www.autodoc.ru/Web/price/art/4136LGNV3FDW1M?analog=on","4136LGNV3FDW1M"))*1</f>
        <v>#VALUE!</v>
      </c>
      <c r="B3425" s="1">
        <v>6901436</v>
      </c>
      <c r="C3425" t="s">
        <v>290</v>
      </c>
      <c r="D3425" t="s">
        <v>3621</v>
      </c>
      <c r="E3425" t="s">
        <v>10</v>
      </c>
    </row>
    <row r="3426" spans="1:5" hidden="1" outlineLevel="2">
      <c r="A3426" s="3" t="e">
        <f>(HYPERLINK("http://www.autodoc.ru/Web/price/art/4136RGNV3FDW?analog=on","4136RGNV3FDW"))*1</f>
        <v>#VALUE!</v>
      </c>
      <c r="B3426" s="1">
        <v>6901433</v>
      </c>
      <c r="C3426" t="s">
        <v>290</v>
      </c>
      <c r="D3426" t="s">
        <v>3622</v>
      </c>
      <c r="E3426" t="s">
        <v>10</v>
      </c>
    </row>
    <row r="3427" spans="1:5" hidden="1" outlineLevel="1">
      <c r="A3427" s="2">
        <v>0</v>
      </c>
      <c r="B3427" s="26" t="s">
        <v>3623</v>
      </c>
      <c r="C3427" s="27">
        <v>0</v>
      </c>
      <c r="D3427" s="27">
        <v>0</v>
      </c>
      <c r="E3427" s="27">
        <v>0</v>
      </c>
    </row>
    <row r="3428" spans="1:5" hidden="1" outlineLevel="2">
      <c r="A3428" s="3" t="e">
        <f>(HYPERLINK("http://www.autodoc.ru/Web/price/art/4116ACL?analog=on","4116ACL"))*1</f>
        <v>#VALUE!</v>
      </c>
      <c r="B3428" s="1">
        <v>6960777</v>
      </c>
      <c r="C3428" t="s">
        <v>1687</v>
      </c>
      <c r="D3428" t="s">
        <v>3624</v>
      </c>
      <c r="E3428" t="s">
        <v>8</v>
      </c>
    </row>
    <row r="3429" spans="1:5" hidden="1" outlineLevel="2">
      <c r="A3429" s="3" t="e">
        <f>(HYPERLINK("http://www.autodoc.ru/Web/price/art/4116AGNBL?analog=on","4116AGNBL"))*1</f>
        <v>#VALUE!</v>
      </c>
      <c r="B3429" s="1">
        <v>6963314</v>
      </c>
      <c r="C3429" t="s">
        <v>1687</v>
      </c>
      <c r="D3429" t="s">
        <v>3625</v>
      </c>
      <c r="E3429" t="s">
        <v>8</v>
      </c>
    </row>
    <row r="3430" spans="1:5" hidden="1" outlineLevel="2">
      <c r="A3430" s="3" t="e">
        <f>(HYPERLINK("http://www.autodoc.ru/Web/price/art/4116ASMV?analog=on","4116ASMV"))*1</f>
        <v>#VALUE!</v>
      </c>
      <c r="B3430" s="1">
        <v>6100600</v>
      </c>
      <c r="C3430" t="s">
        <v>19</v>
      </c>
      <c r="D3430" t="s">
        <v>3626</v>
      </c>
      <c r="E3430" t="s">
        <v>21</v>
      </c>
    </row>
    <row r="3431" spans="1:5" hidden="1" outlineLevel="2">
      <c r="A3431" s="3" t="e">
        <f>(HYPERLINK("http://www.autodoc.ru/Web/price/art/4116BGNV?analog=on","4116BGNV"))*1</f>
        <v>#VALUE!</v>
      </c>
      <c r="B3431" s="1">
        <v>6980299</v>
      </c>
      <c r="C3431" t="s">
        <v>1687</v>
      </c>
      <c r="D3431" t="s">
        <v>3627</v>
      </c>
      <c r="E3431" t="s">
        <v>23</v>
      </c>
    </row>
    <row r="3432" spans="1:5" hidden="1" outlineLevel="1">
      <c r="A3432" s="2">
        <v>0</v>
      </c>
      <c r="B3432" s="26" t="s">
        <v>3628</v>
      </c>
      <c r="C3432" s="27">
        <v>0</v>
      </c>
      <c r="D3432" s="27">
        <v>0</v>
      </c>
      <c r="E3432" s="27">
        <v>0</v>
      </c>
    </row>
    <row r="3433" spans="1:5" hidden="1" outlineLevel="2">
      <c r="A3433" s="3" t="e">
        <f>(HYPERLINK("http://www.autodoc.ru/Web/price/art/4137AGNGNV?analog=on","4137AGNGNV"))*1</f>
        <v>#VALUE!</v>
      </c>
      <c r="B3433" s="1">
        <v>6963166</v>
      </c>
      <c r="C3433" t="s">
        <v>366</v>
      </c>
      <c r="D3433" t="s">
        <v>3629</v>
      </c>
      <c r="E3433" t="s">
        <v>8</v>
      </c>
    </row>
    <row r="3434" spans="1:5" hidden="1" outlineLevel="2">
      <c r="A3434" s="3" t="e">
        <f>(HYPERLINK("http://www.autodoc.ru/Web/price/art/4137LGNH5FD?analog=on","4137LGNH5FD"))*1</f>
        <v>#VALUE!</v>
      </c>
      <c r="B3434" s="1">
        <v>6901358</v>
      </c>
      <c r="C3434" t="s">
        <v>366</v>
      </c>
      <c r="D3434" t="s">
        <v>3630</v>
      </c>
      <c r="E3434" t="s">
        <v>10</v>
      </c>
    </row>
    <row r="3435" spans="1:5" hidden="1" outlineLevel="2">
      <c r="A3435" s="3" t="e">
        <f>(HYPERLINK("http://www.autodoc.ru/Web/price/art/4137RGNH5FD?analog=on","4137RGNH5FD"))*1</f>
        <v>#VALUE!</v>
      </c>
      <c r="B3435" s="1">
        <v>6901360</v>
      </c>
      <c r="C3435" t="s">
        <v>366</v>
      </c>
      <c r="D3435" t="s">
        <v>3631</v>
      </c>
      <c r="E3435" t="s">
        <v>10</v>
      </c>
    </row>
    <row r="3436" spans="1:5" hidden="1" outlineLevel="1">
      <c r="A3436" s="2">
        <v>0</v>
      </c>
      <c r="B3436" s="26" t="s">
        <v>3632</v>
      </c>
      <c r="C3436" s="27">
        <v>0</v>
      </c>
      <c r="D3436" s="27">
        <v>0</v>
      </c>
      <c r="E3436" s="27">
        <v>0</v>
      </c>
    </row>
    <row r="3437" spans="1:5" hidden="1" outlineLevel="2">
      <c r="A3437" s="3" t="e">
        <f>(HYPERLINK("http://www.autodoc.ru/Web/price/art/4139ACLV?analog=on","4139ACLV"))*1</f>
        <v>#VALUE!</v>
      </c>
      <c r="B3437" s="1">
        <v>6964658</v>
      </c>
      <c r="C3437" t="s">
        <v>211</v>
      </c>
      <c r="D3437" t="s">
        <v>3633</v>
      </c>
      <c r="E3437" t="s">
        <v>8</v>
      </c>
    </row>
    <row r="3438" spans="1:5" hidden="1" outlineLevel="2">
      <c r="A3438" s="3" t="e">
        <f>(HYPERLINK("http://www.autodoc.ru/Web/price/art/4139AGSV?analog=on","4139AGSV"))*1</f>
        <v>#VALUE!</v>
      </c>
      <c r="B3438" s="1">
        <v>6964660</v>
      </c>
      <c r="C3438" t="s">
        <v>211</v>
      </c>
      <c r="D3438" t="s">
        <v>3634</v>
      </c>
      <c r="E3438" t="s">
        <v>8</v>
      </c>
    </row>
    <row r="3439" spans="1:5" hidden="1" outlineLevel="2">
      <c r="A3439" s="3" t="e">
        <f>(HYPERLINK("http://www.autodoc.ru/Web/price/art/4139LGSH5FD?analog=on","4139LGSH5FD"))*1</f>
        <v>#VALUE!</v>
      </c>
      <c r="B3439" s="1">
        <v>6900937</v>
      </c>
      <c r="C3439" t="s">
        <v>211</v>
      </c>
      <c r="D3439" t="s">
        <v>3635</v>
      </c>
      <c r="E3439" t="s">
        <v>10</v>
      </c>
    </row>
    <row r="3440" spans="1:5" hidden="1" outlineLevel="2">
      <c r="A3440" s="3" t="e">
        <f>(HYPERLINK("http://www.autodoc.ru/Web/price/art/4139LGSH5RD?analog=on","4139LGSH5RD"))*1</f>
        <v>#VALUE!</v>
      </c>
      <c r="B3440" s="1">
        <v>6900938</v>
      </c>
      <c r="C3440" t="s">
        <v>211</v>
      </c>
      <c r="D3440" t="s">
        <v>3636</v>
      </c>
      <c r="E3440" t="s">
        <v>10</v>
      </c>
    </row>
    <row r="3441" spans="1:5" hidden="1" outlineLevel="2">
      <c r="A3441" s="3" t="e">
        <f>(HYPERLINK("http://www.autodoc.ru/Web/price/art/4139LGSH5RV?analog=on","4139LGSH5RV"))*1</f>
        <v>#VALUE!</v>
      </c>
      <c r="B3441" s="1">
        <v>6900939</v>
      </c>
      <c r="C3441" t="s">
        <v>211</v>
      </c>
      <c r="D3441" t="s">
        <v>3637</v>
      </c>
      <c r="E3441" t="s">
        <v>10</v>
      </c>
    </row>
    <row r="3442" spans="1:5" hidden="1" outlineLevel="2">
      <c r="A3442" s="3" t="e">
        <f>(HYPERLINK("http://www.autodoc.ru/Web/price/art/4139RGSH5FD?analog=on","4139RGSH5FD"))*1</f>
        <v>#VALUE!</v>
      </c>
      <c r="B3442" s="1">
        <v>6900943</v>
      </c>
      <c r="C3442" t="s">
        <v>211</v>
      </c>
      <c r="D3442" t="s">
        <v>3638</v>
      </c>
      <c r="E3442" t="s">
        <v>10</v>
      </c>
    </row>
    <row r="3443" spans="1:5" hidden="1" outlineLevel="2">
      <c r="A3443" s="3" t="e">
        <f>(HYPERLINK("http://www.autodoc.ru/Web/price/art/4139RGSH5RD?analog=on","4139RGSH5RD"))*1</f>
        <v>#VALUE!</v>
      </c>
      <c r="B3443" s="1">
        <v>6900944</v>
      </c>
      <c r="C3443" t="s">
        <v>211</v>
      </c>
      <c r="D3443" t="s">
        <v>3639</v>
      </c>
      <c r="E3443" t="s">
        <v>10</v>
      </c>
    </row>
    <row r="3444" spans="1:5" hidden="1" outlineLevel="2">
      <c r="A3444" s="3" t="e">
        <f>(HYPERLINK("http://www.autodoc.ru/Web/price/art/4139RGSH5RV?analog=on","4139RGSH5RV"))*1</f>
        <v>#VALUE!</v>
      </c>
      <c r="B3444" s="1">
        <v>6900945</v>
      </c>
      <c r="C3444" t="s">
        <v>211</v>
      </c>
      <c r="D3444" t="s">
        <v>3640</v>
      </c>
      <c r="E3444" t="s">
        <v>10</v>
      </c>
    </row>
    <row r="3445" spans="1:5" hidden="1" outlineLevel="2">
      <c r="A3445" s="3" t="e">
        <f>(HYPERLINK("http://www.autodoc.ru/Web/price/art/4139BGSH?analog=on","4139BGSH"))*1</f>
        <v>#VALUE!</v>
      </c>
      <c r="B3445" s="1">
        <v>6900933</v>
      </c>
      <c r="C3445" t="s">
        <v>211</v>
      </c>
      <c r="D3445" t="s">
        <v>3641</v>
      </c>
      <c r="E3445" t="s">
        <v>10</v>
      </c>
    </row>
    <row r="3446" spans="1:5" hidden="1" outlineLevel="1">
      <c r="A3446" s="2">
        <v>0</v>
      </c>
      <c r="B3446" s="26" t="s">
        <v>3642</v>
      </c>
      <c r="C3446" s="27">
        <v>0</v>
      </c>
      <c r="D3446" s="27">
        <v>0</v>
      </c>
      <c r="E3446" s="27">
        <v>0</v>
      </c>
    </row>
    <row r="3447" spans="1:5" hidden="1" outlineLevel="2">
      <c r="A3447" s="3" t="e">
        <f>(HYPERLINK("http://www.autodoc.ru/Web/price/art/4135AGNHMV1B?analog=on","4135AGNHMV1B"))*1</f>
        <v>#VALUE!</v>
      </c>
      <c r="B3447" s="1">
        <v>6962756</v>
      </c>
      <c r="C3447" t="s">
        <v>3378</v>
      </c>
      <c r="D3447" t="s">
        <v>3643</v>
      </c>
      <c r="E3447" t="s">
        <v>8</v>
      </c>
    </row>
    <row r="3448" spans="1:5" hidden="1" outlineLevel="2">
      <c r="A3448" s="3" t="e">
        <f>(HYPERLINK("http://www.autodoc.ru/Web/price/art/4135AGNMV1B?analog=on","4135AGNMV1B"))*1</f>
        <v>#VALUE!</v>
      </c>
      <c r="B3448" s="1">
        <v>6962800</v>
      </c>
      <c r="C3448" t="s">
        <v>3378</v>
      </c>
      <c r="D3448" t="s">
        <v>3644</v>
      </c>
      <c r="E3448" t="s">
        <v>8</v>
      </c>
    </row>
    <row r="3449" spans="1:5" hidden="1" outlineLevel="2">
      <c r="A3449" s="3" t="e">
        <f>(HYPERLINK("http://www.autodoc.ru/Web/price/art/4135AGNV?analog=on","4135AGNV"))*1</f>
        <v>#VALUE!</v>
      </c>
      <c r="B3449" s="1">
        <v>6962757</v>
      </c>
      <c r="C3449" t="s">
        <v>3378</v>
      </c>
      <c r="D3449" t="s">
        <v>3645</v>
      </c>
      <c r="E3449" t="s">
        <v>8</v>
      </c>
    </row>
    <row r="3450" spans="1:5" hidden="1" outlineLevel="2">
      <c r="A3450" s="3" t="e">
        <f>(HYPERLINK("http://www.autodoc.ru/Web/price/art/4135AGSHV?analog=on","4135AGSHV"))*1</f>
        <v>#VALUE!</v>
      </c>
      <c r="B3450" s="1">
        <v>6962829</v>
      </c>
      <c r="C3450" t="s">
        <v>3378</v>
      </c>
      <c r="D3450" t="s">
        <v>3646</v>
      </c>
      <c r="E3450" t="s">
        <v>8</v>
      </c>
    </row>
    <row r="3451" spans="1:5" hidden="1" outlineLevel="2">
      <c r="A3451" s="3" t="e">
        <f>(HYPERLINK("http://www.autodoc.ru/Web/price/art/4135AGSHMV6G?analog=on","4135AGSHMV6G"))*1</f>
        <v>#VALUE!</v>
      </c>
      <c r="B3451" s="1">
        <v>6965036</v>
      </c>
      <c r="C3451" t="s">
        <v>3378</v>
      </c>
      <c r="D3451" t="s">
        <v>3647</v>
      </c>
      <c r="E3451" t="s">
        <v>8</v>
      </c>
    </row>
    <row r="3452" spans="1:5" hidden="1" outlineLevel="2">
      <c r="A3452" s="3" t="e">
        <f>(HYPERLINK("http://www.autodoc.ru/Web/price/art/4135AGNV1G?analog=on","4135AGNV1G"))*1</f>
        <v>#VALUE!</v>
      </c>
      <c r="B3452" s="1">
        <v>6964590</v>
      </c>
      <c r="C3452" t="s">
        <v>3378</v>
      </c>
      <c r="D3452" t="s">
        <v>3648</v>
      </c>
      <c r="E3452" t="s">
        <v>8</v>
      </c>
    </row>
    <row r="3453" spans="1:5" hidden="1" outlineLevel="1">
      <c r="A3453" s="2">
        <v>0</v>
      </c>
      <c r="B3453" s="26" t="s">
        <v>3649</v>
      </c>
      <c r="C3453" s="27">
        <v>0</v>
      </c>
      <c r="D3453" s="27">
        <v>0</v>
      </c>
      <c r="E3453" s="27">
        <v>0</v>
      </c>
    </row>
    <row r="3454" spans="1:5" hidden="1" outlineLevel="2">
      <c r="A3454" s="3" t="e">
        <f>(HYPERLINK("http://www.autodoc.ru/Web/price/art/4141AGNHMV1B?analog=on","4141AGNHMV1B"))*1</f>
        <v>#VALUE!</v>
      </c>
      <c r="B3454" s="1">
        <v>6964815</v>
      </c>
      <c r="C3454" t="s">
        <v>211</v>
      </c>
      <c r="D3454" t="s">
        <v>3650</v>
      </c>
      <c r="E3454" t="s">
        <v>8</v>
      </c>
    </row>
    <row r="3455" spans="1:5" hidden="1" outlineLevel="2">
      <c r="A3455" s="3" t="e">
        <f>(HYPERLINK("http://www.autodoc.ru/Web/price/art/4141AGNHV?analog=on","4141AGNHV"))*1</f>
        <v>#VALUE!</v>
      </c>
      <c r="B3455" s="1">
        <v>6964814</v>
      </c>
      <c r="C3455" t="s">
        <v>211</v>
      </c>
      <c r="D3455" t="s">
        <v>3651</v>
      </c>
      <c r="E3455" t="s">
        <v>8</v>
      </c>
    </row>
    <row r="3456" spans="1:5" hidden="1" outlineLevel="2">
      <c r="A3456" s="3" t="e">
        <f>(HYPERLINK("http://www.autodoc.ru/Web/price/art/4141AGNV?analog=on","4141AGNV"))*1</f>
        <v>#VALUE!</v>
      </c>
      <c r="B3456" s="1">
        <v>6964813</v>
      </c>
      <c r="C3456" t="s">
        <v>211</v>
      </c>
      <c r="D3456" t="s">
        <v>3652</v>
      </c>
      <c r="E3456" t="s">
        <v>8</v>
      </c>
    </row>
    <row r="3457" spans="1:5" hidden="1" outlineLevel="1">
      <c r="A3457" s="2">
        <v>0</v>
      </c>
      <c r="B3457" s="26" t="s">
        <v>3653</v>
      </c>
      <c r="C3457" s="27">
        <v>0</v>
      </c>
      <c r="D3457" s="27">
        <v>0</v>
      </c>
      <c r="E3457" s="27">
        <v>0</v>
      </c>
    </row>
    <row r="3458" spans="1:5" hidden="1" outlineLevel="2">
      <c r="A3458" s="3" t="e">
        <f>(HYPERLINK("http://www.autodoc.ru/Web/price/art/4140AGSBLHMV1B?analog=on","4140AGSBLHMV1B"))*1</f>
        <v>#VALUE!</v>
      </c>
      <c r="B3458" s="1">
        <v>6964994</v>
      </c>
      <c r="C3458" t="s">
        <v>211</v>
      </c>
      <c r="D3458" t="s">
        <v>3654</v>
      </c>
      <c r="E3458" t="s">
        <v>8</v>
      </c>
    </row>
    <row r="3459" spans="1:5" hidden="1" outlineLevel="1">
      <c r="A3459" s="2">
        <v>0</v>
      </c>
      <c r="B3459" s="26" t="s">
        <v>3655</v>
      </c>
      <c r="C3459" s="27">
        <v>0</v>
      </c>
      <c r="D3459" s="27">
        <v>0</v>
      </c>
      <c r="E3459" s="27">
        <v>0</v>
      </c>
    </row>
    <row r="3460" spans="1:5" hidden="1" outlineLevel="2">
      <c r="A3460" s="3" t="e">
        <f>(HYPERLINK("http://www.autodoc.ru/Web/price/art/4106AGNBL?analog=on","4106AGNBL"))*1</f>
        <v>#VALUE!</v>
      </c>
      <c r="B3460" s="1">
        <v>6961421</v>
      </c>
      <c r="C3460" t="s">
        <v>1109</v>
      </c>
      <c r="D3460" t="s">
        <v>3656</v>
      </c>
      <c r="E3460" t="s">
        <v>8</v>
      </c>
    </row>
    <row r="3461" spans="1:5" hidden="1" outlineLevel="2">
      <c r="A3461" s="3" t="e">
        <f>(HYPERLINK("http://www.autodoc.ru/Web/price/art/4106ASMS?analog=on","4106ASMS"))*1</f>
        <v>#VALUE!</v>
      </c>
      <c r="B3461" s="1">
        <v>6100090</v>
      </c>
      <c r="C3461" t="s">
        <v>19</v>
      </c>
      <c r="D3461" t="s">
        <v>3657</v>
      </c>
      <c r="E3461" t="s">
        <v>21</v>
      </c>
    </row>
    <row r="3462" spans="1:5" hidden="1" outlineLevel="2">
      <c r="A3462" s="3" t="e">
        <f>(HYPERLINK("http://www.autodoc.ru/Web/price/art/4106BGNS?analog=on","4106BGNS"))*1</f>
        <v>#VALUE!</v>
      </c>
      <c r="B3462" s="1">
        <v>6980294</v>
      </c>
      <c r="C3462" t="s">
        <v>1109</v>
      </c>
      <c r="D3462" t="s">
        <v>3658</v>
      </c>
      <c r="E3462" t="s">
        <v>23</v>
      </c>
    </row>
    <row r="3463" spans="1:5" hidden="1" outlineLevel="2">
      <c r="A3463" s="3" t="e">
        <f>(HYPERLINK("http://www.autodoc.ru/Web/price/art/4106LGNS4FD?analog=on","4106LGNS4FD"))*1</f>
        <v>#VALUE!</v>
      </c>
      <c r="B3463" s="1">
        <v>6996989</v>
      </c>
      <c r="C3463" t="s">
        <v>1109</v>
      </c>
      <c r="D3463" t="s">
        <v>3659</v>
      </c>
      <c r="E3463" t="s">
        <v>10</v>
      </c>
    </row>
    <row r="3464" spans="1:5" hidden="1" outlineLevel="2">
      <c r="A3464" s="3" t="e">
        <f>(HYPERLINK("http://www.autodoc.ru/Web/price/art/4106LGNS4RD?analog=on","4106LGNS4RD"))*1</f>
        <v>#VALUE!</v>
      </c>
      <c r="B3464" s="1">
        <v>6999385</v>
      </c>
      <c r="C3464" t="s">
        <v>1109</v>
      </c>
      <c r="D3464" t="s">
        <v>3660</v>
      </c>
      <c r="E3464" t="s">
        <v>10</v>
      </c>
    </row>
    <row r="3465" spans="1:5" hidden="1" outlineLevel="2">
      <c r="A3465" s="3" t="e">
        <f>(HYPERLINK("http://www.autodoc.ru/Web/price/art/4106RGNS4FD?analog=on","4106RGNS4FD"))*1</f>
        <v>#VALUE!</v>
      </c>
      <c r="B3465" s="1">
        <v>6996990</v>
      </c>
      <c r="C3465" t="s">
        <v>1109</v>
      </c>
      <c r="D3465" t="s">
        <v>3661</v>
      </c>
      <c r="E3465" t="s">
        <v>10</v>
      </c>
    </row>
    <row r="3466" spans="1:5" hidden="1" outlineLevel="2">
      <c r="A3466" s="3" t="e">
        <f>(HYPERLINK("http://www.autodoc.ru/Web/price/art/4106RGNS4RD?analog=on","4106RGNS4RD"))*1</f>
        <v>#VALUE!</v>
      </c>
      <c r="B3466" s="1">
        <v>6999386</v>
      </c>
      <c r="C3466" t="s">
        <v>1109</v>
      </c>
      <c r="D3466" t="s">
        <v>3662</v>
      </c>
      <c r="E3466" t="s">
        <v>10</v>
      </c>
    </row>
    <row r="3467" spans="1:5" hidden="1" outlineLevel="1">
      <c r="A3467" s="2">
        <v>0</v>
      </c>
      <c r="B3467" s="26" t="s">
        <v>3663</v>
      </c>
      <c r="C3467" s="27">
        <v>0</v>
      </c>
      <c r="D3467" s="27">
        <v>0</v>
      </c>
      <c r="E3467" s="27">
        <v>0</v>
      </c>
    </row>
    <row r="3468" spans="1:5" hidden="1" outlineLevel="2">
      <c r="A3468" s="3" t="e">
        <f>(HYPERLINK("http://www.autodoc.ru/Web/price/art/4111AGNBL?analog=on","4111AGNBL"))*1</f>
        <v>#VALUE!</v>
      </c>
      <c r="B3468" s="1">
        <v>6963742</v>
      </c>
      <c r="C3468" t="s">
        <v>1495</v>
      </c>
      <c r="D3468" t="s">
        <v>3664</v>
      </c>
      <c r="E3468" t="s">
        <v>8</v>
      </c>
    </row>
    <row r="3469" spans="1:5" hidden="1" outlineLevel="2">
      <c r="A3469" s="3" t="e">
        <f>(HYPERLINK("http://www.autodoc.ru/Web/price/art/4111AGNGN?analog=on","4111AGNGN"))*1</f>
        <v>#VALUE!</v>
      </c>
      <c r="B3469" s="1">
        <v>6963242</v>
      </c>
      <c r="C3469" t="s">
        <v>1495</v>
      </c>
      <c r="D3469" t="s">
        <v>3665</v>
      </c>
      <c r="E3469" t="s">
        <v>8</v>
      </c>
    </row>
    <row r="3470" spans="1:5" hidden="1" outlineLevel="2">
      <c r="A3470" s="3" t="e">
        <f>(HYPERLINK("http://www.autodoc.ru/Web/price/art/4111AKMSC?analog=on","4111AKMSC"))*1</f>
        <v>#VALUE!</v>
      </c>
      <c r="B3470" s="1">
        <v>6101013</v>
      </c>
      <c r="C3470" t="s">
        <v>19</v>
      </c>
      <c r="D3470" t="s">
        <v>3666</v>
      </c>
      <c r="E3470" t="s">
        <v>21</v>
      </c>
    </row>
    <row r="3471" spans="1:5" hidden="1" outlineLevel="2">
      <c r="A3471" s="3" t="e">
        <f>(HYPERLINK("http://www.autodoc.ru/Web/price/art/4111ASMHTB?analog=on","4111ASMHTB"))*1</f>
        <v>#VALUE!</v>
      </c>
      <c r="B3471" s="1">
        <v>6101003</v>
      </c>
      <c r="C3471" t="s">
        <v>19</v>
      </c>
      <c r="D3471" t="s">
        <v>3667</v>
      </c>
      <c r="E3471" t="s">
        <v>21</v>
      </c>
    </row>
    <row r="3472" spans="1:5" hidden="1" outlineLevel="2">
      <c r="A3472" s="3" t="e">
        <f>(HYPERLINK("http://www.autodoc.ru/Web/price/art/4111LGNS4FDW?analog=on","4111LGNS4FDW"))*1</f>
        <v>#VALUE!</v>
      </c>
      <c r="B3472" s="1">
        <v>6994170</v>
      </c>
      <c r="C3472" t="s">
        <v>1495</v>
      </c>
      <c r="D3472" t="s">
        <v>3668</v>
      </c>
      <c r="E3472" t="s">
        <v>10</v>
      </c>
    </row>
    <row r="3473" spans="1:5" hidden="1" outlineLevel="2">
      <c r="A3473" s="3" t="e">
        <f>(HYPERLINK("http://www.autodoc.ru/Web/price/art/4111LGNS4RDW?analog=on","4111LGNS4RDW"))*1</f>
        <v>#VALUE!</v>
      </c>
      <c r="B3473" s="1">
        <v>6994171</v>
      </c>
      <c r="C3473" t="s">
        <v>1495</v>
      </c>
      <c r="D3473" t="s">
        <v>3669</v>
      </c>
      <c r="E3473" t="s">
        <v>10</v>
      </c>
    </row>
    <row r="3474" spans="1:5" hidden="1" outlineLevel="2">
      <c r="A3474" s="3" t="e">
        <f>(HYPERLINK("http://www.autodoc.ru/Web/price/art/4111LGNS4RV?analog=on","4111LGNS4RV"))*1</f>
        <v>#VALUE!</v>
      </c>
      <c r="B3474" s="1">
        <v>6995270</v>
      </c>
      <c r="C3474" t="s">
        <v>1495</v>
      </c>
      <c r="D3474" t="s">
        <v>3670</v>
      </c>
      <c r="E3474" t="s">
        <v>10</v>
      </c>
    </row>
    <row r="3475" spans="1:5" hidden="1" outlineLevel="2">
      <c r="A3475" s="3" t="e">
        <f>(HYPERLINK("http://www.autodoc.ru/Web/price/art/4111RGNS4FDW?analog=on","4111RGNS4FDW"))*1</f>
        <v>#VALUE!</v>
      </c>
      <c r="B3475" s="1">
        <v>6994172</v>
      </c>
      <c r="C3475" t="s">
        <v>1495</v>
      </c>
      <c r="D3475" t="s">
        <v>3671</v>
      </c>
      <c r="E3475" t="s">
        <v>10</v>
      </c>
    </row>
    <row r="3476" spans="1:5" hidden="1" outlineLevel="2">
      <c r="A3476" s="3" t="e">
        <f>(HYPERLINK("http://www.autodoc.ru/Web/price/art/4111RGNS4RDW?analog=on","4111RGNS4RDW"))*1</f>
        <v>#VALUE!</v>
      </c>
      <c r="B3476" s="1">
        <v>6994173</v>
      </c>
      <c r="C3476" t="s">
        <v>1495</v>
      </c>
      <c r="D3476" t="s">
        <v>3672</v>
      </c>
      <c r="E3476" t="s">
        <v>10</v>
      </c>
    </row>
    <row r="3477" spans="1:5" hidden="1" outlineLevel="2">
      <c r="A3477" s="3" t="e">
        <f>(HYPERLINK("http://www.autodoc.ru/Web/price/art/4111RGNS4RV?analog=on","4111RGNS4RV"))*1</f>
        <v>#VALUE!</v>
      </c>
      <c r="B3477" s="1">
        <v>6995280</v>
      </c>
      <c r="C3477" t="s">
        <v>1495</v>
      </c>
      <c r="D3477" t="s">
        <v>3673</v>
      </c>
      <c r="E3477" t="s">
        <v>10</v>
      </c>
    </row>
    <row r="3478" spans="1:5" hidden="1" outlineLevel="1">
      <c r="A3478" s="2">
        <v>0</v>
      </c>
      <c r="B3478" s="26" t="s">
        <v>3674</v>
      </c>
      <c r="C3478" s="27">
        <v>0</v>
      </c>
      <c r="D3478" s="27">
        <v>0</v>
      </c>
      <c r="E3478" s="27">
        <v>0</v>
      </c>
    </row>
    <row r="3479" spans="1:5" hidden="1" outlineLevel="2">
      <c r="A3479" s="3" t="e">
        <f>(HYPERLINK("http://www.autodoc.ru/Web/price/art/4125AGNBL?analog=on","4125AGNBL"))*1</f>
        <v>#VALUE!</v>
      </c>
      <c r="B3479" s="1">
        <v>6960746</v>
      </c>
      <c r="C3479" t="s">
        <v>2176</v>
      </c>
      <c r="D3479" t="s">
        <v>3675</v>
      </c>
      <c r="E3479" t="s">
        <v>8</v>
      </c>
    </row>
    <row r="3480" spans="1:5" hidden="1" outlineLevel="2">
      <c r="A3480" s="3" t="e">
        <f>(HYPERLINK("http://www.autodoc.ru/Web/price/art/4125ASMH?analog=on","4125ASMH"))*1</f>
        <v>#VALUE!</v>
      </c>
      <c r="B3480" s="1">
        <v>6101000</v>
      </c>
      <c r="C3480" t="s">
        <v>19</v>
      </c>
      <c r="D3480" t="s">
        <v>3676</v>
      </c>
      <c r="E3480" t="s">
        <v>21</v>
      </c>
    </row>
    <row r="3481" spans="1:5" hidden="1" outlineLevel="2">
      <c r="A3481" s="3" t="e">
        <f>(HYPERLINK("http://www.autodoc.ru/Web/price/art/4125BGNH?analog=on","4125BGNH"))*1</f>
        <v>#VALUE!</v>
      </c>
      <c r="B3481" s="1">
        <v>6980304</v>
      </c>
      <c r="C3481" t="s">
        <v>2176</v>
      </c>
      <c r="D3481" t="s">
        <v>3677</v>
      </c>
      <c r="E3481" t="s">
        <v>23</v>
      </c>
    </row>
    <row r="3482" spans="1:5" hidden="1" outlineLevel="2">
      <c r="A3482" s="3" t="e">
        <f>(HYPERLINK("http://www.autodoc.ru/Web/price/art/4125LGNH5FD?analog=on","4125LGNH5FD"))*1</f>
        <v>#VALUE!</v>
      </c>
      <c r="B3482" s="1">
        <v>6995282</v>
      </c>
      <c r="C3482" t="s">
        <v>2176</v>
      </c>
      <c r="D3482" t="s">
        <v>3678</v>
      </c>
      <c r="E3482" t="s">
        <v>10</v>
      </c>
    </row>
    <row r="3483" spans="1:5" hidden="1" outlineLevel="2">
      <c r="A3483" s="3" t="e">
        <f>(HYPERLINK("http://www.autodoc.ru/Web/price/art/4125LGNH5RD?analog=on","4125LGNH5RD"))*1</f>
        <v>#VALUE!</v>
      </c>
      <c r="B3483" s="1">
        <v>6900151</v>
      </c>
      <c r="C3483" t="s">
        <v>2176</v>
      </c>
      <c r="D3483" t="s">
        <v>3679</v>
      </c>
      <c r="E3483" t="s">
        <v>10</v>
      </c>
    </row>
    <row r="3484" spans="1:5" hidden="1" outlineLevel="2">
      <c r="A3484" s="3" t="e">
        <f>(HYPERLINK("http://www.autodoc.ru/Web/price/art/4125RGNH5FD?analog=on","4125RGNH5FD"))*1</f>
        <v>#VALUE!</v>
      </c>
      <c r="B3484" s="1">
        <v>6995284</v>
      </c>
      <c r="C3484" t="s">
        <v>2176</v>
      </c>
      <c r="D3484" t="s">
        <v>3680</v>
      </c>
      <c r="E3484" t="s">
        <v>10</v>
      </c>
    </row>
    <row r="3485" spans="1:5" hidden="1" outlineLevel="2">
      <c r="A3485" s="3" t="e">
        <f>(HYPERLINK("http://www.autodoc.ru/Web/price/art/4125RGNH5RD?analog=on","4125RGNH5RD"))*1</f>
        <v>#VALUE!</v>
      </c>
      <c r="B3485" s="1">
        <v>6900229</v>
      </c>
      <c r="C3485" t="s">
        <v>2176</v>
      </c>
      <c r="D3485" t="s">
        <v>3681</v>
      </c>
      <c r="E3485" t="s">
        <v>10</v>
      </c>
    </row>
    <row r="3486" spans="1:5" hidden="1" outlineLevel="1">
      <c r="A3486" s="2">
        <v>0</v>
      </c>
      <c r="B3486" s="26" t="s">
        <v>3682</v>
      </c>
      <c r="C3486" s="27">
        <v>0</v>
      </c>
      <c r="D3486" s="27">
        <v>0</v>
      </c>
      <c r="E3486" s="27">
        <v>0</v>
      </c>
    </row>
    <row r="3487" spans="1:5" hidden="1" outlineLevel="2">
      <c r="A3487" s="3" t="e">
        <f>(HYPERLINK("http://www.autodoc.ru/Web/price/art/4130AGNBLHV?analog=on","4130AGNBLHV"))*1</f>
        <v>#VALUE!</v>
      </c>
      <c r="B3487" s="1">
        <v>6962227</v>
      </c>
      <c r="C3487" t="s">
        <v>904</v>
      </c>
      <c r="D3487" t="s">
        <v>3683</v>
      </c>
      <c r="E3487" t="s">
        <v>8</v>
      </c>
    </row>
    <row r="3488" spans="1:5" hidden="1" outlineLevel="2">
      <c r="A3488" s="3" t="e">
        <f>(HYPERLINK("http://www.autodoc.ru/Web/price/art/4130AGNBLV?analog=on","4130AGNBLV"))*1</f>
        <v>#VALUE!</v>
      </c>
      <c r="B3488" s="1">
        <v>6961359</v>
      </c>
      <c r="C3488" t="s">
        <v>904</v>
      </c>
      <c r="D3488" t="s">
        <v>3684</v>
      </c>
      <c r="E3488" t="s">
        <v>8</v>
      </c>
    </row>
    <row r="3489" spans="1:5" hidden="1" outlineLevel="2">
      <c r="A3489" s="3" t="e">
        <f>(HYPERLINK("http://www.autodoc.ru/Web/price/art/4130ASMST?analog=on","4130ASMST"))*1</f>
        <v>#VALUE!</v>
      </c>
      <c r="B3489" s="1">
        <v>6102047</v>
      </c>
      <c r="C3489" t="s">
        <v>19</v>
      </c>
      <c r="D3489" t="s">
        <v>3685</v>
      </c>
      <c r="E3489" t="s">
        <v>21</v>
      </c>
    </row>
    <row r="3490" spans="1:5" hidden="1" outlineLevel="2">
      <c r="A3490" s="3" t="e">
        <f>(HYPERLINK("http://www.autodoc.ru/Web/price/art/4130LGNS4FD?analog=on","4130LGNS4FD"))*1</f>
        <v>#VALUE!</v>
      </c>
      <c r="B3490" s="1">
        <v>6999955</v>
      </c>
      <c r="C3490" t="s">
        <v>904</v>
      </c>
      <c r="D3490" t="s">
        <v>3686</v>
      </c>
      <c r="E3490" t="s">
        <v>10</v>
      </c>
    </row>
    <row r="3491" spans="1:5" hidden="1" outlineLevel="2">
      <c r="A3491" s="3" t="e">
        <f>(HYPERLINK("http://www.autodoc.ru/Web/price/art/4130RGNS4FD?analog=on","4130RGNS4FD"))*1</f>
        <v>#VALUE!</v>
      </c>
      <c r="B3491" s="1">
        <v>6900045</v>
      </c>
      <c r="C3491" t="s">
        <v>904</v>
      </c>
      <c r="D3491" t="s">
        <v>3687</v>
      </c>
      <c r="E3491" t="s">
        <v>10</v>
      </c>
    </row>
    <row r="3492" spans="1:5" hidden="1" outlineLevel="1">
      <c r="A3492" s="2">
        <v>0</v>
      </c>
      <c r="B3492" s="26" t="s">
        <v>3688</v>
      </c>
      <c r="C3492" s="27">
        <v>0</v>
      </c>
      <c r="D3492" s="27">
        <v>0</v>
      </c>
      <c r="E3492" s="27">
        <v>0</v>
      </c>
    </row>
    <row r="3493" spans="1:5" hidden="1" outlineLevel="2">
      <c r="A3493" s="3" t="e">
        <f>(HYPERLINK("http://www.autodoc.ru/Web/price/art/4105ABL?analog=on","4105ABL"))*1</f>
        <v>#VALUE!</v>
      </c>
      <c r="B3493" s="1">
        <v>6967702</v>
      </c>
      <c r="C3493" t="s">
        <v>3344</v>
      </c>
      <c r="D3493" t="s">
        <v>3689</v>
      </c>
      <c r="E3493" t="s">
        <v>8</v>
      </c>
    </row>
    <row r="3494" spans="1:5" hidden="1" outlineLevel="2">
      <c r="A3494" s="3" t="e">
        <f>(HYPERLINK("http://www.autodoc.ru/Web/price/art/4105ABLBL?analog=on","4105ABLBL"))*1</f>
        <v>#VALUE!</v>
      </c>
      <c r="B3494" s="1">
        <v>6967704</v>
      </c>
      <c r="C3494" t="s">
        <v>3344</v>
      </c>
      <c r="D3494" t="s">
        <v>3690</v>
      </c>
      <c r="E3494" t="s">
        <v>8</v>
      </c>
    </row>
    <row r="3495" spans="1:5" hidden="1" outlineLevel="2">
      <c r="A3495" s="3" t="e">
        <f>(HYPERLINK("http://www.autodoc.ru/Web/price/art/4105ACL?analog=on","4105ACL"))*1</f>
        <v>#VALUE!</v>
      </c>
      <c r="B3495" s="1">
        <v>6967701</v>
      </c>
      <c r="C3495" t="s">
        <v>3344</v>
      </c>
      <c r="D3495" t="s">
        <v>3691</v>
      </c>
      <c r="E3495" t="s">
        <v>8</v>
      </c>
    </row>
    <row r="3496" spans="1:5" hidden="1" outlineLevel="2">
      <c r="A3496" s="3" t="e">
        <f>(HYPERLINK("http://www.autodoc.ru/Web/price/art/4105AGNBL?analog=on","4105AGNBL"))*1</f>
        <v>#VALUE!</v>
      </c>
      <c r="B3496" s="1">
        <v>6967703</v>
      </c>
      <c r="C3496" t="s">
        <v>3344</v>
      </c>
      <c r="D3496" t="s">
        <v>3692</v>
      </c>
      <c r="E3496" t="s">
        <v>8</v>
      </c>
    </row>
    <row r="3497" spans="1:5" hidden="1" outlineLevel="2">
      <c r="A3497" s="3" t="e">
        <f>(HYPERLINK("http://www.autodoc.ru/Web/price/art/4105AKMH?analog=on","4105AKMH"))*1</f>
        <v>#VALUE!</v>
      </c>
      <c r="B3497" s="1">
        <v>6100089</v>
      </c>
      <c r="C3497" t="s">
        <v>19</v>
      </c>
      <c r="D3497" t="s">
        <v>3693</v>
      </c>
      <c r="E3497" t="s">
        <v>21</v>
      </c>
    </row>
    <row r="3498" spans="1:5" hidden="1" outlineLevel="2">
      <c r="A3498" s="3" t="e">
        <f>(HYPERLINK("http://www.autodoc.ru/Web/price/art/4105ASMHT?analog=on","4105ASMHT"))*1</f>
        <v>#VALUE!</v>
      </c>
      <c r="B3498" s="1">
        <v>6101188</v>
      </c>
      <c r="C3498" t="s">
        <v>19</v>
      </c>
      <c r="D3498" t="s">
        <v>3694</v>
      </c>
      <c r="E3498" t="s">
        <v>21</v>
      </c>
    </row>
    <row r="3499" spans="1:5" hidden="1" outlineLevel="2">
      <c r="A3499" s="3" t="e">
        <f>(HYPERLINK("http://www.autodoc.ru/Web/price/art/4105BGNS?analog=on","4105BGNS"))*1</f>
        <v>#VALUE!</v>
      </c>
      <c r="B3499" s="1">
        <v>6997298</v>
      </c>
      <c r="C3499" t="s">
        <v>3344</v>
      </c>
      <c r="D3499" t="s">
        <v>3695</v>
      </c>
      <c r="E3499" t="s">
        <v>23</v>
      </c>
    </row>
    <row r="3500" spans="1:5" hidden="1" outlineLevel="2">
      <c r="A3500" s="3" t="e">
        <f>(HYPERLINK("http://www.autodoc.ru/Web/price/art/4105LBLH5FD?analog=on","4105LBLH5FD"))*1</f>
        <v>#VALUE!</v>
      </c>
      <c r="B3500" s="1">
        <v>6999371</v>
      </c>
      <c r="C3500" t="s">
        <v>3344</v>
      </c>
      <c r="D3500" t="s">
        <v>3696</v>
      </c>
      <c r="E3500" t="s">
        <v>10</v>
      </c>
    </row>
    <row r="3501" spans="1:5" hidden="1" outlineLevel="2">
      <c r="A3501" s="3" t="e">
        <f>(HYPERLINK("http://www.autodoc.ru/Web/price/art/4105LBLH5RD?analog=on","4105LBLH5RD"))*1</f>
        <v>#VALUE!</v>
      </c>
      <c r="B3501" s="1">
        <v>6999372</v>
      </c>
      <c r="C3501" t="s">
        <v>3344</v>
      </c>
      <c r="D3501" t="s">
        <v>3697</v>
      </c>
      <c r="E3501" t="s">
        <v>10</v>
      </c>
    </row>
    <row r="3502" spans="1:5" hidden="1" outlineLevel="2">
      <c r="A3502" s="3" t="e">
        <f>(HYPERLINK("http://www.autodoc.ru/Web/price/art/4105LGNH3FD?analog=on","4105LGNH3FD"))*1</f>
        <v>#VALUE!</v>
      </c>
      <c r="B3502" s="1">
        <v>6995705</v>
      </c>
      <c r="C3502" t="s">
        <v>3344</v>
      </c>
      <c r="D3502" t="s">
        <v>3698</v>
      </c>
      <c r="E3502" t="s">
        <v>10</v>
      </c>
    </row>
    <row r="3503" spans="1:5" hidden="1" outlineLevel="2">
      <c r="A3503" s="3" t="e">
        <f>(HYPERLINK("http://www.autodoc.ru/Web/price/art/4105LGNH5FD?analog=on","4105LGNH5FD"))*1</f>
        <v>#VALUE!</v>
      </c>
      <c r="B3503" s="1">
        <v>6999383</v>
      </c>
      <c r="C3503" t="s">
        <v>3344</v>
      </c>
      <c r="D3503" t="s">
        <v>3698</v>
      </c>
      <c r="E3503" t="s">
        <v>10</v>
      </c>
    </row>
    <row r="3504" spans="1:5" hidden="1" outlineLevel="2">
      <c r="A3504" s="3" t="e">
        <f>(HYPERLINK("http://www.autodoc.ru/Web/price/art/4105RBLH5FD?analog=on","4105RBLH5FD"))*1</f>
        <v>#VALUE!</v>
      </c>
      <c r="B3504" s="1">
        <v>6999374</v>
      </c>
      <c r="C3504" t="s">
        <v>3344</v>
      </c>
      <c r="D3504" t="s">
        <v>3699</v>
      </c>
      <c r="E3504" t="s">
        <v>10</v>
      </c>
    </row>
    <row r="3505" spans="1:5" hidden="1" outlineLevel="2">
      <c r="A3505" s="3" t="e">
        <f>(HYPERLINK("http://www.autodoc.ru/Web/price/art/4105RBLH5RD?analog=on","4105RBLH5RD"))*1</f>
        <v>#VALUE!</v>
      </c>
      <c r="B3505" s="1">
        <v>6999375</v>
      </c>
      <c r="C3505" t="s">
        <v>3344</v>
      </c>
      <c r="D3505" t="s">
        <v>3700</v>
      </c>
      <c r="E3505" t="s">
        <v>10</v>
      </c>
    </row>
    <row r="3506" spans="1:5" hidden="1" outlineLevel="2">
      <c r="A3506" s="3" t="e">
        <f>(HYPERLINK("http://www.autodoc.ru/Web/price/art/4105RCLH5FD?analog=on","4105RCLH5FD"))*1</f>
        <v>#VALUE!</v>
      </c>
      <c r="B3506" s="1">
        <v>6999382</v>
      </c>
      <c r="C3506" t="s">
        <v>3344</v>
      </c>
      <c r="D3506" t="s">
        <v>3701</v>
      </c>
      <c r="E3506" t="s">
        <v>10</v>
      </c>
    </row>
    <row r="3507" spans="1:5" hidden="1" outlineLevel="2">
      <c r="A3507" s="3" t="e">
        <f>(HYPERLINK("http://www.autodoc.ru/Web/price/art/4105RGNH3FD?analog=on","4105RGNH3FD"))*1</f>
        <v>#VALUE!</v>
      </c>
      <c r="B3507" s="1">
        <v>6995707</v>
      </c>
      <c r="C3507" t="s">
        <v>3344</v>
      </c>
      <c r="D3507" t="s">
        <v>3699</v>
      </c>
      <c r="E3507" t="s">
        <v>10</v>
      </c>
    </row>
    <row r="3508" spans="1:5" hidden="1" outlineLevel="2">
      <c r="A3508" s="3" t="e">
        <f>(HYPERLINK("http://www.autodoc.ru/Web/price/art/4105RGNH5FD?analog=on","4105RGNH5FD"))*1</f>
        <v>#VALUE!</v>
      </c>
      <c r="B3508" s="1">
        <v>6999384</v>
      </c>
      <c r="C3508" t="s">
        <v>3344</v>
      </c>
      <c r="D3508" t="s">
        <v>3699</v>
      </c>
      <c r="E3508" t="s">
        <v>10</v>
      </c>
    </row>
    <row r="3509" spans="1:5" hidden="1" outlineLevel="1">
      <c r="A3509" s="2">
        <v>0</v>
      </c>
      <c r="B3509" s="26" t="s">
        <v>3702</v>
      </c>
      <c r="C3509" s="27">
        <v>0</v>
      </c>
      <c r="D3509" s="27">
        <v>0</v>
      </c>
      <c r="E3509" s="27">
        <v>0</v>
      </c>
    </row>
    <row r="3510" spans="1:5" hidden="1" outlineLevel="2">
      <c r="A3510" s="3" t="e">
        <f>(HYPERLINK("http://www.autodoc.ru/Web/price/art/4102ACL?analog=on","4102ACL"))*1</f>
        <v>#VALUE!</v>
      </c>
      <c r="B3510" s="1">
        <v>6963625</v>
      </c>
      <c r="C3510" t="s">
        <v>3431</v>
      </c>
      <c r="D3510" t="s">
        <v>3703</v>
      </c>
      <c r="E3510" t="s">
        <v>8</v>
      </c>
    </row>
    <row r="3511" spans="1:5" hidden="1" outlineLevel="1">
      <c r="A3511" s="2">
        <v>0</v>
      </c>
      <c r="B3511" s="26" t="s">
        <v>3704</v>
      </c>
      <c r="C3511" s="27">
        <v>0</v>
      </c>
      <c r="D3511" s="27">
        <v>0</v>
      </c>
      <c r="E3511" s="27">
        <v>0</v>
      </c>
    </row>
    <row r="3512" spans="1:5" hidden="1" outlineLevel="2">
      <c r="A3512" s="3" t="e">
        <f>(HYPERLINK("http://www.autodoc.ru/Web/price/art/4123AGNBL?analog=on","4123AGNBL"))*1</f>
        <v>#VALUE!</v>
      </c>
      <c r="B3512" s="1">
        <v>6960700</v>
      </c>
      <c r="C3512" t="s">
        <v>540</v>
      </c>
      <c r="D3512" t="s">
        <v>3705</v>
      </c>
      <c r="E3512" t="s">
        <v>8</v>
      </c>
    </row>
    <row r="3513" spans="1:5" hidden="1" outlineLevel="2">
      <c r="A3513" s="3" t="e">
        <f>(HYPERLINK("http://www.autodoc.ru/Web/price/art/4123ASMR?analog=on","4123ASMR"))*1</f>
        <v>#VALUE!</v>
      </c>
      <c r="B3513" s="1">
        <v>6100609</v>
      </c>
      <c r="C3513" t="s">
        <v>19</v>
      </c>
      <c r="D3513" t="s">
        <v>3706</v>
      </c>
      <c r="E3513" t="s">
        <v>21</v>
      </c>
    </row>
    <row r="3514" spans="1:5" hidden="1" outlineLevel="2">
      <c r="A3514" s="3" t="e">
        <f>(HYPERLINK("http://www.autodoc.ru/Web/price/art/4123BGNR?analog=on","4123BGNR"))*1</f>
        <v>#VALUE!</v>
      </c>
      <c r="B3514" s="1">
        <v>6980048</v>
      </c>
      <c r="C3514" t="s">
        <v>540</v>
      </c>
      <c r="D3514" t="s">
        <v>3707</v>
      </c>
      <c r="E3514" t="s">
        <v>23</v>
      </c>
    </row>
    <row r="3515" spans="1:5" hidden="1" outlineLevel="2">
      <c r="A3515" s="3" t="e">
        <f>(HYPERLINK("http://www.autodoc.ru/Web/price/art/4123LGNR5FD?analog=on","4123LGNR5FD"))*1</f>
        <v>#VALUE!</v>
      </c>
      <c r="B3515" s="1">
        <v>6993112</v>
      </c>
      <c r="C3515" t="s">
        <v>540</v>
      </c>
      <c r="D3515" t="s">
        <v>3708</v>
      </c>
      <c r="E3515" t="s">
        <v>10</v>
      </c>
    </row>
    <row r="3516" spans="1:5" hidden="1" outlineLevel="2">
      <c r="A3516" s="3" t="e">
        <f>(HYPERLINK("http://www.autodoc.ru/Web/price/art/4123LGNR5RD?analog=on","4123LGNR5RD"))*1</f>
        <v>#VALUE!</v>
      </c>
      <c r="B3516" s="1">
        <v>6997617</v>
      </c>
      <c r="C3516" t="s">
        <v>540</v>
      </c>
      <c r="D3516" t="s">
        <v>3709</v>
      </c>
      <c r="E3516" t="s">
        <v>10</v>
      </c>
    </row>
    <row r="3517" spans="1:5" hidden="1" outlineLevel="2">
      <c r="A3517" s="3" t="e">
        <f>(HYPERLINK("http://www.autodoc.ru/Web/price/art/4123RGNR5FD?analog=on","4123RGNR5FD"))*1</f>
        <v>#VALUE!</v>
      </c>
      <c r="B3517" s="1">
        <v>6993113</v>
      </c>
      <c r="C3517" t="s">
        <v>540</v>
      </c>
      <c r="D3517" t="s">
        <v>3710</v>
      </c>
      <c r="E3517" t="s">
        <v>10</v>
      </c>
    </row>
    <row r="3518" spans="1:5" hidden="1" outlineLevel="2">
      <c r="A3518" s="3" t="e">
        <f>(HYPERLINK("http://www.autodoc.ru/Web/price/art/4123RGNR5RD?analog=on","4123RGNR5RD"))*1</f>
        <v>#VALUE!</v>
      </c>
      <c r="B3518" s="1">
        <v>6997618</v>
      </c>
      <c r="C3518" t="s">
        <v>540</v>
      </c>
      <c r="D3518" t="s">
        <v>3711</v>
      </c>
      <c r="E3518" t="s">
        <v>10</v>
      </c>
    </row>
    <row r="3519" spans="1:5" hidden="1" outlineLevel="1">
      <c r="A3519" s="2">
        <v>0</v>
      </c>
      <c r="B3519" s="26" t="s">
        <v>3712</v>
      </c>
      <c r="C3519" s="27">
        <v>0</v>
      </c>
      <c r="D3519" s="27">
        <v>0</v>
      </c>
      <c r="E3519" s="27">
        <v>0</v>
      </c>
    </row>
    <row r="3520" spans="1:5" hidden="1" outlineLevel="2">
      <c r="A3520" s="3" t="e">
        <f>(HYPERLINK("http://www.autodoc.ru/Web/price/art/4133AGNBLHMV1B?analog=on","4133AGNBLHMV1B"))*1</f>
        <v>#VALUE!</v>
      </c>
      <c r="B3520" s="1">
        <v>6962243</v>
      </c>
      <c r="C3520" t="s">
        <v>997</v>
      </c>
      <c r="D3520" t="s">
        <v>3713</v>
      </c>
      <c r="E3520" t="s">
        <v>8</v>
      </c>
    </row>
    <row r="3521" spans="1:5" hidden="1" outlineLevel="2">
      <c r="A3521" s="3" t="e">
        <f>(HYPERLINK("http://www.autodoc.ru/Web/price/art/4133AGNBLHV?analog=on","4133AGNBLHV"))*1</f>
        <v>#VALUE!</v>
      </c>
      <c r="B3521" s="1">
        <v>6962849</v>
      </c>
      <c r="C3521" t="s">
        <v>997</v>
      </c>
      <c r="D3521" t="s">
        <v>3714</v>
      </c>
      <c r="E3521" t="s">
        <v>8</v>
      </c>
    </row>
    <row r="3522" spans="1:5" hidden="1" outlineLevel="2">
      <c r="A3522" s="3" t="e">
        <f>(HYPERLINK("http://www.autodoc.ru/Web/price/art/4133AGNBLHV2C?analog=on","4133AGNBLHV2C"))*1</f>
        <v>#VALUE!</v>
      </c>
      <c r="B3522" s="1">
        <v>6965779</v>
      </c>
      <c r="C3522" t="s">
        <v>997</v>
      </c>
      <c r="D3522" t="s">
        <v>3715</v>
      </c>
      <c r="E3522" t="s">
        <v>8</v>
      </c>
    </row>
    <row r="3523" spans="1:5" hidden="1" outlineLevel="2">
      <c r="A3523" s="3" t="e">
        <f>(HYPERLINK("http://www.autodoc.ru/Web/price/art/4133AGNBLMV1B?analog=on","4133AGNBLMV1B"))*1</f>
        <v>#VALUE!</v>
      </c>
      <c r="B3523" s="1">
        <v>6961781</v>
      </c>
      <c r="C3523" t="s">
        <v>997</v>
      </c>
      <c r="D3523" t="s">
        <v>3716</v>
      </c>
      <c r="E3523" t="s">
        <v>8</v>
      </c>
    </row>
    <row r="3524" spans="1:5" hidden="1" outlineLevel="2">
      <c r="A3524" s="3" t="e">
        <f>(HYPERLINK("http://www.autodoc.ru/Web/price/art/4133AGNBLV?analog=on","4133AGNBLV"))*1</f>
        <v>#VALUE!</v>
      </c>
      <c r="B3524" s="1">
        <v>6961780</v>
      </c>
      <c r="C3524" t="s">
        <v>997</v>
      </c>
      <c r="D3524" t="s">
        <v>3717</v>
      </c>
      <c r="E3524" t="s">
        <v>8</v>
      </c>
    </row>
    <row r="3525" spans="1:5" hidden="1" outlineLevel="2">
      <c r="A3525" s="3" t="e">
        <f>(HYPERLINK("http://www.autodoc.ru/Web/price/art/4133BGNR?analog=on","4133BGNR"))*1</f>
        <v>#VALUE!</v>
      </c>
      <c r="B3525" s="1">
        <v>6900565</v>
      </c>
      <c r="C3525" t="s">
        <v>997</v>
      </c>
      <c r="D3525" t="s">
        <v>3718</v>
      </c>
      <c r="E3525" t="s">
        <v>23</v>
      </c>
    </row>
    <row r="3526" spans="1:5" hidden="1" outlineLevel="2">
      <c r="A3526" s="3" t="e">
        <f>(HYPERLINK("http://www.autodoc.ru/Web/price/art/4133LGNR5FD?analog=on","4133LGNR5FD"))*1</f>
        <v>#VALUE!</v>
      </c>
      <c r="B3526" s="1">
        <v>6999952</v>
      </c>
      <c r="C3526" t="s">
        <v>997</v>
      </c>
      <c r="D3526" t="s">
        <v>3719</v>
      </c>
      <c r="E3526" t="s">
        <v>10</v>
      </c>
    </row>
    <row r="3527" spans="1:5" hidden="1" outlineLevel="2">
      <c r="A3527" s="3" t="e">
        <f>(HYPERLINK("http://www.autodoc.ru/Web/price/art/4133LGNR5RDW?analog=on","4133LGNR5RDW"))*1</f>
        <v>#VALUE!</v>
      </c>
      <c r="B3527" s="1">
        <v>6900579</v>
      </c>
      <c r="C3527" t="s">
        <v>997</v>
      </c>
      <c r="D3527" t="s">
        <v>3720</v>
      </c>
      <c r="E3527" t="s">
        <v>10</v>
      </c>
    </row>
    <row r="3528" spans="1:5" hidden="1" outlineLevel="2">
      <c r="A3528" s="3" t="e">
        <f>(HYPERLINK("http://www.autodoc.ru/Web/price/art/4133LGNR5RV?analog=on","4133LGNR5RV"))*1</f>
        <v>#VALUE!</v>
      </c>
      <c r="B3528" s="1">
        <v>6900584</v>
      </c>
      <c r="C3528" t="s">
        <v>997</v>
      </c>
      <c r="D3528" t="s">
        <v>3721</v>
      </c>
      <c r="E3528" t="s">
        <v>10</v>
      </c>
    </row>
    <row r="3529" spans="1:5" hidden="1" outlineLevel="2">
      <c r="A3529" s="3" t="e">
        <f>(HYPERLINK("http://www.autodoc.ru/Web/price/art/4133RGNR5FD?analog=on","4133RGNR5FD"))*1</f>
        <v>#VALUE!</v>
      </c>
      <c r="B3529" s="1">
        <v>6900043</v>
      </c>
      <c r="C3529" t="s">
        <v>997</v>
      </c>
      <c r="D3529" t="s">
        <v>3722</v>
      </c>
      <c r="E3529" t="s">
        <v>10</v>
      </c>
    </row>
    <row r="3530" spans="1:5" hidden="1" outlineLevel="2">
      <c r="A3530" s="3" t="e">
        <f>(HYPERLINK("http://www.autodoc.ru/Web/price/art/4133RGNR5RDW?analog=on","4133RGNR5RDW"))*1</f>
        <v>#VALUE!</v>
      </c>
      <c r="B3530" s="1">
        <v>6900515</v>
      </c>
      <c r="C3530" t="s">
        <v>997</v>
      </c>
      <c r="D3530" t="s">
        <v>3723</v>
      </c>
      <c r="E3530" t="s">
        <v>10</v>
      </c>
    </row>
    <row r="3531" spans="1:5" hidden="1" outlineLevel="2">
      <c r="A3531" s="3" t="e">
        <f>(HYPERLINK("http://www.autodoc.ru/Web/price/art/4133RGNR5RV?analog=on","4133RGNR5RV"))*1</f>
        <v>#VALUE!</v>
      </c>
      <c r="B3531" s="1">
        <v>6900585</v>
      </c>
      <c r="C3531" t="s">
        <v>997</v>
      </c>
      <c r="D3531" t="s">
        <v>3724</v>
      </c>
      <c r="E3531" t="s">
        <v>10</v>
      </c>
    </row>
    <row r="3532" spans="1:5" hidden="1" outlineLevel="1">
      <c r="A3532" s="2">
        <v>0</v>
      </c>
      <c r="B3532" s="26" t="s">
        <v>3725</v>
      </c>
      <c r="C3532" s="27">
        <v>0</v>
      </c>
      <c r="D3532" s="27">
        <v>0</v>
      </c>
      <c r="E3532" s="27">
        <v>0</v>
      </c>
    </row>
    <row r="3533" spans="1:5" hidden="1" outlineLevel="2">
      <c r="A3533" s="3" t="e">
        <f>(HYPERLINK("http://www.autodoc.ru/Web/price/art/41A1AGNBL?analog=on","41A1AGNBL"))*1</f>
        <v>#VALUE!</v>
      </c>
      <c r="B3533" s="1">
        <v>6190311</v>
      </c>
      <c r="C3533" t="s">
        <v>19</v>
      </c>
      <c r="D3533" t="s">
        <v>3726</v>
      </c>
      <c r="E3533" t="s">
        <v>8</v>
      </c>
    </row>
    <row r="3534" spans="1:5" hidden="1" outlineLevel="1">
      <c r="A3534" s="2">
        <v>0</v>
      </c>
      <c r="B3534" s="26" t="s">
        <v>3727</v>
      </c>
      <c r="C3534" s="27">
        <v>0</v>
      </c>
      <c r="D3534" s="27">
        <v>0</v>
      </c>
      <c r="E3534" s="27">
        <v>0</v>
      </c>
    </row>
    <row r="3535" spans="1:5" hidden="1" outlineLevel="2">
      <c r="A3535" s="3" t="e">
        <f>(HYPERLINK("http://www.autodoc.ru/Web/price/art/4150AGNBLHV?analog=on","4150AGNBLHV"))*1</f>
        <v>#VALUE!</v>
      </c>
      <c r="B3535" s="1">
        <v>6965391</v>
      </c>
      <c r="C3535" t="s">
        <v>341</v>
      </c>
      <c r="D3535" t="s">
        <v>3728</v>
      </c>
      <c r="E3535" t="s">
        <v>8</v>
      </c>
    </row>
    <row r="3536" spans="1:5" hidden="1" outlineLevel="1">
      <c r="A3536" s="2">
        <v>0</v>
      </c>
      <c r="B3536" s="26" t="s">
        <v>3729</v>
      </c>
      <c r="C3536" s="27">
        <v>0</v>
      </c>
      <c r="D3536" s="27">
        <v>0</v>
      </c>
      <c r="E3536" s="27">
        <v>0</v>
      </c>
    </row>
    <row r="3537" spans="1:5" hidden="1" outlineLevel="2">
      <c r="A3537" s="3" t="e">
        <f>(HYPERLINK("http://www.autodoc.ru/Web/price/art/4103AGNBL?analog=on","4103AGNBL"))*1</f>
        <v>#VALUE!</v>
      </c>
      <c r="B3537" s="1">
        <v>6963626</v>
      </c>
      <c r="C3537" t="s">
        <v>2379</v>
      </c>
      <c r="D3537" t="s">
        <v>3730</v>
      </c>
      <c r="E3537" t="s">
        <v>8</v>
      </c>
    </row>
    <row r="3538" spans="1:5" hidden="1" outlineLevel="2">
      <c r="A3538" s="3" t="e">
        <f>(HYPERLINK("http://www.autodoc.ru/Web/price/art/4103BGNS?analog=on","4103BGNS"))*1</f>
        <v>#VALUE!</v>
      </c>
      <c r="B3538" s="1">
        <v>6998948</v>
      </c>
      <c r="C3538" t="s">
        <v>2379</v>
      </c>
      <c r="D3538" t="s">
        <v>3731</v>
      </c>
      <c r="E3538" t="s">
        <v>23</v>
      </c>
    </row>
    <row r="3539" spans="1:5" hidden="1" outlineLevel="2">
      <c r="A3539" s="3" t="e">
        <f>(HYPERLINK("http://www.autodoc.ru/Web/price/art/4103LGNS4FD?analog=on","4103LGNS4FD"))*1</f>
        <v>#VALUE!</v>
      </c>
      <c r="B3539" s="1">
        <v>6996987</v>
      </c>
      <c r="C3539" t="s">
        <v>2379</v>
      </c>
      <c r="D3539" t="s">
        <v>3732</v>
      </c>
      <c r="E3539" t="s">
        <v>10</v>
      </c>
    </row>
    <row r="3540" spans="1:5" hidden="1" outlineLevel="2">
      <c r="A3540" s="3" t="e">
        <f>(HYPERLINK("http://www.autodoc.ru/Web/price/art/4103LGNS4RD?analog=on","4103LGNS4RD"))*1</f>
        <v>#VALUE!</v>
      </c>
      <c r="B3540" s="1">
        <v>6999369</v>
      </c>
      <c r="C3540" t="s">
        <v>2379</v>
      </c>
      <c r="D3540" t="s">
        <v>3733</v>
      </c>
      <c r="E3540" t="s">
        <v>10</v>
      </c>
    </row>
    <row r="3541" spans="1:5" hidden="1" outlineLevel="2">
      <c r="A3541" s="3" t="e">
        <f>(HYPERLINK("http://www.autodoc.ru/Web/price/art/4103RGNS4FD?analog=on","4103RGNS4FD"))*1</f>
        <v>#VALUE!</v>
      </c>
      <c r="B3541" s="1">
        <v>6996988</v>
      </c>
      <c r="C3541" t="s">
        <v>2379</v>
      </c>
      <c r="D3541" t="s">
        <v>3734</v>
      </c>
      <c r="E3541" t="s">
        <v>10</v>
      </c>
    </row>
    <row r="3542" spans="1:5" hidden="1" outlineLevel="1">
      <c r="A3542" s="2">
        <v>0</v>
      </c>
      <c r="B3542" s="26" t="s">
        <v>3735</v>
      </c>
      <c r="C3542" s="27">
        <v>0</v>
      </c>
      <c r="D3542" s="27">
        <v>0</v>
      </c>
      <c r="E3542" s="27">
        <v>0</v>
      </c>
    </row>
    <row r="3543" spans="1:5" hidden="1" outlineLevel="2">
      <c r="A3543" s="3" t="e">
        <f>(HYPERLINK("http://www.autodoc.ru/Web/price/art/4108AGN?analog=on","4108AGN"))*1</f>
        <v>#VALUE!</v>
      </c>
      <c r="B3543" s="1">
        <v>6964243</v>
      </c>
      <c r="C3543" t="s">
        <v>354</v>
      </c>
      <c r="D3543" t="s">
        <v>3736</v>
      </c>
      <c r="E3543" t="s">
        <v>8</v>
      </c>
    </row>
    <row r="3544" spans="1:5" hidden="1" outlineLevel="2">
      <c r="A3544" s="3" t="e">
        <f>(HYPERLINK("http://www.autodoc.ru/Web/price/art/4108AGNBL?analog=on","4108AGNBL"))*1</f>
        <v>#VALUE!</v>
      </c>
      <c r="B3544" s="1">
        <v>6963382</v>
      </c>
      <c r="C3544" t="s">
        <v>354</v>
      </c>
      <c r="D3544" t="s">
        <v>3737</v>
      </c>
      <c r="E3544" t="s">
        <v>8</v>
      </c>
    </row>
    <row r="3545" spans="1:5" hidden="1" outlineLevel="2">
      <c r="A3545" s="3" t="e">
        <f>(HYPERLINK("http://www.autodoc.ru/Web/price/art/4108AGNBL1C?analog=on","4108AGNBL1C"))*1</f>
        <v>#VALUE!</v>
      </c>
      <c r="B3545" s="1">
        <v>6961009</v>
      </c>
      <c r="C3545" t="s">
        <v>354</v>
      </c>
      <c r="D3545" t="s">
        <v>3738</v>
      </c>
      <c r="E3545" t="s">
        <v>8</v>
      </c>
    </row>
    <row r="3546" spans="1:5" hidden="1" outlineLevel="2">
      <c r="A3546" s="3" t="e">
        <f>(HYPERLINK("http://www.autodoc.ru/Web/price/art/4108AKMS?analog=on","4108AKMS"))*1</f>
        <v>#VALUE!</v>
      </c>
      <c r="B3546" s="1">
        <v>6102340</v>
      </c>
      <c r="C3546" t="s">
        <v>19</v>
      </c>
      <c r="D3546" t="s">
        <v>3739</v>
      </c>
      <c r="E3546" t="s">
        <v>21</v>
      </c>
    </row>
    <row r="3547" spans="1:5" hidden="1" outlineLevel="2">
      <c r="A3547" s="3" t="e">
        <f>(HYPERLINK("http://www.autodoc.ru/Web/price/art/4108AKMSC?analog=on","4108AKMSC"))*1</f>
        <v>#VALUE!</v>
      </c>
      <c r="B3547" s="1">
        <v>6101138</v>
      </c>
      <c r="C3547" t="s">
        <v>19</v>
      </c>
      <c r="D3547" t="s">
        <v>3740</v>
      </c>
      <c r="E3547" t="s">
        <v>21</v>
      </c>
    </row>
    <row r="3548" spans="1:5" hidden="1" outlineLevel="2">
      <c r="A3548" s="3" t="e">
        <f>(HYPERLINK("http://www.autodoc.ru/Web/price/art/4108LGNS4FD?analog=on","4108LGNS4FD"))*1</f>
        <v>#VALUE!</v>
      </c>
      <c r="B3548" s="1">
        <v>6999387</v>
      </c>
      <c r="C3548" t="s">
        <v>354</v>
      </c>
      <c r="D3548" t="s">
        <v>3741</v>
      </c>
      <c r="E3548" t="s">
        <v>10</v>
      </c>
    </row>
    <row r="3549" spans="1:5" hidden="1" outlineLevel="2">
      <c r="A3549" s="3" t="e">
        <f>(HYPERLINK("http://www.autodoc.ru/Web/price/art/4108LGNS4RD?analog=on","4108LGNS4RD"))*1</f>
        <v>#VALUE!</v>
      </c>
      <c r="B3549" s="1">
        <v>6999388</v>
      </c>
      <c r="C3549" t="s">
        <v>354</v>
      </c>
      <c r="D3549" t="s">
        <v>3742</v>
      </c>
      <c r="E3549" t="s">
        <v>10</v>
      </c>
    </row>
    <row r="3550" spans="1:5" hidden="1" outlineLevel="2">
      <c r="A3550" s="3" t="e">
        <f>(HYPERLINK("http://www.autodoc.ru/Web/price/art/4108RBLS4RV?analog=on","4108RBLS4RV"))*1</f>
        <v>#VALUE!</v>
      </c>
      <c r="B3550" s="1">
        <v>6900312</v>
      </c>
      <c r="C3550" t="s">
        <v>354</v>
      </c>
      <c r="D3550" t="s">
        <v>3743</v>
      </c>
      <c r="E3550" t="s">
        <v>10</v>
      </c>
    </row>
    <row r="3551" spans="1:5" hidden="1" outlineLevel="2">
      <c r="A3551" s="3" t="e">
        <f>(HYPERLINK("http://www.autodoc.ru/Web/price/art/4108RGNS4FD?analog=on","4108RGNS4FD"))*1</f>
        <v>#VALUE!</v>
      </c>
      <c r="B3551" s="1">
        <v>6999389</v>
      </c>
      <c r="C3551" t="s">
        <v>354</v>
      </c>
      <c r="D3551" t="s">
        <v>3744</v>
      </c>
      <c r="E3551" t="s">
        <v>10</v>
      </c>
    </row>
    <row r="3552" spans="1:5" hidden="1" outlineLevel="1">
      <c r="A3552" s="2">
        <v>0</v>
      </c>
      <c r="B3552" s="26" t="s">
        <v>3745</v>
      </c>
      <c r="C3552" s="27">
        <v>0</v>
      </c>
      <c r="D3552" s="27">
        <v>0</v>
      </c>
      <c r="E3552" s="27">
        <v>0</v>
      </c>
    </row>
    <row r="3553" spans="1:5" hidden="1" outlineLevel="2">
      <c r="A3553" s="3" t="e">
        <f>(HYPERLINK("http://www.autodoc.ru/Web/price/art/4117AGNBL?analog=on","4117AGNBL"))*1</f>
        <v>#VALUE!</v>
      </c>
      <c r="B3553" s="1">
        <v>6960673</v>
      </c>
      <c r="C3553" t="s">
        <v>1134</v>
      </c>
      <c r="D3553" t="s">
        <v>3746</v>
      </c>
      <c r="E3553" t="s">
        <v>8</v>
      </c>
    </row>
    <row r="3554" spans="1:5" hidden="1" outlineLevel="2">
      <c r="A3554" s="3" t="e">
        <f>(HYPERLINK("http://www.autodoc.ru/Web/price/art/4117ASMS?analog=on","4117ASMS"))*1</f>
        <v>#VALUE!</v>
      </c>
      <c r="B3554" s="1">
        <v>6101383</v>
      </c>
      <c r="C3554" t="s">
        <v>19</v>
      </c>
      <c r="D3554" t="s">
        <v>3747</v>
      </c>
      <c r="E3554" t="s">
        <v>21</v>
      </c>
    </row>
    <row r="3555" spans="1:5" hidden="1" outlineLevel="2">
      <c r="A3555" s="3" t="e">
        <f>(HYPERLINK("http://www.autodoc.ru/Web/price/art/4117BGNS?analog=on","4117BGNS"))*1</f>
        <v>#VALUE!</v>
      </c>
      <c r="B3555" s="1">
        <v>6980301</v>
      </c>
      <c r="C3555" t="s">
        <v>1134</v>
      </c>
      <c r="D3555" t="s">
        <v>3748</v>
      </c>
      <c r="E3555" t="s">
        <v>23</v>
      </c>
    </row>
    <row r="3556" spans="1:5" hidden="1" outlineLevel="2">
      <c r="A3556" s="3" t="e">
        <f>(HYPERLINK("http://www.autodoc.ru/Web/price/art/4117LGNS4FDW?analog=on","4117LGNS4FDW"))*1</f>
        <v>#VALUE!</v>
      </c>
      <c r="B3556" s="1">
        <v>6999954</v>
      </c>
      <c r="C3556" t="s">
        <v>1134</v>
      </c>
      <c r="D3556" t="s">
        <v>3749</v>
      </c>
      <c r="E3556" t="s">
        <v>10</v>
      </c>
    </row>
    <row r="3557" spans="1:5" hidden="1" outlineLevel="2">
      <c r="A3557" s="3" t="e">
        <f>(HYPERLINK("http://www.autodoc.ru/Web/price/art/4117LGNS4RDW?analog=on","4117LGNS4RDW"))*1</f>
        <v>#VALUE!</v>
      </c>
      <c r="B3557" s="1">
        <v>6900152</v>
      </c>
      <c r="C3557" t="s">
        <v>1134</v>
      </c>
      <c r="D3557" t="s">
        <v>3750</v>
      </c>
      <c r="E3557" t="s">
        <v>10</v>
      </c>
    </row>
    <row r="3558" spans="1:5" hidden="1" outlineLevel="2">
      <c r="A3558" s="3" t="e">
        <f>(HYPERLINK("http://www.autodoc.ru/Web/price/art/4117RGNS4FDW?analog=on","4117RGNS4FDW"))*1</f>
        <v>#VALUE!</v>
      </c>
      <c r="B3558" s="1">
        <v>6900044</v>
      </c>
      <c r="C3558" t="s">
        <v>1134</v>
      </c>
      <c r="D3558" t="s">
        <v>3751</v>
      </c>
      <c r="E3558" t="s">
        <v>10</v>
      </c>
    </row>
    <row r="3559" spans="1:5" hidden="1" outlineLevel="2">
      <c r="A3559" s="3" t="e">
        <f>(HYPERLINK("http://www.autodoc.ru/Web/price/art/4117RGNS4RDW?analog=on","4117RGNS4RDW"))*1</f>
        <v>#VALUE!</v>
      </c>
      <c r="B3559" s="1">
        <v>6900230</v>
      </c>
      <c r="C3559" t="s">
        <v>1134</v>
      </c>
      <c r="D3559" t="s">
        <v>3752</v>
      </c>
      <c r="E3559" t="s">
        <v>10</v>
      </c>
    </row>
    <row r="3560" spans="1:5" hidden="1" outlineLevel="1">
      <c r="A3560" s="2">
        <v>0</v>
      </c>
      <c r="B3560" s="26" t="s">
        <v>3753</v>
      </c>
      <c r="C3560" s="27">
        <v>0</v>
      </c>
      <c r="D3560" s="27">
        <v>0</v>
      </c>
      <c r="E3560" s="27">
        <v>0</v>
      </c>
    </row>
    <row r="3561" spans="1:5" hidden="1" outlineLevel="2">
      <c r="A3561" s="3" t="e">
        <f>(HYPERLINK("http://www.autodoc.ru/Web/price/art/4124AGNBL?analog=on","4124AGNBL"))*1</f>
        <v>#VALUE!</v>
      </c>
      <c r="B3561" s="1">
        <v>6960779</v>
      </c>
      <c r="C3561" t="s">
        <v>641</v>
      </c>
      <c r="D3561" t="s">
        <v>3754</v>
      </c>
      <c r="E3561" t="s">
        <v>8</v>
      </c>
    </row>
    <row r="3562" spans="1:5" hidden="1" outlineLevel="2">
      <c r="A3562" s="3" t="e">
        <f>(HYPERLINK("http://www.autodoc.ru/Web/price/art/4124ASMR?analog=on","4124ASMR"))*1</f>
        <v>#VALUE!</v>
      </c>
      <c r="B3562" s="1">
        <v>6101011</v>
      </c>
      <c r="C3562" t="s">
        <v>19</v>
      </c>
      <c r="D3562" t="s">
        <v>3755</v>
      </c>
      <c r="E3562" t="s">
        <v>21</v>
      </c>
    </row>
    <row r="3563" spans="1:5" hidden="1" outlineLevel="2">
      <c r="A3563" s="3" t="e">
        <f>(HYPERLINK("http://www.autodoc.ru/Web/price/art/4124LGNR5FD?analog=on","4124LGNR5FD"))*1</f>
        <v>#VALUE!</v>
      </c>
      <c r="B3563" s="1">
        <v>6996196</v>
      </c>
      <c r="C3563" t="s">
        <v>641</v>
      </c>
      <c r="D3563" t="s">
        <v>3756</v>
      </c>
      <c r="E3563" t="s">
        <v>10</v>
      </c>
    </row>
    <row r="3564" spans="1:5" hidden="1" outlineLevel="2">
      <c r="A3564" s="3" t="e">
        <f>(HYPERLINK("http://www.autodoc.ru/Web/price/art/4124LGNR5RD?analog=on","4124LGNR5RD"))*1</f>
        <v>#VALUE!</v>
      </c>
      <c r="B3564" s="1">
        <v>6900153</v>
      </c>
      <c r="C3564" t="s">
        <v>641</v>
      </c>
      <c r="D3564" t="s">
        <v>3757</v>
      </c>
      <c r="E3564" t="s">
        <v>10</v>
      </c>
    </row>
    <row r="3565" spans="1:5" hidden="1" outlineLevel="2">
      <c r="A3565" s="3" t="e">
        <f>(HYPERLINK("http://www.autodoc.ru/Web/price/art/4124LGNR5RV?analog=on","4124LGNR5RV"))*1</f>
        <v>#VALUE!</v>
      </c>
      <c r="B3565" s="1">
        <v>6900296</v>
      </c>
      <c r="C3565" t="s">
        <v>641</v>
      </c>
      <c r="D3565" t="s">
        <v>3758</v>
      </c>
      <c r="E3565" t="s">
        <v>10</v>
      </c>
    </row>
    <row r="3566" spans="1:5" hidden="1" outlineLevel="2">
      <c r="A3566" s="3" t="e">
        <f>(HYPERLINK("http://www.autodoc.ru/Web/price/art/4124RGNR5FD?analog=on","4124RGNR5FD"))*1</f>
        <v>#VALUE!</v>
      </c>
      <c r="B3566" s="1">
        <v>6996197</v>
      </c>
      <c r="C3566" t="s">
        <v>641</v>
      </c>
      <c r="D3566" t="s">
        <v>3759</v>
      </c>
      <c r="E3566" t="s">
        <v>10</v>
      </c>
    </row>
    <row r="3567" spans="1:5" hidden="1" outlineLevel="2">
      <c r="A3567" s="3" t="e">
        <f>(HYPERLINK("http://www.autodoc.ru/Web/price/art/4124RGNR5RD?analog=on","4124RGNR5RD"))*1</f>
        <v>#VALUE!</v>
      </c>
      <c r="B3567" s="1">
        <v>6900237</v>
      </c>
      <c r="C3567" t="s">
        <v>641</v>
      </c>
      <c r="D3567" t="s">
        <v>3760</v>
      </c>
      <c r="E3567" t="s">
        <v>10</v>
      </c>
    </row>
    <row r="3568" spans="1:5" hidden="1" outlineLevel="2">
      <c r="A3568" s="3" t="e">
        <f>(HYPERLINK("http://www.autodoc.ru/Web/price/art/4124RGNR5RV?analog=on","4124RGNR5RV"))*1</f>
        <v>#VALUE!</v>
      </c>
      <c r="B3568" s="1">
        <v>6900313</v>
      </c>
      <c r="C3568" t="s">
        <v>641</v>
      </c>
      <c r="D3568" t="s">
        <v>3761</v>
      </c>
      <c r="E3568" t="s">
        <v>10</v>
      </c>
    </row>
    <row r="3569" spans="1:5" hidden="1" outlineLevel="1">
      <c r="A3569" s="2">
        <v>0</v>
      </c>
      <c r="B3569" s="26" t="s">
        <v>3762</v>
      </c>
      <c r="C3569" s="27">
        <v>0</v>
      </c>
      <c r="D3569" s="27">
        <v>0</v>
      </c>
      <c r="E3569" s="27">
        <v>0</v>
      </c>
    </row>
    <row r="3570" spans="1:5" hidden="1" outlineLevel="2">
      <c r="A3570" s="3" t="e">
        <f>(HYPERLINK("http://www.autodoc.ru/Web/price/art/4120AGNBL?analog=on","4120AGNBL"))*1</f>
        <v>#VALUE!</v>
      </c>
      <c r="B3570" s="1">
        <v>6960701</v>
      </c>
      <c r="C3570" t="s">
        <v>779</v>
      </c>
      <c r="D3570" t="s">
        <v>3763</v>
      </c>
      <c r="E3570" t="s">
        <v>8</v>
      </c>
    </row>
    <row r="3571" spans="1:5" hidden="1" outlineLevel="2">
      <c r="A3571" s="3" t="e">
        <f>(HYPERLINK("http://www.autodoc.ru/Web/price/art/4120ASMV?analog=on","4120ASMV"))*1</f>
        <v>#VALUE!</v>
      </c>
      <c r="B3571" s="1">
        <v>6101012</v>
      </c>
      <c r="C3571" t="s">
        <v>19</v>
      </c>
      <c r="D3571" t="s">
        <v>3764</v>
      </c>
      <c r="E3571" t="s">
        <v>21</v>
      </c>
    </row>
    <row r="3572" spans="1:5" hidden="1" outlineLevel="2">
      <c r="A3572" s="3" t="e">
        <f>(HYPERLINK("http://www.autodoc.ru/Web/price/art/4120LGNV5FDW?analog=on","4120LGNV5FDW"))*1</f>
        <v>#VALUE!</v>
      </c>
      <c r="B3572" s="1">
        <v>6999956</v>
      </c>
      <c r="C3572" t="s">
        <v>779</v>
      </c>
      <c r="D3572" t="s">
        <v>3765</v>
      </c>
      <c r="E3572" t="s">
        <v>10</v>
      </c>
    </row>
    <row r="3573" spans="1:5" hidden="1" outlineLevel="2">
      <c r="A3573" s="3" t="e">
        <f>(HYPERLINK("http://www.autodoc.ru/Web/price/art/4120LGNV5RDW?analog=on","4120LGNV5RDW"))*1</f>
        <v>#VALUE!</v>
      </c>
      <c r="B3573" s="1">
        <v>6900154</v>
      </c>
      <c r="C3573" t="s">
        <v>779</v>
      </c>
      <c r="D3573" t="s">
        <v>3766</v>
      </c>
      <c r="E3573" t="s">
        <v>10</v>
      </c>
    </row>
    <row r="3574" spans="1:5" hidden="1" outlineLevel="2">
      <c r="A3574" s="3" t="e">
        <f>(HYPERLINK("http://www.autodoc.ru/Web/price/art/4120RGNV5FDW?analog=on","4120RGNV5FDW"))*1</f>
        <v>#VALUE!</v>
      </c>
      <c r="B3574" s="1">
        <v>6900046</v>
      </c>
      <c r="C3574" t="s">
        <v>779</v>
      </c>
      <c r="D3574" t="s">
        <v>3767</v>
      </c>
      <c r="E3574" t="s">
        <v>10</v>
      </c>
    </row>
    <row r="3575" spans="1:5" hidden="1" outlineLevel="1">
      <c r="A3575" s="2">
        <v>0</v>
      </c>
      <c r="B3575" s="26" t="s">
        <v>3768</v>
      </c>
      <c r="C3575" s="27">
        <v>0</v>
      </c>
      <c r="D3575" s="27">
        <v>0</v>
      </c>
      <c r="E3575" s="27">
        <v>0</v>
      </c>
    </row>
    <row r="3576" spans="1:5" hidden="1" outlineLevel="2">
      <c r="A3576" s="3" t="e">
        <f>(HYPERLINK("http://www.autodoc.ru/Web/price/art/4129AGNBLHV?analog=on","4129AGNBLHV"))*1</f>
        <v>#VALUE!</v>
      </c>
      <c r="B3576" s="1">
        <v>6961972</v>
      </c>
      <c r="C3576" t="s">
        <v>122</v>
      </c>
      <c r="D3576" t="s">
        <v>3769</v>
      </c>
      <c r="E3576" t="s">
        <v>8</v>
      </c>
    </row>
    <row r="3577" spans="1:5" hidden="1" outlineLevel="2">
      <c r="A3577" s="3" t="e">
        <f>(HYPERLINK("http://www.autodoc.ru/Web/price/art/4129AGNBLHV1H?analog=on","4129AGNBLHV1H"))*1</f>
        <v>#VALUE!</v>
      </c>
      <c r="B3577" s="1">
        <v>6962581</v>
      </c>
      <c r="C3577" t="s">
        <v>122</v>
      </c>
      <c r="D3577" t="s">
        <v>3769</v>
      </c>
      <c r="E3577" t="s">
        <v>8</v>
      </c>
    </row>
    <row r="3578" spans="1:5" hidden="1" outlineLevel="2">
      <c r="A3578" s="3" t="e">
        <f>(HYPERLINK("http://www.autodoc.ru/Web/price/art/4129AGNBLV?analog=on","4129AGNBLV"))*1</f>
        <v>#VALUE!</v>
      </c>
      <c r="B3578" s="1">
        <v>6961308</v>
      </c>
      <c r="C3578" t="s">
        <v>122</v>
      </c>
      <c r="D3578" t="s">
        <v>3770</v>
      </c>
      <c r="E3578" t="s">
        <v>8</v>
      </c>
    </row>
    <row r="3579" spans="1:5" hidden="1" outlineLevel="2">
      <c r="A3579" s="3" t="e">
        <f>(HYPERLINK("http://www.autodoc.ru/Web/price/art/4129ASMR?analog=on","4129ASMR"))*1</f>
        <v>#VALUE!</v>
      </c>
      <c r="B3579" s="1">
        <v>6101781</v>
      </c>
      <c r="C3579" t="s">
        <v>19</v>
      </c>
      <c r="D3579" t="s">
        <v>3771</v>
      </c>
      <c r="E3579" t="s">
        <v>21</v>
      </c>
    </row>
    <row r="3580" spans="1:5" hidden="1" outlineLevel="2">
      <c r="A3580" s="3" t="e">
        <f>(HYPERLINK("http://www.autodoc.ru/Web/price/art/4129LGNR5FDW1M?analog=on","4129LGNR5FDW1M"))*1</f>
        <v>#VALUE!</v>
      </c>
      <c r="B3580" s="1">
        <v>6996590</v>
      </c>
      <c r="C3580" t="s">
        <v>122</v>
      </c>
      <c r="D3580" t="s">
        <v>3772</v>
      </c>
      <c r="E3580" t="s">
        <v>10</v>
      </c>
    </row>
    <row r="3581" spans="1:5" hidden="1" outlineLevel="2">
      <c r="A3581" s="3" t="e">
        <f>(HYPERLINK("http://www.autodoc.ru/Web/price/art/4129LGNR5RDW?analog=on","4129LGNR5RDW"))*1</f>
        <v>#VALUE!</v>
      </c>
      <c r="B3581" s="1">
        <v>6900711</v>
      </c>
      <c r="C3581" t="s">
        <v>122</v>
      </c>
      <c r="D3581" t="s">
        <v>3773</v>
      </c>
      <c r="E3581" t="s">
        <v>10</v>
      </c>
    </row>
    <row r="3582" spans="1:5" hidden="1" outlineLevel="2">
      <c r="A3582" s="3" t="e">
        <f>(HYPERLINK("http://www.autodoc.ru/Web/price/art/4129LYPR5RDW?analog=on","4129LYPR5RDW"))*1</f>
        <v>#VALUE!</v>
      </c>
      <c r="B3582" s="1">
        <v>6900155</v>
      </c>
      <c r="C3582" t="s">
        <v>122</v>
      </c>
      <c r="D3582" t="s">
        <v>3774</v>
      </c>
      <c r="E3582" t="s">
        <v>10</v>
      </c>
    </row>
    <row r="3583" spans="1:5" hidden="1" outlineLevel="2">
      <c r="A3583" s="3" t="e">
        <f>(HYPERLINK("http://www.autodoc.ru/Web/price/art/4129RGNR5FDW1M?analog=on","4129RGNR5FDW1M"))*1</f>
        <v>#VALUE!</v>
      </c>
      <c r="B3583" s="1">
        <v>6996591</v>
      </c>
      <c r="C3583" t="s">
        <v>122</v>
      </c>
      <c r="D3583" t="s">
        <v>3775</v>
      </c>
      <c r="E3583" t="s">
        <v>10</v>
      </c>
    </row>
    <row r="3584" spans="1:5" hidden="1" outlineLevel="2">
      <c r="A3584" s="3" t="e">
        <f>(HYPERLINK("http://www.autodoc.ru/Web/price/art/4129RGNR5RDW?analog=on","4129RGNR5RDW"))*1</f>
        <v>#VALUE!</v>
      </c>
      <c r="B3584" s="1">
        <v>6900712</v>
      </c>
      <c r="C3584" t="s">
        <v>122</v>
      </c>
      <c r="D3584" t="s">
        <v>3776</v>
      </c>
      <c r="E3584" t="s">
        <v>10</v>
      </c>
    </row>
    <row r="3585" spans="1:5" hidden="1" outlineLevel="2">
      <c r="A3585" s="3" t="e">
        <f>(HYPERLINK("http://www.autodoc.ru/Web/price/art/4129RYPR5RDW?analog=on","4129RYPR5RDW"))*1</f>
        <v>#VALUE!</v>
      </c>
      <c r="B3585" s="1">
        <v>6900369</v>
      </c>
      <c r="C3585" t="s">
        <v>122</v>
      </c>
      <c r="D3585" t="s">
        <v>3777</v>
      </c>
      <c r="E3585" t="s">
        <v>10</v>
      </c>
    </row>
    <row r="3586" spans="1:5" hidden="1" outlineLevel="1">
      <c r="A3586" s="2">
        <v>0</v>
      </c>
      <c r="B3586" s="26" t="s">
        <v>3778</v>
      </c>
      <c r="C3586" s="27">
        <v>0</v>
      </c>
      <c r="D3586" s="27">
        <v>0</v>
      </c>
      <c r="E3586" s="27">
        <v>0</v>
      </c>
    </row>
    <row r="3587" spans="1:5" hidden="1" outlineLevel="2">
      <c r="A3587" s="3" t="e">
        <f>(HYPERLINK("http://www.autodoc.ru/Web/price/art/4134AGNBLV?analog=on","4134AGNBLV"))*1</f>
        <v>#VALUE!</v>
      </c>
      <c r="B3587" s="1">
        <v>6962473</v>
      </c>
      <c r="C3587" t="s">
        <v>2535</v>
      </c>
      <c r="D3587" t="s">
        <v>3779</v>
      </c>
      <c r="E3587" t="s">
        <v>8</v>
      </c>
    </row>
    <row r="3588" spans="1:5" hidden="1" outlineLevel="2">
      <c r="A3588" s="3" t="e">
        <f>(HYPERLINK("http://www.autodoc.ru/Web/price/art/4134LGNS4FD?analog=on","4134LGNS4FD"))*1</f>
        <v>#VALUE!</v>
      </c>
      <c r="B3588" s="1">
        <v>6900950</v>
      </c>
      <c r="C3588" t="s">
        <v>2535</v>
      </c>
      <c r="D3588" t="s">
        <v>3780</v>
      </c>
      <c r="E3588" t="s">
        <v>10</v>
      </c>
    </row>
    <row r="3589" spans="1:5" hidden="1" outlineLevel="2">
      <c r="A3589" s="3" t="e">
        <f>(HYPERLINK("http://www.autodoc.ru/Web/price/art/4134RGNS4FD?analog=on","4134RGNS4FD"))*1</f>
        <v>#VALUE!</v>
      </c>
      <c r="B3589" s="1">
        <v>6900951</v>
      </c>
      <c r="C3589" t="s">
        <v>2535</v>
      </c>
      <c r="D3589" t="s">
        <v>3781</v>
      </c>
      <c r="E3589" t="s">
        <v>10</v>
      </c>
    </row>
    <row r="3590" spans="1:5" hidden="1" outlineLevel="2">
      <c r="A3590" s="3" t="e">
        <f>(HYPERLINK("http://www.autodoc.ru/Web/price/art/4134LGNS4RD?analog=on","4134LGNS4RD"))*1</f>
        <v>#VALUE!</v>
      </c>
      <c r="B3590" s="1">
        <v>6900952</v>
      </c>
      <c r="C3590" t="s">
        <v>2535</v>
      </c>
      <c r="D3590" t="s">
        <v>3782</v>
      </c>
      <c r="E3590" t="s">
        <v>10</v>
      </c>
    </row>
    <row r="3591" spans="1:5" hidden="1" outlineLevel="2">
      <c r="A3591" s="3" t="e">
        <f>(HYPERLINK("http://www.autodoc.ru/Web/price/art/4134RGNS4RD?analog=on","4134RGNS4RD"))*1</f>
        <v>#VALUE!</v>
      </c>
      <c r="B3591" s="1">
        <v>6900953</v>
      </c>
      <c r="C3591" t="s">
        <v>2535</v>
      </c>
      <c r="D3591" t="s">
        <v>3783</v>
      </c>
      <c r="E3591" t="s">
        <v>10</v>
      </c>
    </row>
    <row r="3592" spans="1:5" hidden="1" outlineLevel="2">
      <c r="A3592" s="3" t="e">
        <f>(HYPERLINK("http://www.autodoc.ru/Web/price/art/4134LGNS4RV?analog=on","4134LGNS4RV"))*1</f>
        <v>#VALUE!</v>
      </c>
      <c r="B3592" s="1">
        <v>6900954</v>
      </c>
      <c r="C3592" t="s">
        <v>2535</v>
      </c>
      <c r="D3592" t="s">
        <v>3784</v>
      </c>
      <c r="E3592" t="s">
        <v>10</v>
      </c>
    </row>
    <row r="3593" spans="1:5" hidden="1" outlineLevel="2">
      <c r="A3593" s="3" t="e">
        <f>(HYPERLINK("http://www.autodoc.ru/Web/price/art/4134RGNS4RV?analog=on","4134RGNS4RV"))*1</f>
        <v>#VALUE!</v>
      </c>
      <c r="B3593" s="1">
        <v>6900955</v>
      </c>
      <c r="C3593" t="s">
        <v>2535</v>
      </c>
      <c r="D3593" t="s">
        <v>3785</v>
      </c>
      <c r="E3593" t="s">
        <v>10</v>
      </c>
    </row>
    <row r="3594" spans="1:5" hidden="1" outlineLevel="1">
      <c r="A3594" s="2">
        <v>0</v>
      </c>
      <c r="B3594" s="26" t="s">
        <v>3786</v>
      </c>
      <c r="C3594" s="27">
        <v>0</v>
      </c>
      <c r="D3594" s="27">
        <v>0</v>
      </c>
      <c r="E3594" s="27">
        <v>0</v>
      </c>
    </row>
    <row r="3595" spans="1:5" hidden="1" outlineLevel="2">
      <c r="A3595" s="3" t="e">
        <f>(HYPERLINK("http://www.autodoc.ru/Web/price/art/4119AGNBL?analog=on","4119AGNBL"))*1</f>
        <v>#VALUE!</v>
      </c>
      <c r="B3595" s="1">
        <v>6962446</v>
      </c>
      <c r="C3595" t="s">
        <v>216</v>
      </c>
      <c r="D3595" t="s">
        <v>3787</v>
      </c>
      <c r="E3595" t="s">
        <v>8</v>
      </c>
    </row>
    <row r="3596" spans="1:5" hidden="1" outlineLevel="2">
      <c r="A3596" s="3" t="e">
        <f>(HYPERLINK("http://www.autodoc.ru/Web/price/art/4119LGNS4FD?analog=on","4119LGNS4FD"))*1</f>
        <v>#VALUE!</v>
      </c>
      <c r="B3596" s="1">
        <v>6993612</v>
      </c>
      <c r="C3596" t="s">
        <v>216</v>
      </c>
      <c r="D3596" t="s">
        <v>3788</v>
      </c>
      <c r="E3596" t="s">
        <v>10</v>
      </c>
    </row>
    <row r="3597" spans="1:5" hidden="1" outlineLevel="2">
      <c r="A3597" s="3" t="e">
        <f>(HYPERLINK("http://www.autodoc.ru/Web/price/art/4119LGNS4RD?analog=on","4119LGNS4RD"))*1</f>
        <v>#VALUE!</v>
      </c>
      <c r="B3597" s="1">
        <v>6993614</v>
      </c>
      <c r="C3597" t="s">
        <v>216</v>
      </c>
      <c r="D3597" t="s">
        <v>3789</v>
      </c>
      <c r="E3597" t="s">
        <v>10</v>
      </c>
    </row>
    <row r="3598" spans="1:5" hidden="1" outlineLevel="2">
      <c r="A3598" s="3" t="e">
        <f>(HYPERLINK("http://www.autodoc.ru/Web/price/art/4119RGNS4FD?analog=on","4119RGNS4FD"))*1</f>
        <v>#VALUE!</v>
      </c>
      <c r="B3598" s="1">
        <v>6993613</v>
      </c>
      <c r="C3598" t="s">
        <v>216</v>
      </c>
      <c r="D3598" t="s">
        <v>3790</v>
      </c>
      <c r="E3598" t="s">
        <v>10</v>
      </c>
    </row>
    <row r="3599" spans="1:5" hidden="1" outlineLevel="2">
      <c r="A3599" s="3" t="e">
        <f>(HYPERLINK("http://www.autodoc.ru/Web/price/art/4119RGNS4RD?analog=on","4119RGNS4RD"))*1</f>
        <v>#VALUE!</v>
      </c>
      <c r="B3599" s="1">
        <v>6993615</v>
      </c>
      <c r="C3599" t="s">
        <v>216</v>
      </c>
      <c r="D3599" t="s">
        <v>3791</v>
      </c>
      <c r="E3599" t="s">
        <v>10</v>
      </c>
    </row>
    <row r="3600" spans="1:5" hidden="1" outlineLevel="1">
      <c r="A3600" s="2">
        <v>0</v>
      </c>
      <c r="B3600" s="26" t="s">
        <v>3792</v>
      </c>
      <c r="C3600" s="27">
        <v>0</v>
      </c>
      <c r="D3600" s="27">
        <v>0</v>
      </c>
      <c r="E3600" s="27">
        <v>0</v>
      </c>
    </row>
    <row r="3601" spans="1:5" hidden="1" outlineLevel="2">
      <c r="A3601" s="3" t="e">
        <f>(HYPERLINK("http://www.autodoc.ru/Web/price/art/4127AGN?analog=on","4127AGN"))*1</f>
        <v>#VALUE!</v>
      </c>
      <c r="B3601" s="1">
        <v>6950071</v>
      </c>
      <c r="C3601" t="s">
        <v>829</v>
      </c>
      <c r="D3601" t="s">
        <v>3793</v>
      </c>
      <c r="E3601" t="s">
        <v>8</v>
      </c>
    </row>
    <row r="3602" spans="1:5" hidden="1" outlineLevel="2">
      <c r="A3602" s="3" t="e">
        <f>(HYPERLINK("http://www.autodoc.ru/Web/price/art/4127AGNBL?analog=on","4127AGNBL"))*1</f>
        <v>#VALUE!</v>
      </c>
      <c r="B3602" s="1">
        <v>6961108</v>
      </c>
      <c r="C3602" t="s">
        <v>829</v>
      </c>
      <c r="D3602" t="s">
        <v>3794</v>
      </c>
      <c r="E3602" t="s">
        <v>8</v>
      </c>
    </row>
    <row r="3603" spans="1:5" hidden="1" outlineLevel="2">
      <c r="A3603" s="3" t="e">
        <f>(HYPERLINK("http://www.autodoc.ru/Web/price/art/4127ASMC?analog=on","4127ASMC"))*1</f>
        <v>#VALUE!</v>
      </c>
      <c r="B3603" s="1">
        <v>6101207</v>
      </c>
      <c r="C3603" t="s">
        <v>19</v>
      </c>
      <c r="D3603" t="s">
        <v>3795</v>
      </c>
      <c r="E3603" t="s">
        <v>21</v>
      </c>
    </row>
    <row r="3604" spans="1:5" hidden="1" outlineLevel="2">
      <c r="A3604" s="3" t="e">
        <f>(HYPERLINK("http://www.autodoc.ru/Web/price/art/4127BGNCB?analog=on","4127BGNCB"))*1</f>
        <v>#VALUE!</v>
      </c>
      <c r="B3604" s="1">
        <v>6900514</v>
      </c>
      <c r="C3604" t="s">
        <v>829</v>
      </c>
      <c r="D3604" t="s">
        <v>3796</v>
      </c>
      <c r="E3604" t="s">
        <v>23</v>
      </c>
    </row>
    <row r="3605" spans="1:5" hidden="1" outlineLevel="2">
      <c r="A3605" s="3" t="e">
        <f>(HYPERLINK("http://www.autodoc.ru/Web/price/art/4127LGNC2FD?analog=on","4127LGNC2FD"))*1</f>
        <v>#VALUE!</v>
      </c>
      <c r="B3605" s="1">
        <v>6995259</v>
      </c>
      <c r="C3605" t="s">
        <v>829</v>
      </c>
      <c r="D3605" t="s">
        <v>3797</v>
      </c>
      <c r="E3605" t="s">
        <v>10</v>
      </c>
    </row>
    <row r="3606" spans="1:5" hidden="1" outlineLevel="2">
      <c r="A3606" s="3" t="e">
        <f>(HYPERLINK("http://www.autodoc.ru/Web/price/art/4127RGNC2FD?analog=on","4127RGNC2FD"))*1</f>
        <v>#VALUE!</v>
      </c>
      <c r="B3606" s="1">
        <v>6995260</v>
      </c>
      <c r="C3606" t="s">
        <v>829</v>
      </c>
      <c r="D3606" t="s">
        <v>3798</v>
      </c>
      <c r="E3606" t="s">
        <v>10</v>
      </c>
    </row>
    <row r="3607" spans="1:5" hidden="1" outlineLevel="1">
      <c r="A3607" s="2">
        <v>0</v>
      </c>
      <c r="B3607" s="26" t="s">
        <v>3799</v>
      </c>
      <c r="C3607" s="27">
        <v>0</v>
      </c>
      <c r="D3607" s="27">
        <v>0</v>
      </c>
      <c r="E3607" s="27">
        <v>0</v>
      </c>
    </row>
    <row r="3608" spans="1:5" hidden="1" outlineLevel="2">
      <c r="A3608" s="3" t="e">
        <f>(HYPERLINK("http://www.autodoc.ru/Web/price/art/4113AGNBL?analog=on","4113AGNBL"))*1</f>
        <v>#VALUE!</v>
      </c>
      <c r="B3608" s="1">
        <v>6963728</v>
      </c>
      <c r="C3608" t="s">
        <v>3800</v>
      </c>
      <c r="D3608" t="s">
        <v>3801</v>
      </c>
      <c r="E3608" t="s">
        <v>8</v>
      </c>
    </row>
    <row r="3609" spans="1:5" hidden="1" outlineLevel="2">
      <c r="A3609" s="3" t="e">
        <f>(HYPERLINK("http://www.autodoc.ru/Web/price/art/4113ASMC?analog=on","4113ASMC"))*1</f>
        <v>#VALUE!</v>
      </c>
      <c r="B3609" s="1">
        <v>6100094</v>
      </c>
      <c r="C3609" t="s">
        <v>19</v>
      </c>
      <c r="D3609" t="s">
        <v>3802</v>
      </c>
      <c r="E3609" t="s">
        <v>21</v>
      </c>
    </row>
    <row r="3610" spans="1:5" hidden="1" outlineLevel="2">
      <c r="A3610" s="3" t="e">
        <f>(HYPERLINK("http://www.autodoc.ru/Web/price/art/4113LGNC2FD?analog=on","4113LGNC2FD"))*1</f>
        <v>#VALUE!</v>
      </c>
      <c r="B3610" s="1">
        <v>6994441</v>
      </c>
      <c r="C3610" t="s">
        <v>3800</v>
      </c>
      <c r="D3610" t="s">
        <v>3803</v>
      </c>
      <c r="E3610" t="s">
        <v>10</v>
      </c>
    </row>
    <row r="3611" spans="1:5" collapsed="1">
      <c r="A3611" s="28" t="s">
        <v>3804</v>
      </c>
      <c r="B3611" s="28">
        <v>0</v>
      </c>
      <c r="C3611" s="28">
        <v>0</v>
      </c>
      <c r="D3611" s="28">
        <v>0</v>
      </c>
      <c r="E3611" s="28">
        <v>0</v>
      </c>
    </row>
    <row r="3612" spans="1:5" hidden="1" outlineLevel="1">
      <c r="A3612" s="2">
        <v>0</v>
      </c>
      <c r="B3612" s="26" t="s">
        <v>3805</v>
      </c>
      <c r="C3612" s="27">
        <v>0</v>
      </c>
      <c r="D3612" s="27">
        <v>0</v>
      </c>
      <c r="E3612" s="27">
        <v>0</v>
      </c>
    </row>
    <row r="3613" spans="1:5" hidden="1" outlineLevel="2">
      <c r="A3613" s="3" t="e">
        <f>(HYPERLINK("http://www.autodoc.ru/Web/price/art/6033AGSBL?analog=on","6033AGSBL"))*1</f>
        <v>#VALUE!</v>
      </c>
      <c r="B3613" s="1">
        <v>6961791</v>
      </c>
      <c r="C3613" t="s">
        <v>755</v>
      </c>
      <c r="D3613" t="s">
        <v>3806</v>
      </c>
      <c r="E3613" t="s">
        <v>8</v>
      </c>
    </row>
    <row r="3614" spans="1:5" hidden="1" outlineLevel="1">
      <c r="A3614" s="2">
        <v>0</v>
      </c>
      <c r="B3614" s="26" t="s">
        <v>3807</v>
      </c>
      <c r="C3614" s="27">
        <v>0</v>
      </c>
      <c r="D3614" s="27">
        <v>0</v>
      </c>
      <c r="E3614" s="27">
        <v>0</v>
      </c>
    </row>
    <row r="3615" spans="1:5" hidden="1" outlineLevel="2">
      <c r="A3615" s="3" t="e">
        <f>(HYPERLINK("http://www.autodoc.ru/Web/price/art/QX56AGN?analog=on","QX56AGN"))*1</f>
        <v>#VALUE!</v>
      </c>
      <c r="B3615" s="1">
        <v>6963023</v>
      </c>
      <c r="C3615" t="s">
        <v>122</v>
      </c>
      <c r="D3615" t="s">
        <v>3808</v>
      </c>
      <c r="E3615" t="s">
        <v>8</v>
      </c>
    </row>
    <row r="3616" spans="1:5" collapsed="1">
      <c r="A3616" s="28" t="s">
        <v>3809</v>
      </c>
      <c r="B3616" s="28">
        <v>0</v>
      </c>
      <c r="C3616" s="28">
        <v>0</v>
      </c>
      <c r="D3616" s="28">
        <v>0</v>
      </c>
      <c r="E3616" s="28">
        <v>0</v>
      </c>
    </row>
    <row r="3617" spans="1:5" hidden="1" outlineLevel="1">
      <c r="A3617" s="2">
        <v>0</v>
      </c>
      <c r="B3617" s="26" t="s">
        <v>3810</v>
      </c>
      <c r="C3617" s="27">
        <v>0</v>
      </c>
      <c r="D3617" s="27">
        <v>0</v>
      </c>
      <c r="E3617" s="27">
        <v>0</v>
      </c>
    </row>
    <row r="3618" spans="1:5" hidden="1" outlineLevel="2">
      <c r="A3618" s="3" t="e">
        <f>(HYPERLINK("http://www.autodoc.ru/Web/price/art/6275ACL?analog=on","6275ACL"))*1</f>
        <v>#VALUE!</v>
      </c>
      <c r="B3618" s="1">
        <v>6963500</v>
      </c>
      <c r="C3618" t="s">
        <v>2379</v>
      </c>
      <c r="D3618" t="s">
        <v>3811</v>
      </c>
      <c r="E3618" t="s">
        <v>8</v>
      </c>
    </row>
    <row r="3619" spans="1:5" hidden="1" outlineLevel="1">
      <c r="A3619" s="2">
        <v>0</v>
      </c>
      <c r="B3619" s="26" t="s">
        <v>3812</v>
      </c>
      <c r="C3619" s="27">
        <v>0</v>
      </c>
      <c r="D3619" s="27">
        <v>0</v>
      </c>
      <c r="E3619" s="27">
        <v>0</v>
      </c>
    </row>
    <row r="3620" spans="1:5" hidden="1" outlineLevel="2">
      <c r="A3620" s="3" t="e">
        <f>(HYPERLINK("http://www.autodoc.ru/Web/price/art/6304AGN?analog=on","6304AGN"))*1</f>
        <v>#VALUE!</v>
      </c>
      <c r="B3620" s="1">
        <v>6961594</v>
      </c>
      <c r="C3620" t="s">
        <v>782</v>
      </c>
      <c r="D3620" t="s">
        <v>3813</v>
      </c>
      <c r="E3620" t="s">
        <v>8</v>
      </c>
    </row>
    <row r="3621" spans="1:5" hidden="1" outlineLevel="1">
      <c r="A3621" s="2">
        <v>0</v>
      </c>
      <c r="B3621" s="26" t="s">
        <v>3814</v>
      </c>
      <c r="C3621" s="27">
        <v>0</v>
      </c>
      <c r="D3621" s="27">
        <v>0</v>
      </c>
      <c r="E3621" s="27">
        <v>0</v>
      </c>
    </row>
    <row r="3622" spans="1:5" hidden="1" outlineLevel="2">
      <c r="A3622" s="3" t="e">
        <f>(HYPERLINK("http://www.autodoc.ru/Web/price/art/6274ABL?analog=on","6274ABL"))*1</f>
        <v>#VALUE!</v>
      </c>
      <c r="B3622" s="1">
        <v>6963575</v>
      </c>
      <c r="C3622" t="s">
        <v>3815</v>
      </c>
      <c r="D3622" t="s">
        <v>3816</v>
      </c>
      <c r="E3622" t="s">
        <v>8</v>
      </c>
    </row>
    <row r="3623" spans="1:5" hidden="1" outlineLevel="1">
      <c r="A3623" s="2">
        <v>0</v>
      </c>
      <c r="B3623" s="26" t="s">
        <v>3817</v>
      </c>
      <c r="C3623" s="27">
        <v>0</v>
      </c>
      <c r="D3623" s="27">
        <v>0</v>
      </c>
      <c r="E3623" s="27">
        <v>0</v>
      </c>
    </row>
    <row r="3624" spans="1:5" hidden="1" outlineLevel="2">
      <c r="A3624" s="3" t="e">
        <f>(HYPERLINK("http://www.autodoc.ru/Web/price/art/6270ABL?analog=on","6270ABL"))*1</f>
        <v>#VALUE!</v>
      </c>
      <c r="B3624" s="1">
        <v>6969232</v>
      </c>
      <c r="C3624" t="s">
        <v>449</v>
      </c>
      <c r="D3624" t="s">
        <v>3818</v>
      </c>
      <c r="E3624" t="s">
        <v>8</v>
      </c>
    </row>
    <row r="3625" spans="1:5" hidden="1" outlineLevel="2">
      <c r="A3625" s="3" t="e">
        <f>(HYPERLINK("http://www.autodoc.ru/Web/price/art/6270ABZ?analog=on","6270ABZ"))*1</f>
        <v>#VALUE!</v>
      </c>
      <c r="B3625" s="1">
        <v>6969233</v>
      </c>
      <c r="C3625" t="s">
        <v>449</v>
      </c>
      <c r="D3625" t="s">
        <v>3819</v>
      </c>
      <c r="E3625" t="s">
        <v>8</v>
      </c>
    </row>
    <row r="3626" spans="1:5" hidden="1" outlineLevel="2">
      <c r="A3626" s="3" t="e">
        <f>(HYPERLINK("http://www.autodoc.ru/Web/price/art/6270ACL?analog=on","6270ACL"))*1</f>
        <v>#VALUE!</v>
      </c>
      <c r="B3626" s="1">
        <v>6969231</v>
      </c>
      <c r="C3626" t="s">
        <v>449</v>
      </c>
      <c r="D3626" t="s">
        <v>3820</v>
      </c>
      <c r="E3626" t="s">
        <v>8</v>
      </c>
    </row>
    <row r="3627" spans="1:5" hidden="1" outlineLevel="2">
      <c r="A3627" s="3" t="e">
        <f>(HYPERLINK("http://www.autodoc.ru/Web/price/art/6270ASRR?analog=on","6270ASRR"))*1</f>
        <v>#VALUE!</v>
      </c>
      <c r="B3627" s="1">
        <v>6101103</v>
      </c>
      <c r="C3627" t="s">
        <v>19</v>
      </c>
      <c r="D3627" t="s">
        <v>3821</v>
      </c>
      <c r="E3627" t="s">
        <v>21</v>
      </c>
    </row>
    <row r="3628" spans="1:5" hidden="1" outlineLevel="2">
      <c r="A3628" s="3" t="e">
        <f>(HYPERLINK("http://www.autodoc.ru/Web/price/art/6270BBLR?analog=on","6270BBLR"))*1</f>
        <v>#VALUE!</v>
      </c>
      <c r="B3628" s="1">
        <v>6999509</v>
      </c>
      <c r="C3628" t="s">
        <v>449</v>
      </c>
      <c r="D3628" t="s">
        <v>3822</v>
      </c>
      <c r="E3628" t="s">
        <v>23</v>
      </c>
    </row>
    <row r="3629" spans="1:5" hidden="1" outlineLevel="2">
      <c r="A3629" s="3" t="e">
        <f>(HYPERLINK("http://www.autodoc.ru/Web/price/art/6270LBLR3FDW?analog=on","6270LBLR3FDW"))*1</f>
        <v>#VALUE!</v>
      </c>
      <c r="B3629" s="1">
        <v>6998431</v>
      </c>
      <c r="C3629" t="s">
        <v>449</v>
      </c>
      <c r="D3629" t="s">
        <v>3823</v>
      </c>
      <c r="E3629" t="s">
        <v>10</v>
      </c>
    </row>
    <row r="3630" spans="1:5" hidden="1" outlineLevel="2">
      <c r="A3630" s="3" t="e">
        <f>(HYPERLINK("http://www.autodoc.ru/Web/price/art/6270LBLR3FV?analog=on","6270LBLR3FV"))*1</f>
        <v>#VALUE!</v>
      </c>
      <c r="B3630" s="1">
        <v>6997790</v>
      </c>
      <c r="C3630" t="s">
        <v>449</v>
      </c>
      <c r="D3630" t="s">
        <v>3824</v>
      </c>
      <c r="E3630" t="s">
        <v>10</v>
      </c>
    </row>
    <row r="3631" spans="1:5" hidden="1" outlineLevel="2">
      <c r="A3631" s="3" t="e">
        <f>(HYPERLINK("http://www.autodoc.ru/Web/price/art/6270LBLR5RV?analog=on","6270LBLR5RV"))*1</f>
        <v>#VALUE!</v>
      </c>
      <c r="B3631" s="1">
        <v>6999413</v>
      </c>
      <c r="C3631" t="s">
        <v>449</v>
      </c>
      <c r="D3631" t="s">
        <v>3825</v>
      </c>
      <c r="E3631" t="s">
        <v>10</v>
      </c>
    </row>
    <row r="3632" spans="1:5" hidden="1" outlineLevel="2">
      <c r="A3632" s="3" t="e">
        <f>(HYPERLINK("http://www.autodoc.ru/Web/price/art/6270RBLR3FDW?analog=on","6270RBLR3FDW"))*1</f>
        <v>#VALUE!</v>
      </c>
      <c r="B3632" s="1">
        <v>6998432</v>
      </c>
      <c r="C3632" t="s">
        <v>449</v>
      </c>
      <c r="D3632" t="s">
        <v>3826</v>
      </c>
      <c r="E3632" t="s">
        <v>10</v>
      </c>
    </row>
    <row r="3633" spans="1:5" hidden="1" outlineLevel="2">
      <c r="A3633" s="3" t="e">
        <f>(HYPERLINK("http://www.autodoc.ru/Web/price/art/6270RBLR5RV?analog=on","6270RBLR5RV"))*1</f>
        <v>#VALUE!</v>
      </c>
      <c r="B3633" s="1">
        <v>6999416</v>
      </c>
      <c r="C3633" t="s">
        <v>449</v>
      </c>
      <c r="D3633" t="s">
        <v>3827</v>
      </c>
      <c r="E3633" t="s">
        <v>10</v>
      </c>
    </row>
    <row r="3634" spans="1:5" hidden="1" outlineLevel="1">
      <c r="A3634" s="2">
        <v>0</v>
      </c>
      <c r="B3634" s="26" t="s">
        <v>3828</v>
      </c>
      <c r="C3634" s="27">
        <v>0</v>
      </c>
      <c r="D3634" s="27">
        <v>0</v>
      </c>
      <c r="E3634" s="27">
        <v>0</v>
      </c>
    </row>
    <row r="3635" spans="1:5" hidden="1" outlineLevel="2">
      <c r="A3635" s="3" t="e">
        <f>(HYPERLINK("http://www.autodoc.ru/Web/price/art/6276ABL?analog=on","6276ABL"))*1</f>
        <v>#VALUE!</v>
      </c>
      <c r="B3635" s="1">
        <v>6969239</v>
      </c>
      <c r="C3635" t="s">
        <v>3829</v>
      </c>
      <c r="D3635" t="s">
        <v>3830</v>
      </c>
      <c r="E3635" t="s">
        <v>8</v>
      </c>
    </row>
    <row r="3636" spans="1:5" hidden="1" outlineLevel="2">
      <c r="A3636" s="3" t="e">
        <f>(HYPERLINK("http://www.autodoc.ru/Web/price/art/6276ABZ?analog=on","6276ABZ"))*1</f>
        <v>#VALUE!</v>
      </c>
      <c r="B3636" s="1">
        <v>6190334</v>
      </c>
      <c r="C3636" t="s">
        <v>3829</v>
      </c>
      <c r="D3636" t="s">
        <v>3831</v>
      </c>
      <c r="E3636" t="s">
        <v>8</v>
      </c>
    </row>
    <row r="3637" spans="1:5" hidden="1" outlineLevel="2">
      <c r="A3637" s="3" t="e">
        <f>(HYPERLINK("http://www.autodoc.ru/Web/price/art/6276ACL?analog=on","6276ACL"))*1</f>
        <v>#VALUE!</v>
      </c>
      <c r="B3637" s="1">
        <v>6967499</v>
      </c>
      <c r="C3637" t="s">
        <v>3829</v>
      </c>
      <c r="D3637" t="s">
        <v>3832</v>
      </c>
      <c r="E3637" t="s">
        <v>8</v>
      </c>
    </row>
    <row r="3638" spans="1:5" hidden="1" outlineLevel="2">
      <c r="A3638" s="3" t="e">
        <f>(HYPERLINK("http://www.autodoc.ru/Web/price/art/6276AGN?analog=on","6276AGN"))*1</f>
        <v>#VALUE!</v>
      </c>
      <c r="B3638" s="1">
        <v>6190874</v>
      </c>
      <c r="C3638" t="s">
        <v>3829</v>
      </c>
      <c r="D3638" t="s">
        <v>3833</v>
      </c>
      <c r="E3638" t="s">
        <v>8</v>
      </c>
    </row>
    <row r="3639" spans="1:5" hidden="1" outlineLevel="2">
      <c r="A3639" s="3" t="e">
        <f>(HYPERLINK("http://www.autodoc.ru/Web/price/art/6276ASMRT?analog=on","6276ASMRT"))*1</f>
        <v>#VALUE!</v>
      </c>
      <c r="B3639" s="1">
        <v>6102342</v>
      </c>
      <c r="C3639" t="s">
        <v>19</v>
      </c>
      <c r="D3639" t="s">
        <v>3834</v>
      </c>
      <c r="E3639" t="s">
        <v>21</v>
      </c>
    </row>
    <row r="3640" spans="1:5" hidden="1" outlineLevel="2">
      <c r="A3640" s="3" t="e">
        <f>(HYPERLINK("http://www.autodoc.ru/Web/price/art/6276LBZR3FD?analog=on","6276LBZR3FD"))*1</f>
        <v>#VALUE!</v>
      </c>
      <c r="B3640" s="1">
        <v>6190336</v>
      </c>
      <c r="C3640" t="s">
        <v>3829</v>
      </c>
      <c r="D3640" t="s">
        <v>3835</v>
      </c>
      <c r="E3640" t="s">
        <v>10</v>
      </c>
    </row>
    <row r="3641" spans="1:5" hidden="1" outlineLevel="2">
      <c r="A3641" s="3" t="e">
        <f>(HYPERLINK("http://www.autodoc.ru/Web/price/art/6276LBZR5RV?analog=on","6276LBZR5RV"))*1</f>
        <v>#VALUE!</v>
      </c>
      <c r="B3641" s="1">
        <v>6190338</v>
      </c>
      <c r="C3641" t="s">
        <v>3829</v>
      </c>
      <c r="D3641" t="s">
        <v>3836</v>
      </c>
      <c r="E3641" t="s">
        <v>10</v>
      </c>
    </row>
    <row r="3642" spans="1:5" hidden="1" outlineLevel="2">
      <c r="A3642" s="3" t="e">
        <f>(HYPERLINK("http://www.autodoc.ru/Web/price/art/6276RBZR3FD?analog=on","6276RBZR3FD"))*1</f>
        <v>#VALUE!</v>
      </c>
      <c r="B3642" s="1">
        <v>6190339</v>
      </c>
      <c r="C3642" t="s">
        <v>3829</v>
      </c>
      <c r="D3642" t="s">
        <v>3837</v>
      </c>
      <c r="E3642" t="s">
        <v>10</v>
      </c>
    </row>
    <row r="3643" spans="1:5" hidden="1" outlineLevel="2">
      <c r="A3643" s="3" t="e">
        <f>(HYPERLINK("http://www.autodoc.ru/Web/price/art/6276RBZR5FDW?analog=on","6276RBZR5FDW"))*1</f>
        <v>#VALUE!</v>
      </c>
      <c r="B3643" s="1">
        <v>6900516</v>
      </c>
      <c r="C3643" t="s">
        <v>3829</v>
      </c>
      <c r="D3643" t="s">
        <v>3838</v>
      </c>
      <c r="E3643" t="s">
        <v>10</v>
      </c>
    </row>
    <row r="3644" spans="1:5" collapsed="1">
      <c r="A3644" s="28" t="s">
        <v>3839</v>
      </c>
      <c r="B3644" s="28">
        <v>0</v>
      </c>
      <c r="C3644" s="28">
        <v>0</v>
      </c>
      <c r="D3644" s="28">
        <v>0</v>
      </c>
      <c r="E3644" s="28">
        <v>0</v>
      </c>
    </row>
    <row r="3645" spans="1:5" hidden="1" outlineLevel="1">
      <c r="A3645" s="2">
        <v>0</v>
      </c>
      <c r="B3645" s="26" t="s">
        <v>3840</v>
      </c>
      <c r="C3645" s="27">
        <v>0</v>
      </c>
      <c r="D3645" s="27">
        <v>0</v>
      </c>
      <c r="E3645" s="27">
        <v>0</v>
      </c>
    </row>
    <row r="3646" spans="1:5" hidden="1" outlineLevel="2">
      <c r="A3646" s="3" t="e">
        <f>(HYPERLINK("http://www.autodoc.ru/Web/price/art/4326AGNHMVW?analog=on","4326AGNHMVW"))*1</f>
        <v>#VALUE!</v>
      </c>
      <c r="B3646" s="1">
        <v>6962091</v>
      </c>
      <c r="C3646" t="s">
        <v>3841</v>
      </c>
      <c r="D3646" t="s">
        <v>3842</v>
      </c>
      <c r="E3646" t="s">
        <v>8</v>
      </c>
    </row>
    <row r="3647" spans="1:5" hidden="1" outlineLevel="2">
      <c r="A3647" s="3" t="e">
        <f>(HYPERLINK("http://www.autodoc.ru/Web/price/art/4326AGNHMVW6U?analog=on","4326AGNHMVW6U"))*1</f>
        <v>#VALUE!</v>
      </c>
      <c r="B3647" s="1">
        <v>6962943</v>
      </c>
      <c r="C3647" t="s">
        <v>2633</v>
      </c>
      <c r="D3647" t="s">
        <v>3843</v>
      </c>
      <c r="E3647" t="s">
        <v>8</v>
      </c>
    </row>
    <row r="3648" spans="1:5" hidden="1" outlineLevel="2">
      <c r="A3648" s="3" t="e">
        <f>(HYPERLINK("http://www.autodoc.ru/Web/price/art/4326ASMST?analog=on","4326ASMST"))*1</f>
        <v>#VALUE!</v>
      </c>
      <c r="B3648" s="1">
        <v>6102343</v>
      </c>
      <c r="C3648" t="s">
        <v>19</v>
      </c>
      <c r="D3648" t="s">
        <v>3844</v>
      </c>
      <c r="E3648" t="s">
        <v>21</v>
      </c>
    </row>
    <row r="3649" spans="1:5" hidden="1" outlineLevel="2">
      <c r="A3649" s="3" t="e">
        <f>(HYPERLINK("http://www.autodoc.ru/Web/price/art/4326LGNS4FD?analog=on","4326LGNS4FD"))*1</f>
        <v>#VALUE!</v>
      </c>
      <c r="B3649" s="1">
        <v>6999957</v>
      </c>
      <c r="C3649" t="s">
        <v>359</v>
      </c>
      <c r="D3649" t="s">
        <v>3845</v>
      </c>
      <c r="E3649" t="s">
        <v>10</v>
      </c>
    </row>
    <row r="3650" spans="1:5" hidden="1" outlineLevel="2">
      <c r="A3650" s="3" t="e">
        <f>(HYPERLINK("http://www.autodoc.ru/Web/price/art/4326LGNS4RDW?analog=on","4326LGNS4RDW"))*1</f>
        <v>#VALUE!</v>
      </c>
      <c r="B3650" s="1">
        <v>6900156</v>
      </c>
      <c r="C3650" t="s">
        <v>3841</v>
      </c>
      <c r="D3650" t="s">
        <v>3846</v>
      </c>
      <c r="E3650" t="s">
        <v>10</v>
      </c>
    </row>
    <row r="3651" spans="1:5" hidden="1" outlineLevel="2">
      <c r="A3651" s="3" t="e">
        <f>(HYPERLINK("http://www.autodoc.ru/Web/price/art/4326RGNS4FD?analog=on","4326RGNS4FD"))*1</f>
        <v>#VALUE!</v>
      </c>
      <c r="B3651" s="1">
        <v>6900047</v>
      </c>
      <c r="C3651" t="s">
        <v>359</v>
      </c>
      <c r="D3651" t="s">
        <v>3847</v>
      </c>
      <c r="E3651" t="s">
        <v>10</v>
      </c>
    </row>
    <row r="3652" spans="1:5" hidden="1" outlineLevel="2">
      <c r="A3652" s="3" t="e">
        <f>(HYPERLINK("http://www.autodoc.ru/Web/price/art/4326RGNS4RDW?analog=on","4326RGNS4RDW"))*1</f>
        <v>#VALUE!</v>
      </c>
      <c r="B3652" s="1">
        <v>6900232</v>
      </c>
      <c r="C3652" t="s">
        <v>3841</v>
      </c>
      <c r="D3652" t="s">
        <v>3848</v>
      </c>
      <c r="E3652" t="s">
        <v>10</v>
      </c>
    </row>
    <row r="3653" spans="1:5" hidden="1" outlineLevel="1">
      <c r="A3653" s="2">
        <v>0</v>
      </c>
      <c r="B3653" s="26" t="s">
        <v>3849</v>
      </c>
      <c r="C3653" s="27">
        <v>0</v>
      </c>
      <c r="D3653" s="27">
        <v>0</v>
      </c>
      <c r="E3653" s="27">
        <v>0</v>
      </c>
    </row>
    <row r="3654" spans="1:5" hidden="1" outlineLevel="2">
      <c r="A3654" s="3" t="e">
        <f>(HYPERLINK("http://www.autodoc.ru/Web/price/art/4327AGSHVW?analog=on","4327AGSHVW"))*1</f>
        <v>#VALUE!</v>
      </c>
      <c r="B3654" s="1">
        <v>6962343</v>
      </c>
      <c r="C3654" t="s">
        <v>3850</v>
      </c>
      <c r="D3654" t="s">
        <v>3851</v>
      </c>
      <c r="E3654" t="s">
        <v>8</v>
      </c>
    </row>
    <row r="3655" spans="1:5" hidden="1" outlineLevel="2">
      <c r="A3655" s="3" t="e">
        <f>(HYPERLINK("http://www.autodoc.ru/Web/price/art/4327AGSMVW1P?analog=on","4327AGSMVW1P"))*1</f>
        <v>#VALUE!</v>
      </c>
      <c r="B3655" s="1">
        <v>6961325</v>
      </c>
      <c r="C3655" t="s">
        <v>3850</v>
      </c>
      <c r="D3655" t="s">
        <v>3852</v>
      </c>
      <c r="E3655" t="s">
        <v>8</v>
      </c>
    </row>
    <row r="3656" spans="1:5" hidden="1" outlineLevel="2">
      <c r="A3656" s="3" t="e">
        <f>(HYPERLINK("http://www.autodoc.ru/Web/price/art/4327AGSVW?analog=on","4327AGSVW"))*1</f>
        <v>#VALUE!</v>
      </c>
      <c r="B3656" s="1">
        <v>6961029</v>
      </c>
      <c r="C3656" t="s">
        <v>3850</v>
      </c>
      <c r="D3656" t="s">
        <v>3853</v>
      </c>
      <c r="E3656" t="s">
        <v>8</v>
      </c>
    </row>
    <row r="3657" spans="1:5" hidden="1" outlineLevel="2">
      <c r="A3657" s="3" t="e">
        <f>(HYPERLINK("http://www.autodoc.ru/Web/price/art/4327LGSS4FD?analog=on","4327LGSS4FD"))*1</f>
        <v>#VALUE!</v>
      </c>
      <c r="B3657" s="1">
        <v>6999958</v>
      </c>
      <c r="C3657" t="s">
        <v>3850</v>
      </c>
      <c r="D3657" t="s">
        <v>3854</v>
      </c>
      <c r="E3657" t="s">
        <v>10</v>
      </c>
    </row>
    <row r="3658" spans="1:5" hidden="1" outlineLevel="2">
      <c r="A3658" s="3" t="e">
        <f>(HYPERLINK("http://www.autodoc.ru/Web/price/art/4327LGSS4RD?analog=on","4327LGSS4RD"))*1</f>
        <v>#VALUE!</v>
      </c>
      <c r="B3658" s="1">
        <v>6900517</v>
      </c>
      <c r="C3658" t="s">
        <v>3850</v>
      </c>
      <c r="D3658" t="s">
        <v>3855</v>
      </c>
      <c r="E3658" t="s">
        <v>10</v>
      </c>
    </row>
    <row r="3659" spans="1:5" hidden="1" outlineLevel="2">
      <c r="A3659" s="3" t="e">
        <f>(HYPERLINK("http://www.autodoc.ru/Web/price/art/4327RGSS4FD?analog=on","4327RGSS4FD"))*1</f>
        <v>#VALUE!</v>
      </c>
      <c r="B3659" s="1">
        <v>6900048</v>
      </c>
      <c r="C3659" t="s">
        <v>3850</v>
      </c>
      <c r="D3659" t="s">
        <v>3856</v>
      </c>
      <c r="E3659" t="s">
        <v>10</v>
      </c>
    </row>
    <row r="3660" spans="1:5" hidden="1" outlineLevel="2">
      <c r="A3660" s="3" t="e">
        <f>(HYPERLINK("http://www.autodoc.ru/Web/price/art/4327RGSS4RD?analog=on","4327RGSS4RD"))*1</f>
        <v>#VALUE!</v>
      </c>
      <c r="B3660" s="1">
        <v>6900518</v>
      </c>
      <c r="C3660" t="s">
        <v>3850</v>
      </c>
      <c r="D3660" t="s">
        <v>3857</v>
      </c>
      <c r="E3660" t="s">
        <v>10</v>
      </c>
    </row>
    <row r="3661" spans="1:5" hidden="1" outlineLevel="1">
      <c r="A3661" s="2">
        <v>0</v>
      </c>
      <c r="B3661" s="26" t="s">
        <v>3858</v>
      </c>
      <c r="C3661" s="27">
        <v>0</v>
      </c>
      <c r="D3661" s="27">
        <v>0</v>
      </c>
      <c r="E3661" s="27">
        <v>0</v>
      </c>
    </row>
    <row r="3662" spans="1:5" hidden="1" outlineLevel="2">
      <c r="A3662" s="3" t="e">
        <f>(HYPERLINK("http://www.autodoc.ru/Web/price/art/4333LGSS4FD?analog=on","4333LGSS4FD"))*1</f>
        <v>#VALUE!</v>
      </c>
      <c r="B3662" s="1">
        <v>6901442</v>
      </c>
      <c r="C3662" t="s">
        <v>366</v>
      </c>
      <c r="D3662" t="s">
        <v>3859</v>
      </c>
      <c r="E3662" t="s">
        <v>10</v>
      </c>
    </row>
    <row r="3663" spans="1:5" hidden="1" outlineLevel="2">
      <c r="A3663" s="3" t="e">
        <f>(HYPERLINK("http://www.autodoc.ru/Web/price/art/4333RGSS4FD?analog=on","4333RGSS4FD"))*1</f>
        <v>#VALUE!</v>
      </c>
      <c r="B3663" s="1">
        <v>6901441</v>
      </c>
      <c r="C3663" t="s">
        <v>366</v>
      </c>
      <c r="D3663" t="s">
        <v>3860</v>
      </c>
      <c r="E3663" t="s">
        <v>10</v>
      </c>
    </row>
    <row r="3664" spans="1:5" hidden="1" outlineLevel="1">
      <c r="A3664" s="2">
        <v>0</v>
      </c>
      <c r="B3664" s="26" t="s">
        <v>3861</v>
      </c>
      <c r="C3664" s="27">
        <v>0</v>
      </c>
      <c r="D3664" s="27">
        <v>0</v>
      </c>
      <c r="E3664" s="27">
        <v>0</v>
      </c>
    </row>
    <row r="3665" spans="1:5" hidden="1" outlineLevel="2">
      <c r="A3665" s="3" t="e">
        <f>(HYPERLINK("http://www.autodoc.ru/Web/price/art/4319AGNV?analog=on","4319AGNV"))*1</f>
        <v>#VALUE!</v>
      </c>
      <c r="B3665" s="1">
        <v>6963630</v>
      </c>
      <c r="C3665" t="s">
        <v>3103</v>
      </c>
      <c r="D3665" t="s">
        <v>3862</v>
      </c>
      <c r="E3665" t="s">
        <v>8</v>
      </c>
    </row>
    <row r="3666" spans="1:5" hidden="1" outlineLevel="1">
      <c r="A3666" s="2">
        <v>0</v>
      </c>
      <c r="B3666" s="26" t="s">
        <v>3863</v>
      </c>
      <c r="C3666" s="27">
        <v>0</v>
      </c>
      <c r="D3666" s="27">
        <v>0</v>
      </c>
      <c r="E3666" s="27">
        <v>0</v>
      </c>
    </row>
    <row r="3667" spans="1:5" hidden="1" outlineLevel="2">
      <c r="A3667" s="3" t="e">
        <f>(HYPERLINK("http://www.autodoc.ru/Web/price/art/4318AGN?analog=on","4318AGN"))*1</f>
        <v>#VALUE!</v>
      </c>
      <c r="B3667" s="1">
        <v>6963629</v>
      </c>
      <c r="C3667" t="s">
        <v>2917</v>
      </c>
      <c r="D3667" t="s">
        <v>3864</v>
      </c>
      <c r="E3667" t="s">
        <v>8</v>
      </c>
    </row>
    <row r="3668" spans="1:5" hidden="1" outlineLevel="1">
      <c r="A3668" s="2">
        <v>0</v>
      </c>
      <c r="B3668" s="26" t="s">
        <v>3865</v>
      </c>
      <c r="C3668" s="27">
        <v>0</v>
      </c>
      <c r="D3668" s="27">
        <v>0</v>
      </c>
      <c r="E3668" s="27">
        <v>0</v>
      </c>
    </row>
    <row r="3669" spans="1:5" hidden="1" outlineLevel="2">
      <c r="A3669" s="3" t="e">
        <f>(HYPERLINK("http://www.autodoc.ru/Web/price/art/4324AGNHV1P?analog=on","4324AGNHV1P"))*1</f>
        <v>#VALUE!</v>
      </c>
      <c r="B3669" s="1">
        <v>6964462</v>
      </c>
      <c r="C3669" t="s">
        <v>3866</v>
      </c>
      <c r="D3669" t="s">
        <v>3867</v>
      </c>
      <c r="E3669" t="s">
        <v>8</v>
      </c>
    </row>
    <row r="3670" spans="1:5" hidden="1" outlineLevel="2">
      <c r="A3670" s="3" t="e">
        <f>(HYPERLINK("http://www.autodoc.ru/Web/price/art/4324AGNV1P?analog=on","4324AGNV1P"))*1</f>
        <v>#VALUE!</v>
      </c>
      <c r="B3670" s="1">
        <v>6964465</v>
      </c>
      <c r="C3670" t="s">
        <v>3866</v>
      </c>
      <c r="D3670" t="s">
        <v>3868</v>
      </c>
      <c r="E3670" t="s">
        <v>8</v>
      </c>
    </row>
    <row r="3671" spans="1:5" hidden="1" outlineLevel="1">
      <c r="A3671" s="2">
        <v>0</v>
      </c>
      <c r="B3671" s="26" t="s">
        <v>3869</v>
      </c>
      <c r="C3671" s="27">
        <v>0</v>
      </c>
      <c r="D3671" s="27">
        <v>0</v>
      </c>
      <c r="E3671" s="27">
        <v>0</v>
      </c>
    </row>
    <row r="3672" spans="1:5" hidden="1" outlineLevel="2">
      <c r="A3672" s="3" t="e">
        <f>(HYPERLINK("http://www.autodoc.ru/Web/price/art/4328AGAHMVZ1P?analog=on","4328AGAHMVZ1P"))*1</f>
        <v>#VALUE!</v>
      </c>
      <c r="B3672" s="1">
        <v>6964858</v>
      </c>
      <c r="C3672" t="s">
        <v>1309</v>
      </c>
      <c r="D3672" t="s">
        <v>3870</v>
      </c>
      <c r="E3672" t="s">
        <v>8</v>
      </c>
    </row>
    <row r="3673" spans="1:5" collapsed="1">
      <c r="A3673" s="28" t="s">
        <v>1178</v>
      </c>
      <c r="B3673" s="28">
        <v>0</v>
      </c>
      <c r="C3673" s="28">
        <v>0</v>
      </c>
      <c r="D3673" s="28">
        <v>0</v>
      </c>
      <c r="E3673" s="28">
        <v>0</v>
      </c>
    </row>
    <row r="3674" spans="1:5" hidden="1" outlineLevel="1">
      <c r="A3674" s="2">
        <v>0</v>
      </c>
      <c r="B3674" s="26" t="s">
        <v>3871</v>
      </c>
      <c r="C3674" s="27">
        <v>0</v>
      </c>
      <c r="D3674" s="27">
        <v>0</v>
      </c>
      <c r="E3674" s="27">
        <v>0</v>
      </c>
    </row>
    <row r="3675" spans="1:5" hidden="1" outlineLevel="2">
      <c r="A3675" s="3" t="e">
        <f>(HYPERLINK("http://www.autodoc.ru/Web/price/art/1449AGN?analog=on","1449AGN"))*1</f>
        <v>#VALUE!</v>
      </c>
      <c r="B3675" s="1">
        <v>6963018</v>
      </c>
      <c r="C3675" t="s">
        <v>1436</v>
      </c>
      <c r="D3675" t="s">
        <v>3872</v>
      </c>
      <c r="E3675" t="s">
        <v>8</v>
      </c>
    </row>
    <row r="3676" spans="1:5" hidden="1" outlineLevel="1">
      <c r="A3676" s="2">
        <v>0</v>
      </c>
      <c r="B3676" s="26" t="s">
        <v>3873</v>
      </c>
      <c r="C3676" s="27">
        <v>0</v>
      </c>
      <c r="D3676" s="27">
        <v>0</v>
      </c>
      <c r="E3676" s="27">
        <v>0</v>
      </c>
    </row>
    <row r="3677" spans="1:5" hidden="1" outlineLevel="2">
      <c r="A3677" s="3" t="e">
        <f>(HYPERLINK("http://www.autodoc.ru/Web/price/art/AJ09AGSBLV?analog=on","AJ09AGSBLV"))*1</f>
        <v>#VALUE!</v>
      </c>
      <c r="B3677" s="1">
        <v>6950037</v>
      </c>
      <c r="C3677" t="s">
        <v>261</v>
      </c>
      <c r="D3677" t="s">
        <v>3874</v>
      </c>
      <c r="E3677" t="s">
        <v>8</v>
      </c>
    </row>
    <row r="3678" spans="1:5" hidden="1" outlineLevel="2">
      <c r="A3678" s="3" t="e">
        <f>(HYPERLINK("http://www.autodoc.ru/Web/price/art/AJ09AGSBLV1B?analog=on","AJ09AGSBLV1B"))*1</f>
        <v>#VALUE!</v>
      </c>
      <c r="B3678" s="1">
        <v>6962429</v>
      </c>
      <c r="C3678" t="s">
        <v>261</v>
      </c>
      <c r="D3678" t="s">
        <v>3875</v>
      </c>
      <c r="E3678" t="s">
        <v>8</v>
      </c>
    </row>
    <row r="3679" spans="1:5" hidden="1" outlineLevel="2">
      <c r="A3679" s="3" t="e">
        <f>(HYPERLINK("http://www.autodoc.ru/Web/price/art/AJ09AGSV1B?analog=on","AJ09AGSV1B"))*1</f>
        <v>#VALUE!</v>
      </c>
      <c r="B3679" s="1">
        <v>6962428</v>
      </c>
      <c r="C3679" t="s">
        <v>261</v>
      </c>
      <c r="D3679" t="s">
        <v>3876</v>
      </c>
      <c r="E3679" t="s">
        <v>8</v>
      </c>
    </row>
    <row r="3680" spans="1:5" hidden="1" outlineLevel="2">
      <c r="A3680" s="3" t="e">
        <f>(HYPERLINK("http://www.autodoc.ru/Web/price/art/AJ09BGSROW?analog=on","AJ09BGSROW"))*1</f>
        <v>#VALUE!</v>
      </c>
      <c r="B3680" s="1">
        <v>6900106</v>
      </c>
      <c r="C3680" t="s">
        <v>261</v>
      </c>
      <c r="D3680" t="s">
        <v>3877</v>
      </c>
      <c r="E3680" t="s">
        <v>23</v>
      </c>
    </row>
    <row r="3681" spans="1:5" hidden="1" outlineLevel="2">
      <c r="A3681" s="3" t="e">
        <f>(HYPERLINK("http://www.autodoc.ru/Web/price/art/AJ09LGSR5FDW?analog=on","AJ09LGSR5FDW"))*1</f>
        <v>#VALUE!</v>
      </c>
      <c r="B3681" s="1">
        <v>6900117</v>
      </c>
      <c r="C3681" t="s">
        <v>261</v>
      </c>
      <c r="D3681" t="s">
        <v>3878</v>
      </c>
      <c r="E3681" t="s">
        <v>10</v>
      </c>
    </row>
    <row r="3682" spans="1:5" hidden="1" outlineLevel="2">
      <c r="A3682" s="3" t="e">
        <f>(HYPERLINK("http://www.autodoc.ru/Web/price/art/AJ09RGSR5FDW?analog=on","AJ09RGSR5FDW"))*1</f>
        <v>#VALUE!</v>
      </c>
      <c r="B3682" s="1">
        <v>6900118</v>
      </c>
      <c r="C3682" t="s">
        <v>261</v>
      </c>
      <c r="D3682" t="s">
        <v>3879</v>
      </c>
      <c r="E3682" t="s">
        <v>10</v>
      </c>
    </row>
    <row r="3683" spans="1:5" hidden="1" outlineLevel="1">
      <c r="A3683" s="2">
        <v>0</v>
      </c>
      <c r="B3683" s="26" t="s">
        <v>3880</v>
      </c>
      <c r="C3683" s="27">
        <v>0</v>
      </c>
      <c r="D3683" s="27">
        <v>0</v>
      </c>
      <c r="E3683" s="27">
        <v>0</v>
      </c>
    </row>
    <row r="3684" spans="1:5" hidden="1" outlineLevel="2">
      <c r="A3684" s="3" t="e">
        <f>(HYPERLINK("http://www.autodoc.ru/Web/price/art/AJ16AGSV?analog=on","AJ16AGSV"))*1</f>
        <v>#VALUE!</v>
      </c>
      <c r="B3684" s="1">
        <v>6964740</v>
      </c>
      <c r="C3684" t="s">
        <v>366</v>
      </c>
      <c r="D3684" t="s">
        <v>3881</v>
      </c>
      <c r="E3684" t="s">
        <v>8</v>
      </c>
    </row>
    <row r="3685" spans="1:5" hidden="1" outlineLevel="2">
      <c r="A3685" s="3" t="e">
        <f>(HYPERLINK("http://www.autodoc.ru/Web/price/art/AJ16AGSBLMV?analog=on","AJ16AGSBLMV"))*1</f>
        <v>#VALUE!</v>
      </c>
      <c r="B3685" s="1">
        <v>6964889</v>
      </c>
      <c r="C3685" t="s">
        <v>366</v>
      </c>
      <c r="D3685" t="s">
        <v>3882</v>
      </c>
      <c r="E3685" t="s">
        <v>8</v>
      </c>
    </row>
    <row r="3686" spans="1:5" hidden="1" outlineLevel="1">
      <c r="A3686" s="2">
        <v>0</v>
      </c>
      <c r="B3686" s="26" t="s">
        <v>3883</v>
      </c>
      <c r="C3686" s="27">
        <v>0</v>
      </c>
      <c r="D3686" s="27">
        <v>0</v>
      </c>
      <c r="E3686" s="27">
        <v>0</v>
      </c>
    </row>
    <row r="3687" spans="1:5" hidden="1" outlineLevel="2">
      <c r="A3687" s="3" t="e">
        <f>(HYPERLINK("http://www.autodoc.ru/Web/price/art/AJ10AGSMV1C?analog=on","AJ10AGSMV1C"))*1</f>
        <v>#VALUE!</v>
      </c>
      <c r="B3687" s="1">
        <v>6962431</v>
      </c>
      <c r="C3687" t="s">
        <v>904</v>
      </c>
      <c r="D3687" t="s">
        <v>3884</v>
      </c>
      <c r="E3687" t="s">
        <v>8</v>
      </c>
    </row>
    <row r="3688" spans="1:5" hidden="1" outlineLevel="2">
      <c r="A3688" s="3" t="e">
        <f>(HYPERLINK("http://www.autodoc.ru/Web/price/art/AJ10AGSV?analog=on","AJ10AGSV"))*1</f>
        <v>#VALUE!</v>
      </c>
      <c r="B3688" s="1">
        <v>6961470</v>
      </c>
      <c r="C3688" t="s">
        <v>904</v>
      </c>
      <c r="D3688" t="s">
        <v>3885</v>
      </c>
      <c r="E3688" t="s">
        <v>8</v>
      </c>
    </row>
    <row r="3689" spans="1:5" hidden="1" outlineLevel="2">
      <c r="A3689" s="3" t="e">
        <f>(HYPERLINK("http://www.autodoc.ru/Web/price/art/AJ10BGSROW?analog=on","AJ10BGSROW"))*1</f>
        <v>#VALUE!</v>
      </c>
      <c r="B3689" s="1">
        <v>6993349</v>
      </c>
      <c r="C3689" t="s">
        <v>904</v>
      </c>
      <c r="D3689" t="s">
        <v>3886</v>
      </c>
      <c r="E3689" t="s">
        <v>23</v>
      </c>
    </row>
    <row r="3690" spans="1:5" hidden="1" outlineLevel="2">
      <c r="A3690" s="3" t="e">
        <f>(HYPERLINK("http://www.autodoc.ru/Web/price/art/AJ10BYPROW?analog=on","AJ10BYPROW"))*1</f>
        <v>#VALUE!</v>
      </c>
      <c r="B3690" s="1">
        <v>6993350</v>
      </c>
      <c r="C3690" t="s">
        <v>904</v>
      </c>
      <c r="D3690" t="s">
        <v>3887</v>
      </c>
      <c r="E3690" t="s">
        <v>23</v>
      </c>
    </row>
    <row r="3691" spans="1:5" hidden="1" outlineLevel="2">
      <c r="A3691" s="3" t="e">
        <f>(HYPERLINK("http://www.autodoc.ru/Web/price/art/AJ10LGSR5FDKW?analog=on","AJ10LGSR5FDKW"))*1</f>
        <v>#VALUE!</v>
      </c>
      <c r="B3691" s="1">
        <v>6961140</v>
      </c>
      <c r="C3691" t="s">
        <v>904</v>
      </c>
      <c r="D3691" t="s">
        <v>3888</v>
      </c>
      <c r="E3691" t="s">
        <v>10</v>
      </c>
    </row>
    <row r="3692" spans="1:5" hidden="1" outlineLevel="2">
      <c r="A3692" s="3" t="e">
        <f>(HYPERLINK("http://www.autodoc.ru/Web/price/art/AJ10LGSR5RD?analog=on","AJ10LGSR5RD"))*1</f>
        <v>#VALUE!</v>
      </c>
      <c r="B3692" s="1">
        <v>6993198</v>
      </c>
      <c r="C3692" t="s">
        <v>904</v>
      </c>
      <c r="D3692" t="s">
        <v>3889</v>
      </c>
      <c r="E3692" t="s">
        <v>10</v>
      </c>
    </row>
    <row r="3693" spans="1:5" hidden="1" outlineLevel="2">
      <c r="A3693" s="3" t="e">
        <f>(HYPERLINK("http://www.autodoc.ru/Web/price/art/AJ10LYPR5RD?analog=on","AJ10LYPR5RD"))*1</f>
        <v>#VALUE!</v>
      </c>
      <c r="B3693" s="1">
        <v>6993208</v>
      </c>
      <c r="C3693" t="s">
        <v>904</v>
      </c>
      <c r="D3693" t="s">
        <v>3890</v>
      </c>
      <c r="E3693" t="s">
        <v>10</v>
      </c>
    </row>
    <row r="3694" spans="1:5" hidden="1" outlineLevel="2">
      <c r="A3694" s="3" t="e">
        <f>(HYPERLINK("http://www.autodoc.ru/Web/price/art/AJ10RGSR5FDKW?analog=on","AJ10RGSR5FDKW"))*1</f>
        <v>#VALUE!</v>
      </c>
      <c r="B3694" s="1">
        <v>6961139</v>
      </c>
      <c r="C3694" t="s">
        <v>904</v>
      </c>
      <c r="D3694" t="s">
        <v>3891</v>
      </c>
      <c r="E3694" t="s">
        <v>10</v>
      </c>
    </row>
    <row r="3695" spans="1:5" hidden="1" outlineLevel="2">
      <c r="A3695" s="3" t="e">
        <f>(HYPERLINK("http://www.autodoc.ru/Web/price/art/AJ10RGSR5RD?analog=on","AJ10RGSR5RD"))*1</f>
        <v>#VALUE!</v>
      </c>
      <c r="B3695" s="1">
        <v>6993197</v>
      </c>
      <c r="C3695" t="s">
        <v>904</v>
      </c>
      <c r="D3695" t="s">
        <v>3892</v>
      </c>
      <c r="E3695" t="s">
        <v>10</v>
      </c>
    </row>
    <row r="3696" spans="1:5" hidden="1" outlineLevel="2">
      <c r="A3696" s="3" t="e">
        <f>(HYPERLINK("http://www.autodoc.ru/Web/price/art/AJ10RYPR5RD?analog=on","AJ10RYPR5RD"))*1</f>
        <v>#VALUE!</v>
      </c>
      <c r="B3696" s="1">
        <v>6993199</v>
      </c>
      <c r="C3696" t="s">
        <v>904</v>
      </c>
      <c r="D3696" t="s">
        <v>3893</v>
      </c>
      <c r="E3696" t="s">
        <v>10</v>
      </c>
    </row>
    <row r="3697" spans="1:5" hidden="1" outlineLevel="1">
      <c r="A3697" s="2">
        <v>0</v>
      </c>
      <c r="B3697" s="26" t="s">
        <v>3894</v>
      </c>
      <c r="C3697" s="27">
        <v>0</v>
      </c>
      <c r="D3697" s="27">
        <v>0</v>
      </c>
      <c r="E3697" s="27">
        <v>0</v>
      </c>
    </row>
    <row r="3698" spans="1:5" hidden="1" outlineLevel="2">
      <c r="A3698" s="3" t="e">
        <f>(HYPERLINK("http://www.autodoc.ru/Web/price/art/AJ06AGN?analog=on","AJ06AGN"))*1</f>
        <v>#VALUE!</v>
      </c>
      <c r="B3698" s="1">
        <v>6962432</v>
      </c>
      <c r="C3698" t="s">
        <v>3895</v>
      </c>
      <c r="D3698" t="s">
        <v>3896</v>
      </c>
      <c r="E3698" t="s">
        <v>8</v>
      </c>
    </row>
    <row r="3699" spans="1:5" hidden="1" outlineLevel="2">
      <c r="A3699" s="3" t="e">
        <f>(HYPERLINK("http://www.autodoc.ru/Web/price/art/AJ06ASMR?analog=on","AJ06ASMR"))*1</f>
        <v>#VALUE!</v>
      </c>
      <c r="B3699" s="1">
        <v>6102021</v>
      </c>
      <c r="C3699" t="s">
        <v>19</v>
      </c>
      <c r="D3699" t="s">
        <v>3897</v>
      </c>
      <c r="E3699" t="s">
        <v>21</v>
      </c>
    </row>
    <row r="3700" spans="1:5" collapsed="1">
      <c r="A3700" s="28" t="s">
        <v>3898</v>
      </c>
      <c r="B3700" s="28">
        <v>0</v>
      </c>
      <c r="C3700" s="28">
        <v>0</v>
      </c>
      <c r="D3700" s="28">
        <v>0</v>
      </c>
      <c r="E3700" s="28">
        <v>0</v>
      </c>
    </row>
    <row r="3701" spans="1:5" hidden="1" outlineLevel="1">
      <c r="A3701" s="2">
        <v>0</v>
      </c>
      <c r="B3701" s="26" t="s">
        <v>3899</v>
      </c>
      <c r="C3701" s="27">
        <v>0</v>
      </c>
      <c r="D3701" s="27">
        <v>0</v>
      </c>
      <c r="E3701" s="27">
        <v>0</v>
      </c>
    </row>
    <row r="3702" spans="1:5" hidden="1" outlineLevel="2">
      <c r="A3702" s="3" t="e">
        <f>(HYPERLINK("http://www.autodoc.ru/Web/price/art/4419AGNBL?analog=on","4419AGNBL"))*1</f>
        <v>#VALUE!</v>
      </c>
      <c r="B3702" s="1">
        <v>6961358</v>
      </c>
      <c r="C3702" t="s">
        <v>829</v>
      </c>
      <c r="D3702" t="s">
        <v>3900</v>
      </c>
      <c r="E3702" t="s">
        <v>8</v>
      </c>
    </row>
    <row r="3703" spans="1:5" hidden="1" outlineLevel="1">
      <c r="A3703" s="2">
        <v>0</v>
      </c>
      <c r="B3703" s="26" t="s">
        <v>3901</v>
      </c>
      <c r="C3703" s="27">
        <v>0</v>
      </c>
      <c r="D3703" s="27">
        <v>0</v>
      </c>
      <c r="E3703" s="27">
        <v>0</v>
      </c>
    </row>
    <row r="3704" spans="1:5" hidden="1" outlineLevel="2">
      <c r="A3704" s="3" t="e">
        <f>(HYPERLINK("http://www.autodoc.ru/Web/price/art/4410AGNBL?analog=on","4410AGNBL"))*1</f>
        <v>#VALUE!</v>
      </c>
      <c r="B3704" s="1">
        <v>6960861</v>
      </c>
      <c r="C3704" t="s">
        <v>3902</v>
      </c>
      <c r="D3704" t="s">
        <v>3903</v>
      </c>
      <c r="E3704" t="s">
        <v>8</v>
      </c>
    </row>
    <row r="3705" spans="1:5" hidden="1" outlineLevel="2">
      <c r="A3705" s="3" t="e">
        <f>(HYPERLINK("http://www.autodoc.ru/Web/price/art/4410ASMV?analog=on","4410ASMV"))*1</f>
        <v>#VALUE!</v>
      </c>
      <c r="B3705" s="1">
        <v>6101031</v>
      </c>
      <c r="C3705" t="s">
        <v>19</v>
      </c>
      <c r="D3705" t="s">
        <v>3904</v>
      </c>
      <c r="E3705" t="s">
        <v>21</v>
      </c>
    </row>
    <row r="3706" spans="1:5" hidden="1" outlineLevel="2">
      <c r="A3706" s="3" t="e">
        <f>(HYPERLINK("http://www.autodoc.ru/Web/price/art/4410LGNV5RD?analog=on","4410LGNV5RD"))*1</f>
        <v>#VALUE!</v>
      </c>
      <c r="B3706" s="1">
        <v>6995287</v>
      </c>
      <c r="C3706" t="s">
        <v>3902</v>
      </c>
      <c r="D3706" t="s">
        <v>3905</v>
      </c>
      <c r="E3706" t="s">
        <v>10</v>
      </c>
    </row>
    <row r="3707" spans="1:5" hidden="1" outlineLevel="2">
      <c r="A3707" s="3" t="e">
        <f>(HYPERLINK("http://www.autodoc.ru/Web/price/art/4410RGNV5RD?analog=on","4410RGNV5RD"))*1</f>
        <v>#VALUE!</v>
      </c>
      <c r="B3707" s="1">
        <v>6995288</v>
      </c>
      <c r="C3707" t="s">
        <v>3902</v>
      </c>
      <c r="D3707" t="s">
        <v>3906</v>
      </c>
      <c r="E3707" t="s">
        <v>10</v>
      </c>
    </row>
    <row r="3708" spans="1:5" hidden="1" outlineLevel="1">
      <c r="A3708" s="2">
        <v>0</v>
      </c>
      <c r="B3708" s="26" t="s">
        <v>3907</v>
      </c>
      <c r="C3708" s="27">
        <v>0</v>
      </c>
      <c r="D3708" s="27">
        <v>0</v>
      </c>
      <c r="E3708" s="27">
        <v>0</v>
      </c>
    </row>
    <row r="3709" spans="1:5" hidden="1" outlineLevel="2">
      <c r="A3709" s="3" t="e">
        <f>(HYPERLINK("http://www.autodoc.ru/Web/price/art/4430AGNBLHV?analog=on","4430AGNBLHV"))*1</f>
        <v>#VALUE!</v>
      </c>
      <c r="B3709" s="1">
        <v>6962803</v>
      </c>
      <c r="C3709" t="s">
        <v>997</v>
      </c>
      <c r="D3709" t="s">
        <v>3908</v>
      </c>
      <c r="E3709" t="s">
        <v>8</v>
      </c>
    </row>
    <row r="3710" spans="1:5" hidden="1" outlineLevel="2">
      <c r="A3710" s="3" t="e">
        <f>(HYPERLINK("http://www.autodoc.ru/Web/price/art/4430LGNM5FD?analog=on","4430LGNM5FD"))*1</f>
        <v>#VALUE!</v>
      </c>
      <c r="B3710" s="1">
        <v>6900715</v>
      </c>
      <c r="C3710" t="s">
        <v>997</v>
      </c>
      <c r="D3710" t="s">
        <v>3909</v>
      </c>
      <c r="E3710" t="s">
        <v>10</v>
      </c>
    </row>
    <row r="3711" spans="1:5" hidden="1" outlineLevel="2">
      <c r="A3711" s="3" t="e">
        <f>(HYPERLINK("http://www.autodoc.ru/Web/price/art/4430LGNM5RD?analog=on","4430LGNM5RD"))*1</f>
        <v>#VALUE!</v>
      </c>
      <c r="B3711" s="1">
        <v>6900784</v>
      </c>
      <c r="C3711" t="s">
        <v>997</v>
      </c>
      <c r="D3711" t="s">
        <v>3910</v>
      </c>
      <c r="E3711" t="s">
        <v>10</v>
      </c>
    </row>
    <row r="3712" spans="1:5" hidden="1" outlineLevel="2">
      <c r="A3712" s="3" t="e">
        <f>(HYPERLINK("http://www.autodoc.ru/Web/price/art/4430RGNM5FD?analog=on","4430RGNM5FD"))*1</f>
        <v>#VALUE!</v>
      </c>
      <c r="B3712" s="1">
        <v>6900716</v>
      </c>
      <c r="C3712" t="s">
        <v>997</v>
      </c>
      <c r="D3712" t="s">
        <v>3911</v>
      </c>
      <c r="E3712" t="s">
        <v>10</v>
      </c>
    </row>
    <row r="3713" spans="1:5" hidden="1" outlineLevel="2">
      <c r="A3713" s="3" t="e">
        <f>(HYPERLINK("http://www.autodoc.ru/Web/price/art/4430RGNM5RD?analog=on","4430RGNM5RD"))*1</f>
        <v>#VALUE!</v>
      </c>
      <c r="B3713" s="1">
        <v>6900783</v>
      </c>
      <c r="C3713" t="s">
        <v>997</v>
      </c>
      <c r="D3713" t="s">
        <v>3912</v>
      </c>
      <c r="E3713" t="s">
        <v>10</v>
      </c>
    </row>
    <row r="3714" spans="1:5" hidden="1" outlineLevel="1">
      <c r="A3714" s="2">
        <v>0</v>
      </c>
      <c r="B3714" s="26" t="s">
        <v>3913</v>
      </c>
      <c r="C3714" s="27">
        <v>0</v>
      </c>
      <c r="D3714" s="27">
        <v>0</v>
      </c>
      <c r="E3714" s="27">
        <v>0</v>
      </c>
    </row>
    <row r="3715" spans="1:5" hidden="1" outlineLevel="2">
      <c r="A3715" s="3" t="e">
        <f>(HYPERLINK("http://www.autodoc.ru/Web/price/art/4408AGNBL?analog=on","4408AGNBL"))*1</f>
        <v>#VALUE!</v>
      </c>
      <c r="B3715" s="1">
        <v>6960674</v>
      </c>
      <c r="C3715" t="s">
        <v>538</v>
      </c>
      <c r="D3715" t="s">
        <v>3914</v>
      </c>
      <c r="E3715" t="s">
        <v>8</v>
      </c>
    </row>
    <row r="3716" spans="1:5" hidden="1" outlineLevel="2">
      <c r="A3716" s="3" t="e">
        <f>(HYPERLINK("http://www.autodoc.ru/Web/price/art/4408AGNBLHM1B?analog=on","4408AGNBLHM1B"))*1</f>
        <v>#VALUE!</v>
      </c>
      <c r="B3716" s="1">
        <v>6961901</v>
      </c>
      <c r="C3716" t="s">
        <v>829</v>
      </c>
      <c r="D3716" t="s">
        <v>3915</v>
      </c>
      <c r="E3716" t="s">
        <v>8</v>
      </c>
    </row>
    <row r="3717" spans="1:5" hidden="1" outlineLevel="2">
      <c r="A3717" s="3" t="e">
        <f>(HYPERLINK("http://www.autodoc.ru/Web/price/art/4408ASMV?analog=on","4408ASMV"))*1</f>
        <v>#VALUE!</v>
      </c>
      <c r="B3717" s="1">
        <v>6100601</v>
      </c>
      <c r="C3717" t="s">
        <v>19</v>
      </c>
      <c r="D3717" t="s">
        <v>3916</v>
      </c>
      <c r="E3717" t="s">
        <v>21</v>
      </c>
    </row>
    <row r="3718" spans="1:5" hidden="1" outlineLevel="2">
      <c r="A3718" s="3" t="e">
        <f>(HYPERLINK("http://www.autodoc.ru/Web/price/art/4408BGNV?analog=on","4408BGNV"))*1</f>
        <v>#VALUE!</v>
      </c>
      <c r="B3718" s="1">
        <v>6992769</v>
      </c>
      <c r="C3718" t="s">
        <v>538</v>
      </c>
      <c r="D3718" t="s">
        <v>3917</v>
      </c>
      <c r="E3718" t="s">
        <v>23</v>
      </c>
    </row>
    <row r="3719" spans="1:5" hidden="1" outlineLevel="2">
      <c r="A3719" s="3" t="e">
        <f>(HYPERLINK("http://www.autodoc.ru/Web/price/art/4408BGNVBW1J?analog=on","4408BGNVBW1J"))*1</f>
        <v>#VALUE!</v>
      </c>
      <c r="B3719" s="1">
        <v>6996410</v>
      </c>
      <c r="C3719" t="s">
        <v>829</v>
      </c>
      <c r="D3719" t="s">
        <v>3918</v>
      </c>
      <c r="E3719" t="s">
        <v>23</v>
      </c>
    </row>
    <row r="3720" spans="1:5" hidden="1" outlineLevel="2">
      <c r="A3720" s="3" t="e">
        <f>(HYPERLINK("http://www.autodoc.ru/Web/price/art/4408LGNV5FD?analog=on","4408LGNV5FD"))*1</f>
        <v>#VALUE!</v>
      </c>
      <c r="B3720" s="1">
        <v>6993114</v>
      </c>
      <c r="C3720" t="s">
        <v>538</v>
      </c>
      <c r="D3720" t="s">
        <v>3919</v>
      </c>
      <c r="E3720" t="s">
        <v>10</v>
      </c>
    </row>
    <row r="3721" spans="1:5" hidden="1" outlineLevel="2">
      <c r="A3721" s="3" t="e">
        <f>(HYPERLINK("http://www.autodoc.ru/Web/price/art/4408LGNV5RDW?analog=on","4408LGNV5RDW"))*1</f>
        <v>#VALUE!</v>
      </c>
      <c r="B3721" s="1">
        <v>6900782</v>
      </c>
      <c r="C3721" t="s">
        <v>538</v>
      </c>
      <c r="D3721" t="s">
        <v>3920</v>
      </c>
      <c r="E3721" t="s">
        <v>10</v>
      </c>
    </row>
    <row r="3722" spans="1:5" hidden="1" outlineLevel="2">
      <c r="A3722" s="3" t="e">
        <f>(HYPERLINK("http://www.autodoc.ru/Web/price/art/4408LGNV5RQO?analog=on","4408LGNV5RQO"))*1</f>
        <v>#VALUE!</v>
      </c>
      <c r="B3722" s="1">
        <v>6995285</v>
      </c>
      <c r="C3722" t="s">
        <v>538</v>
      </c>
      <c r="D3722" t="s">
        <v>3921</v>
      </c>
      <c r="E3722" t="s">
        <v>10</v>
      </c>
    </row>
    <row r="3723" spans="1:5" hidden="1" outlineLevel="2">
      <c r="A3723" s="3" t="e">
        <f>(HYPERLINK("http://www.autodoc.ru/Web/price/art/4408RGNV5FD?analog=on","4408RGNV5FD"))*1</f>
        <v>#VALUE!</v>
      </c>
      <c r="B3723" s="1">
        <v>6993119</v>
      </c>
      <c r="C3723" t="s">
        <v>538</v>
      </c>
      <c r="D3723" t="s">
        <v>3922</v>
      </c>
      <c r="E3723" t="s">
        <v>10</v>
      </c>
    </row>
    <row r="3724" spans="1:5" hidden="1" outlineLevel="2">
      <c r="A3724" s="3" t="e">
        <f>(HYPERLINK("http://www.autodoc.ru/Web/price/art/4408RGNV5RDW?analog=on","4408RGNV5RDW"))*1</f>
        <v>#VALUE!</v>
      </c>
      <c r="B3724" s="1">
        <v>6900781</v>
      </c>
      <c r="C3724" t="s">
        <v>538</v>
      </c>
      <c r="D3724" t="s">
        <v>3923</v>
      </c>
      <c r="E3724" t="s">
        <v>10</v>
      </c>
    </row>
    <row r="3725" spans="1:5" hidden="1" outlineLevel="2">
      <c r="A3725" s="3" t="e">
        <f>(HYPERLINK("http://www.autodoc.ru/Web/price/art/4408RGNV5RQO?analog=on","4408RGNV5RQO"))*1</f>
        <v>#VALUE!</v>
      </c>
      <c r="B3725" s="1">
        <v>6995286</v>
      </c>
      <c r="C3725" t="s">
        <v>538</v>
      </c>
      <c r="D3725" t="s">
        <v>3924</v>
      </c>
      <c r="E3725" t="s">
        <v>10</v>
      </c>
    </row>
    <row r="3726" spans="1:5" hidden="1" outlineLevel="1">
      <c r="A3726" s="2">
        <v>0</v>
      </c>
      <c r="B3726" s="26" t="s">
        <v>3925</v>
      </c>
      <c r="C3726" s="27">
        <v>0</v>
      </c>
      <c r="D3726" s="27">
        <v>0</v>
      </c>
      <c r="E3726" s="27">
        <v>0</v>
      </c>
    </row>
    <row r="3727" spans="1:5" hidden="1" outlineLevel="2">
      <c r="A3727" s="3" t="e">
        <f>(HYPERLINK("http://www.autodoc.ru/Web/price/art/4429AGNBLHMV1B?analog=on","4429AGNBLHMV1B"))*1</f>
        <v>#VALUE!</v>
      </c>
      <c r="B3727" s="1">
        <v>6962604</v>
      </c>
      <c r="C3727" t="s">
        <v>389</v>
      </c>
      <c r="D3727" t="s">
        <v>3926</v>
      </c>
      <c r="E3727" t="s">
        <v>8</v>
      </c>
    </row>
    <row r="3728" spans="1:5" hidden="1" outlineLevel="2">
      <c r="A3728" s="3" t="e">
        <f>(HYPERLINK("http://www.autodoc.ru/Web/price/art/4429AGNBLHV?analog=on","4429AGNBLHV"))*1</f>
        <v>#VALUE!</v>
      </c>
      <c r="B3728" s="1">
        <v>6962603</v>
      </c>
      <c r="C3728" t="s">
        <v>389</v>
      </c>
      <c r="D3728" t="s">
        <v>3927</v>
      </c>
      <c r="E3728" t="s">
        <v>8</v>
      </c>
    </row>
    <row r="3729" spans="1:5" hidden="1" outlineLevel="2">
      <c r="A3729" s="3" t="e">
        <f>(HYPERLINK("http://www.autodoc.ru/Web/price/art/4429LGNM5FD?analog=on","4429LGNM5FD"))*1</f>
        <v>#VALUE!</v>
      </c>
      <c r="B3729" s="1">
        <v>6900957</v>
      </c>
      <c r="C3729" t="s">
        <v>389</v>
      </c>
      <c r="D3729" t="s">
        <v>3928</v>
      </c>
      <c r="E3729" t="s">
        <v>10</v>
      </c>
    </row>
    <row r="3730" spans="1:5" hidden="1" outlineLevel="2">
      <c r="A3730" s="3" t="e">
        <f>(HYPERLINK("http://www.autodoc.ru/Web/price/art/4429RGNM5FD?analog=on","4429RGNM5FD"))*1</f>
        <v>#VALUE!</v>
      </c>
      <c r="B3730" s="1">
        <v>6900958</v>
      </c>
      <c r="C3730" t="s">
        <v>389</v>
      </c>
      <c r="D3730" t="s">
        <v>3929</v>
      </c>
      <c r="E3730" t="s">
        <v>10</v>
      </c>
    </row>
    <row r="3731" spans="1:5" hidden="1" outlineLevel="2">
      <c r="A3731" s="3" t="e">
        <f>(HYPERLINK("http://www.autodoc.ru/Web/price/art/4429RGNM5RDW?analog=on","4429RGNM5RDW"))*1</f>
        <v>#VALUE!</v>
      </c>
      <c r="B3731" s="1">
        <v>6900720</v>
      </c>
      <c r="C3731" t="s">
        <v>389</v>
      </c>
      <c r="D3731" t="s">
        <v>3930</v>
      </c>
      <c r="E3731" t="s">
        <v>10</v>
      </c>
    </row>
    <row r="3732" spans="1:5" hidden="1" outlineLevel="2">
      <c r="A3732" s="3" t="e">
        <f>(HYPERLINK("http://www.autodoc.ru/Web/price/art/4429LGNM5RDW?analog=on","4429LGNM5RDW"))*1</f>
        <v>#VALUE!</v>
      </c>
      <c r="B3732" s="1">
        <v>6900719</v>
      </c>
      <c r="C3732" t="s">
        <v>389</v>
      </c>
      <c r="D3732" t="s">
        <v>3931</v>
      </c>
      <c r="E3732" t="s">
        <v>10</v>
      </c>
    </row>
    <row r="3733" spans="1:5" hidden="1" outlineLevel="1">
      <c r="A3733" s="2">
        <v>0</v>
      </c>
      <c r="B3733" s="26" t="s">
        <v>3932</v>
      </c>
      <c r="C3733" s="27">
        <v>0</v>
      </c>
      <c r="D3733" s="27">
        <v>0</v>
      </c>
      <c r="E3733" s="27">
        <v>0</v>
      </c>
    </row>
    <row r="3734" spans="1:5" hidden="1" outlineLevel="2">
      <c r="A3734" s="3" t="e">
        <f>(HYPERLINK("http://www.autodoc.ru/Web/price/art/4431AGSHMV1P?analog=on","4431AGSHMV1P"))*1</f>
        <v>#VALUE!</v>
      </c>
      <c r="B3734" s="1">
        <v>6962598</v>
      </c>
      <c r="C3734" t="s">
        <v>389</v>
      </c>
      <c r="D3734" t="s">
        <v>3933</v>
      </c>
      <c r="E3734" t="s">
        <v>8</v>
      </c>
    </row>
    <row r="3735" spans="1:5" hidden="1" outlineLevel="2">
      <c r="A3735" s="3" t="e">
        <f>(HYPERLINK("http://www.autodoc.ru/Web/price/art/4431AGSHV?analog=on","4431AGSHV"))*1</f>
        <v>#VALUE!</v>
      </c>
      <c r="B3735" s="1">
        <v>6962597</v>
      </c>
      <c r="C3735" t="s">
        <v>389</v>
      </c>
      <c r="D3735" t="s">
        <v>3934</v>
      </c>
      <c r="E3735" t="s">
        <v>8</v>
      </c>
    </row>
    <row r="3736" spans="1:5" hidden="1" outlineLevel="2">
      <c r="A3736" s="3" t="e">
        <f>(HYPERLINK("http://www.autodoc.ru/Web/price/art/4431AGSMV1P?analog=on","4431AGSMV1P"))*1</f>
        <v>#VALUE!</v>
      </c>
      <c r="B3736" s="1">
        <v>6962596</v>
      </c>
      <c r="C3736" t="s">
        <v>389</v>
      </c>
      <c r="D3736" t="s">
        <v>3935</v>
      </c>
      <c r="E3736" t="s">
        <v>8</v>
      </c>
    </row>
    <row r="3737" spans="1:5" hidden="1" outlineLevel="2">
      <c r="A3737" s="3" t="e">
        <f>(HYPERLINK("http://www.autodoc.ru/Web/price/art/4431AGSV?analog=on","4431AGSV"))*1</f>
        <v>#VALUE!</v>
      </c>
      <c r="B3737" s="1">
        <v>6962595</v>
      </c>
      <c r="C3737" t="s">
        <v>389</v>
      </c>
      <c r="D3737" t="s">
        <v>3936</v>
      </c>
      <c r="E3737" t="s">
        <v>8</v>
      </c>
    </row>
    <row r="3738" spans="1:5" hidden="1" outlineLevel="2">
      <c r="A3738" s="3" t="e">
        <f>(HYPERLINK("http://www.autodoc.ru/Web/price/art/4431AGNHV2P?analog=on","4431AGNHV2P"))*1</f>
        <v>#VALUE!</v>
      </c>
      <c r="B3738" s="1">
        <v>6965383</v>
      </c>
      <c r="C3738" t="s">
        <v>389</v>
      </c>
      <c r="D3738" t="s">
        <v>3937</v>
      </c>
      <c r="E3738" t="s">
        <v>8</v>
      </c>
    </row>
    <row r="3739" spans="1:5" hidden="1" outlineLevel="2">
      <c r="A3739" s="3" t="e">
        <f>(HYPERLINK("http://www.autodoc.ru/Web/price/art/4431AGNMV2P?analog=on","4431AGNMV2P"))*1</f>
        <v>#VALUE!</v>
      </c>
      <c r="B3739" s="1">
        <v>6966036</v>
      </c>
      <c r="C3739" t="s">
        <v>389</v>
      </c>
      <c r="D3739" t="s">
        <v>3938</v>
      </c>
      <c r="E3739" t="s">
        <v>8</v>
      </c>
    </row>
    <row r="3740" spans="1:5" hidden="1" outlineLevel="2">
      <c r="A3740" s="3" t="e">
        <f>(HYPERLINK("http://www.autodoc.ru/Web/price/art/4431ASMH?analog=on","4431ASMH"))*1</f>
        <v>#VALUE!</v>
      </c>
      <c r="B3740" s="1">
        <v>6102313</v>
      </c>
      <c r="C3740" t="s">
        <v>19</v>
      </c>
      <c r="D3740" t="s">
        <v>3939</v>
      </c>
      <c r="E3740" t="s">
        <v>21</v>
      </c>
    </row>
    <row r="3741" spans="1:5" hidden="1" outlineLevel="2">
      <c r="A3741" s="3" t="e">
        <f>(HYPERLINK("http://www.autodoc.ru/Web/price/art/4431BGNHW1H?analog=on","4431BGNHW1H"))*1</f>
        <v>#VALUE!</v>
      </c>
      <c r="B3741" s="1">
        <v>6999711</v>
      </c>
      <c r="C3741" t="s">
        <v>389</v>
      </c>
      <c r="D3741" t="s">
        <v>3940</v>
      </c>
      <c r="E3741" t="s">
        <v>23</v>
      </c>
    </row>
    <row r="3742" spans="1:5" hidden="1" outlineLevel="2">
      <c r="A3742" s="3" t="e">
        <f>(HYPERLINK("http://www.autodoc.ru/Web/price/art/4431BYPHW1H?analog=on","4431BYPHW1H"))*1</f>
        <v>#VALUE!</v>
      </c>
      <c r="B3742" s="1">
        <v>6999712</v>
      </c>
      <c r="C3742" t="s">
        <v>389</v>
      </c>
      <c r="D3742" t="s">
        <v>3941</v>
      </c>
      <c r="E3742" t="s">
        <v>23</v>
      </c>
    </row>
    <row r="3743" spans="1:5" hidden="1" outlineLevel="2">
      <c r="A3743" s="3" t="e">
        <f>(HYPERLINK("http://www.autodoc.ru/Web/price/art/4431LGNE5RD?analog=on","4431LGNE5RD"))*1</f>
        <v>#VALUE!</v>
      </c>
      <c r="B3743" s="1">
        <v>6900857</v>
      </c>
      <c r="C3743" t="s">
        <v>290</v>
      </c>
      <c r="D3743" t="s">
        <v>3942</v>
      </c>
      <c r="E3743" t="s">
        <v>10</v>
      </c>
    </row>
    <row r="3744" spans="1:5" hidden="1" outlineLevel="2">
      <c r="A3744" s="3" t="e">
        <f>(HYPERLINK("http://www.autodoc.ru/Web/price/art/4431RGNH5FD?analog=on","4431RGNH5FD"))*1</f>
        <v>#VALUE!</v>
      </c>
      <c r="B3744" s="1">
        <v>6900862</v>
      </c>
      <c r="C3744" t="s">
        <v>389</v>
      </c>
      <c r="D3744" t="s">
        <v>3943</v>
      </c>
      <c r="E3744" t="s">
        <v>10</v>
      </c>
    </row>
    <row r="3745" spans="1:5" hidden="1" outlineLevel="2">
      <c r="A3745" s="3" t="e">
        <f>(HYPERLINK("http://www.autodoc.ru/Web/price/art/4431RGNH5FD1M?analog=on","4431RGNH5FD1M"))*1</f>
        <v>#VALUE!</v>
      </c>
      <c r="B3745" s="1">
        <v>6900899</v>
      </c>
      <c r="C3745" t="s">
        <v>389</v>
      </c>
      <c r="D3745" t="s">
        <v>3944</v>
      </c>
      <c r="E3745" t="s">
        <v>10</v>
      </c>
    </row>
    <row r="3746" spans="1:5" hidden="1" outlineLevel="2">
      <c r="A3746" s="3" t="e">
        <f>(HYPERLINK("http://www.autodoc.ru/Web/price/art/4431LGNH5FD?analog=on","4431LGNH5FD"))*1</f>
        <v>#VALUE!</v>
      </c>
      <c r="B3746" s="1">
        <v>6900861</v>
      </c>
      <c r="C3746" t="s">
        <v>389</v>
      </c>
      <c r="D3746" t="s">
        <v>3945</v>
      </c>
      <c r="E3746" t="s">
        <v>10</v>
      </c>
    </row>
    <row r="3747" spans="1:5" hidden="1" outlineLevel="2">
      <c r="A3747" s="3" t="e">
        <f>(HYPERLINK("http://www.autodoc.ru/Web/price/art/4431LGNH5FD1M?analog=on","4431LGNH5FD1M"))*1</f>
        <v>#VALUE!</v>
      </c>
      <c r="B3747" s="1">
        <v>6900898</v>
      </c>
      <c r="C3747" t="s">
        <v>389</v>
      </c>
      <c r="D3747" t="s">
        <v>3946</v>
      </c>
      <c r="E3747" t="s">
        <v>10</v>
      </c>
    </row>
    <row r="3748" spans="1:5" hidden="1" outlineLevel="2">
      <c r="A3748" s="3" t="e">
        <f>(HYPERLINK("http://www.autodoc.ru/Web/price/art/4431LGPE5RD?analog=on","4431LGPE5RD"))*1</f>
        <v>#VALUE!</v>
      </c>
      <c r="B3748" s="1">
        <v>6900863</v>
      </c>
      <c r="C3748" t="s">
        <v>290</v>
      </c>
      <c r="D3748" t="s">
        <v>3942</v>
      </c>
      <c r="E3748" t="s">
        <v>10</v>
      </c>
    </row>
    <row r="3749" spans="1:5" hidden="1" outlineLevel="1">
      <c r="A3749" s="2">
        <v>0</v>
      </c>
      <c r="B3749" s="26" t="s">
        <v>3947</v>
      </c>
      <c r="C3749" s="27">
        <v>0</v>
      </c>
      <c r="D3749" s="27">
        <v>0</v>
      </c>
      <c r="E3749" s="27">
        <v>0</v>
      </c>
    </row>
    <row r="3750" spans="1:5" hidden="1" outlineLevel="2">
      <c r="A3750" s="3" t="e">
        <f>(HYPERLINK("http://www.autodoc.ru/Web/price/art/4433AGNHMV1P?analog=on","4433AGNHMV1P"))*1</f>
        <v>#VALUE!</v>
      </c>
      <c r="B3750" s="1">
        <v>6962767</v>
      </c>
      <c r="C3750" t="s">
        <v>290</v>
      </c>
      <c r="D3750" t="s">
        <v>3948</v>
      </c>
      <c r="E3750" t="s">
        <v>8</v>
      </c>
    </row>
    <row r="3751" spans="1:5" hidden="1" outlineLevel="2">
      <c r="A3751" s="3" t="e">
        <f>(HYPERLINK("http://www.autodoc.ru/Web/price/art/4433AGNHV?analog=on","4433AGNHV"))*1</f>
        <v>#VALUE!</v>
      </c>
      <c r="B3751" s="1">
        <v>6962768</v>
      </c>
      <c r="C3751" t="s">
        <v>290</v>
      </c>
      <c r="D3751" t="s">
        <v>3949</v>
      </c>
      <c r="E3751" t="s">
        <v>8</v>
      </c>
    </row>
    <row r="3752" spans="1:5" hidden="1" outlineLevel="2">
      <c r="A3752" s="3" t="e">
        <f>(HYPERLINK("http://www.autodoc.ru/Web/price/art/4433AGNMV1P?analog=on","4433AGNMV1P"))*1</f>
        <v>#VALUE!</v>
      </c>
      <c r="B3752" s="1">
        <v>6962769</v>
      </c>
      <c r="C3752" t="s">
        <v>290</v>
      </c>
      <c r="D3752" t="s">
        <v>3950</v>
      </c>
      <c r="E3752" t="s">
        <v>8</v>
      </c>
    </row>
    <row r="3753" spans="1:5" hidden="1" outlineLevel="2">
      <c r="A3753" s="3" t="e">
        <f>(HYPERLINK("http://www.autodoc.ru/Web/price/art/4433AGNV?analog=on","4433AGNV"))*1</f>
        <v>#VALUE!</v>
      </c>
      <c r="B3753" s="1">
        <v>6962770</v>
      </c>
      <c r="C3753" t="s">
        <v>290</v>
      </c>
      <c r="D3753" t="s">
        <v>3951</v>
      </c>
      <c r="E3753" t="s">
        <v>8</v>
      </c>
    </row>
    <row r="3754" spans="1:5" hidden="1" outlineLevel="2">
      <c r="A3754" s="3" t="e">
        <f>(HYPERLINK("http://www.autodoc.ru/Web/price/art/4433AGNV2P?analog=on","4433AGNV2P"))*1</f>
        <v>#VALUE!</v>
      </c>
      <c r="B3754" s="1">
        <v>6965377</v>
      </c>
      <c r="C3754" t="s">
        <v>290</v>
      </c>
      <c r="D3754" t="s">
        <v>3952</v>
      </c>
      <c r="E3754" t="s">
        <v>8</v>
      </c>
    </row>
    <row r="3755" spans="1:5" hidden="1" outlineLevel="2">
      <c r="A3755" s="3" t="e">
        <f>(HYPERLINK("http://www.autodoc.ru/Web/price/art/4433AGNHV2P?analog=on","4433AGNHV2P"))*1</f>
        <v>#VALUE!</v>
      </c>
      <c r="B3755" s="1">
        <v>6964951</v>
      </c>
      <c r="C3755" t="s">
        <v>290</v>
      </c>
      <c r="D3755" t="s">
        <v>3953</v>
      </c>
      <c r="E3755" t="s">
        <v>8</v>
      </c>
    </row>
    <row r="3756" spans="1:5" hidden="1" outlineLevel="2">
      <c r="A3756" s="3" t="e">
        <f>(HYPERLINK("http://www.autodoc.ru/Web/price/art/4433BGNH1H?analog=on","4433BGNH1H"))*1</f>
        <v>#VALUE!</v>
      </c>
      <c r="B3756" s="1">
        <v>6900638</v>
      </c>
      <c r="C3756" t="s">
        <v>290</v>
      </c>
      <c r="D3756" t="s">
        <v>3954</v>
      </c>
      <c r="E3756" t="s">
        <v>23</v>
      </c>
    </row>
    <row r="3757" spans="1:5" hidden="1" outlineLevel="2">
      <c r="A3757" s="3" t="e">
        <f>(HYPERLINK("http://www.autodoc.ru/Web/price/art/4433LGNH3FD?analog=on","4433LGNH3FD"))*1</f>
        <v>#VALUE!</v>
      </c>
      <c r="B3757" s="1">
        <v>6900717</v>
      </c>
      <c r="C3757" t="s">
        <v>290</v>
      </c>
      <c r="D3757" t="s">
        <v>3955</v>
      </c>
      <c r="E3757" t="s">
        <v>10</v>
      </c>
    </row>
    <row r="3758" spans="1:5" hidden="1" outlineLevel="2">
      <c r="A3758" s="3" t="e">
        <f>(HYPERLINK("http://www.autodoc.ru/Web/price/art/4433RGNH3FD?analog=on","4433RGNH3FD"))*1</f>
        <v>#VALUE!</v>
      </c>
      <c r="B3758" s="1">
        <v>6900718</v>
      </c>
      <c r="C3758" t="s">
        <v>290</v>
      </c>
      <c r="D3758" t="s">
        <v>3956</v>
      </c>
      <c r="E3758" t="s">
        <v>10</v>
      </c>
    </row>
    <row r="3759" spans="1:5" hidden="1" outlineLevel="1">
      <c r="A3759" s="2">
        <v>0</v>
      </c>
      <c r="B3759" s="26" t="s">
        <v>3957</v>
      </c>
      <c r="C3759" s="27">
        <v>0</v>
      </c>
      <c r="D3759" s="27">
        <v>0</v>
      </c>
      <c r="E3759" s="27">
        <v>0</v>
      </c>
    </row>
    <row r="3760" spans="1:5" hidden="1" outlineLevel="2">
      <c r="A3760" s="3" t="e">
        <f>(HYPERLINK("http://www.autodoc.ru/Web/price/art/4421AGNBL?analog=on","4421AGNBL"))*1</f>
        <v>#VALUE!</v>
      </c>
      <c r="B3760" s="1">
        <v>6961310</v>
      </c>
      <c r="C3760" t="s">
        <v>3958</v>
      </c>
      <c r="D3760" t="s">
        <v>3959</v>
      </c>
      <c r="E3760" t="s">
        <v>8</v>
      </c>
    </row>
    <row r="3761" spans="1:5" hidden="1" outlineLevel="2">
      <c r="A3761" s="3" t="e">
        <f>(HYPERLINK("http://www.autodoc.ru/Web/price/art/4421AGNBLHV?analog=on","4421AGNBLHV"))*1</f>
        <v>#VALUE!</v>
      </c>
      <c r="B3761" s="1">
        <v>6962588</v>
      </c>
      <c r="C3761" t="s">
        <v>425</v>
      </c>
      <c r="D3761" t="s">
        <v>3960</v>
      </c>
      <c r="E3761" t="s">
        <v>8</v>
      </c>
    </row>
    <row r="3762" spans="1:5" hidden="1" outlineLevel="2">
      <c r="A3762" s="3" t="e">
        <f>(HYPERLINK("http://www.autodoc.ru/Web/price/art/4421ASMS?analog=on","4421ASMS"))*1</f>
        <v>#VALUE!</v>
      </c>
      <c r="B3762" s="1">
        <v>6101785</v>
      </c>
      <c r="C3762" t="s">
        <v>19</v>
      </c>
      <c r="D3762" t="s">
        <v>3961</v>
      </c>
      <c r="E3762" t="s">
        <v>21</v>
      </c>
    </row>
    <row r="3763" spans="1:5" hidden="1" outlineLevel="2">
      <c r="A3763" s="3" t="e">
        <f>(HYPERLINK("http://www.autodoc.ru/Web/price/art/4421BGNSAB?analog=on","4421BGNSAB"))*1</f>
        <v>#VALUE!</v>
      </c>
      <c r="B3763" s="1">
        <v>6999546</v>
      </c>
      <c r="C3763" t="s">
        <v>425</v>
      </c>
      <c r="D3763" t="s">
        <v>3962</v>
      </c>
      <c r="E3763" t="s">
        <v>23</v>
      </c>
    </row>
    <row r="3764" spans="1:5" hidden="1" outlineLevel="2">
      <c r="A3764" s="3" t="e">
        <f>(HYPERLINK("http://www.autodoc.ru/Web/price/art/4421LGNS4FDW?analog=on","4421LGNS4FDW"))*1</f>
        <v>#VALUE!</v>
      </c>
      <c r="B3764" s="1">
        <v>6999960</v>
      </c>
      <c r="C3764" t="s">
        <v>425</v>
      </c>
      <c r="D3764" t="s">
        <v>3963</v>
      </c>
      <c r="E3764" t="s">
        <v>10</v>
      </c>
    </row>
    <row r="3765" spans="1:5" hidden="1" outlineLevel="2">
      <c r="A3765" s="3" t="e">
        <f>(HYPERLINK("http://www.autodoc.ru/Web/price/art/4421LGNS4RDW?analog=on","4421LGNS4RDW"))*1</f>
        <v>#VALUE!</v>
      </c>
      <c r="B3765" s="1">
        <v>6900159</v>
      </c>
      <c r="C3765" t="s">
        <v>425</v>
      </c>
      <c r="D3765" t="s">
        <v>3964</v>
      </c>
      <c r="E3765" t="s">
        <v>10</v>
      </c>
    </row>
    <row r="3766" spans="1:5" hidden="1" outlineLevel="2">
      <c r="A3766" s="3" t="e">
        <f>(HYPERLINK("http://www.autodoc.ru/Web/price/art/4421RGNS4FDW?analog=on","4421RGNS4FDW"))*1</f>
        <v>#VALUE!</v>
      </c>
      <c r="B3766" s="1">
        <v>6900050</v>
      </c>
      <c r="C3766" t="s">
        <v>425</v>
      </c>
      <c r="D3766" t="s">
        <v>3965</v>
      </c>
      <c r="E3766" t="s">
        <v>10</v>
      </c>
    </row>
    <row r="3767" spans="1:5" hidden="1" outlineLevel="2">
      <c r="A3767" s="3" t="e">
        <f>(HYPERLINK("http://www.autodoc.ru/Web/price/art/4421RGNS4RDW?analog=on","4421RGNS4RDW"))*1</f>
        <v>#VALUE!</v>
      </c>
      <c r="B3767" s="1">
        <v>6900235</v>
      </c>
      <c r="C3767" t="s">
        <v>425</v>
      </c>
      <c r="D3767" t="s">
        <v>3966</v>
      </c>
      <c r="E3767" t="s">
        <v>10</v>
      </c>
    </row>
    <row r="3768" spans="1:5" hidden="1" outlineLevel="1">
      <c r="A3768" s="2">
        <v>0</v>
      </c>
      <c r="B3768" s="26" t="s">
        <v>3967</v>
      </c>
      <c r="C3768" s="27">
        <v>0</v>
      </c>
      <c r="D3768" s="27">
        <v>0</v>
      </c>
      <c r="E3768" s="27">
        <v>0</v>
      </c>
    </row>
    <row r="3769" spans="1:5" hidden="1" outlineLevel="2">
      <c r="A3769" s="3" t="e">
        <f>(HYPERLINK("http://www.autodoc.ru/Web/price/art/4436AGNBLV?analog=on","4436AGNBLV"))*1</f>
        <v>#VALUE!</v>
      </c>
      <c r="B3769" s="1">
        <v>6965510</v>
      </c>
      <c r="C3769" t="s">
        <v>211</v>
      </c>
      <c r="D3769" t="s">
        <v>3968</v>
      </c>
      <c r="E3769" t="s">
        <v>8</v>
      </c>
    </row>
    <row r="3770" spans="1:5" hidden="1" outlineLevel="1">
      <c r="A3770" s="2">
        <v>0</v>
      </c>
      <c r="B3770" s="26" t="s">
        <v>3969</v>
      </c>
      <c r="C3770" s="27">
        <v>0</v>
      </c>
      <c r="D3770" s="27">
        <v>0</v>
      </c>
      <c r="E3770" s="27">
        <v>0</v>
      </c>
    </row>
    <row r="3771" spans="1:5" hidden="1" outlineLevel="2">
      <c r="A3771" s="3" t="e">
        <f>(HYPERLINK("http://www.autodoc.ru/Web/price/art/4405AGNBL?analog=on","4405AGNBL"))*1</f>
        <v>#VALUE!</v>
      </c>
      <c r="B3771" s="1">
        <v>6964353</v>
      </c>
      <c r="C3771" t="s">
        <v>3800</v>
      </c>
      <c r="D3771" t="s">
        <v>3970</v>
      </c>
      <c r="E3771" t="s">
        <v>8</v>
      </c>
    </row>
    <row r="3772" spans="1:5" hidden="1" outlineLevel="2">
      <c r="A3772" s="3" t="e">
        <f>(HYPERLINK("http://www.autodoc.ru/Web/price/art/4405ASMST?analog=on","4405ASMST"))*1</f>
        <v>#VALUE!</v>
      </c>
      <c r="B3772" s="1">
        <v>6101024</v>
      </c>
      <c r="C3772" t="s">
        <v>19</v>
      </c>
      <c r="D3772" t="s">
        <v>3971</v>
      </c>
      <c r="E3772" t="s">
        <v>21</v>
      </c>
    </row>
    <row r="3773" spans="1:5" hidden="1" outlineLevel="2">
      <c r="A3773" s="3" t="e">
        <f>(HYPERLINK("http://www.autodoc.ru/Web/price/art/4405BGNS?analog=on","4405BGNS"))*1</f>
        <v>#VALUE!</v>
      </c>
      <c r="B3773" s="1">
        <v>6900520</v>
      </c>
      <c r="C3773" t="s">
        <v>3800</v>
      </c>
      <c r="D3773" t="s">
        <v>3972</v>
      </c>
      <c r="E3773" t="s">
        <v>23</v>
      </c>
    </row>
    <row r="3774" spans="1:5" hidden="1" outlineLevel="2">
      <c r="A3774" s="3" t="e">
        <f>(HYPERLINK("http://www.autodoc.ru/Web/price/art/4405LGNS4FD?analog=on","4405LGNS4FD"))*1</f>
        <v>#VALUE!</v>
      </c>
      <c r="B3774" s="1">
        <v>6980457</v>
      </c>
      <c r="C3774" t="s">
        <v>3800</v>
      </c>
      <c r="D3774" t="s">
        <v>3973</v>
      </c>
      <c r="E3774" t="s">
        <v>10</v>
      </c>
    </row>
    <row r="3775" spans="1:5" hidden="1" outlineLevel="2">
      <c r="A3775" s="3" t="e">
        <f>(HYPERLINK("http://www.autodoc.ru/Web/price/art/4405LGNS4RD?analog=on","4405LGNS4RD"))*1</f>
        <v>#VALUE!</v>
      </c>
      <c r="B3775" s="1">
        <v>6980458</v>
      </c>
      <c r="C3775" t="s">
        <v>3800</v>
      </c>
      <c r="D3775" t="s">
        <v>3974</v>
      </c>
      <c r="E3775" t="s">
        <v>10</v>
      </c>
    </row>
    <row r="3776" spans="1:5" hidden="1" outlineLevel="2">
      <c r="A3776" s="3" t="e">
        <f>(HYPERLINK("http://www.autodoc.ru/Web/price/art/4405RGNS4FD?analog=on","4405RGNS4FD"))*1</f>
        <v>#VALUE!</v>
      </c>
      <c r="B3776" s="1">
        <v>6980459</v>
      </c>
      <c r="C3776" t="s">
        <v>3800</v>
      </c>
      <c r="D3776" t="s">
        <v>3975</v>
      </c>
      <c r="E3776" t="s">
        <v>10</v>
      </c>
    </row>
    <row r="3777" spans="1:5" hidden="1" outlineLevel="2">
      <c r="A3777" s="3" t="e">
        <f>(HYPERLINK("http://www.autodoc.ru/Web/price/art/4405RGNS4RD?analog=on","4405RGNS4RD"))*1</f>
        <v>#VALUE!</v>
      </c>
      <c r="B3777" s="1">
        <v>6980460</v>
      </c>
      <c r="C3777" t="s">
        <v>3800</v>
      </c>
      <c r="D3777" t="s">
        <v>3976</v>
      </c>
      <c r="E3777" t="s">
        <v>10</v>
      </c>
    </row>
    <row r="3778" spans="1:5" hidden="1" outlineLevel="1">
      <c r="A3778" s="2">
        <v>0</v>
      </c>
      <c r="B3778" s="26" t="s">
        <v>3977</v>
      </c>
      <c r="C3778" s="27">
        <v>0</v>
      </c>
      <c r="D3778" s="27">
        <v>0</v>
      </c>
      <c r="E3778" s="27">
        <v>0</v>
      </c>
    </row>
    <row r="3779" spans="1:5" hidden="1" outlineLevel="2">
      <c r="A3779" s="3" t="e">
        <f>(HYPERLINK("http://www.autodoc.ru/Web/price/art/4416AGNBL?analog=on","4416AGNBL"))*1</f>
        <v>#VALUE!</v>
      </c>
      <c r="B3779" s="1">
        <v>6950074</v>
      </c>
      <c r="C3779" t="s">
        <v>641</v>
      </c>
      <c r="D3779" t="s">
        <v>3978</v>
      </c>
      <c r="E3779" t="s">
        <v>8</v>
      </c>
    </row>
    <row r="3780" spans="1:5" hidden="1" outlineLevel="2">
      <c r="A3780" s="3" t="e">
        <f>(HYPERLINK("http://www.autodoc.ru/Web/price/art/4416ASMV?analog=on","4416ASMV"))*1</f>
        <v>#VALUE!</v>
      </c>
      <c r="B3780" s="1">
        <v>6101144</v>
      </c>
      <c r="C3780" t="s">
        <v>19</v>
      </c>
      <c r="D3780" t="s">
        <v>3979</v>
      </c>
      <c r="E3780" t="s">
        <v>21</v>
      </c>
    </row>
    <row r="3781" spans="1:5" hidden="1" outlineLevel="2">
      <c r="A3781" s="3" t="e">
        <f>(HYPERLINK("http://www.autodoc.ru/Web/price/art/4416BGNV?analog=on","4416BGNV"))*1</f>
        <v>#VALUE!</v>
      </c>
      <c r="B3781" s="1">
        <v>6992772</v>
      </c>
      <c r="C3781" t="s">
        <v>641</v>
      </c>
      <c r="D3781" t="s">
        <v>3980</v>
      </c>
      <c r="E3781" t="s">
        <v>23</v>
      </c>
    </row>
    <row r="3782" spans="1:5" hidden="1" outlineLevel="2">
      <c r="A3782" s="3" t="e">
        <f>(HYPERLINK("http://www.autodoc.ru/Web/price/art/4416LGNV5FD?analog=on","4416LGNV5FD"))*1</f>
        <v>#VALUE!</v>
      </c>
      <c r="B3782" s="1">
        <v>6993270</v>
      </c>
      <c r="C3782" t="s">
        <v>641</v>
      </c>
      <c r="D3782" t="s">
        <v>3981</v>
      </c>
      <c r="E3782" t="s">
        <v>10</v>
      </c>
    </row>
    <row r="3783" spans="1:5" hidden="1" outlineLevel="2">
      <c r="A3783" s="3" t="e">
        <f>(HYPERLINK("http://www.autodoc.ru/Web/price/art/4416RGNV5FD?analog=on","4416RGNV5FD"))*1</f>
        <v>#VALUE!</v>
      </c>
      <c r="B3783" s="1">
        <v>6993271</v>
      </c>
      <c r="C3783" t="s">
        <v>641</v>
      </c>
      <c r="D3783" t="s">
        <v>3982</v>
      </c>
      <c r="E3783" t="s">
        <v>10</v>
      </c>
    </row>
    <row r="3784" spans="1:5" hidden="1" outlineLevel="1">
      <c r="A3784" s="2">
        <v>0</v>
      </c>
      <c r="B3784" s="26" t="s">
        <v>3983</v>
      </c>
      <c r="C3784" s="27">
        <v>0</v>
      </c>
      <c r="D3784" s="27">
        <v>0</v>
      </c>
      <c r="E3784" s="27">
        <v>0</v>
      </c>
    </row>
    <row r="3785" spans="1:5" hidden="1" outlineLevel="2">
      <c r="A3785" s="3" t="e">
        <f>(HYPERLINK("http://www.autodoc.ru/Web/price/art/4412ACL?analog=on","4412ACL"))*1</f>
        <v>#VALUE!</v>
      </c>
      <c r="B3785" s="1">
        <v>6962154</v>
      </c>
      <c r="C3785" t="s">
        <v>3984</v>
      </c>
      <c r="D3785" t="s">
        <v>3985</v>
      </c>
      <c r="E3785" t="s">
        <v>8</v>
      </c>
    </row>
    <row r="3786" spans="1:5" hidden="1" outlineLevel="1">
      <c r="A3786" s="2">
        <v>0</v>
      </c>
      <c r="B3786" s="26" t="s">
        <v>3986</v>
      </c>
      <c r="C3786" s="27">
        <v>0</v>
      </c>
      <c r="D3786" s="27">
        <v>0</v>
      </c>
      <c r="E3786" s="27">
        <v>0</v>
      </c>
    </row>
    <row r="3787" spans="1:5" hidden="1" outlineLevel="2">
      <c r="A3787" s="3" t="e">
        <f>(HYPERLINK("http://www.autodoc.ru/Web/price/art/4414AGNBL?analog=on","4414AGNBL"))*1</f>
        <v>#VALUE!</v>
      </c>
      <c r="B3787" s="1">
        <v>6190199</v>
      </c>
      <c r="C3787" t="s">
        <v>540</v>
      </c>
      <c r="D3787" t="s">
        <v>3987</v>
      </c>
      <c r="E3787" t="s">
        <v>8</v>
      </c>
    </row>
    <row r="3788" spans="1:5" hidden="1" outlineLevel="2">
      <c r="A3788" s="3" t="e">
        <f>(HYPERLINK("http://www.autodoc.ru/Web/price/art/4414LGNS4FD?analog=on","4414LGNS4FD"))*1</f>
        <v>#VALUE!</v>
      </c>
      <c r="B3788" s="1">
        <v>6190195</v>
      </c>
      <c r="C3788" t="s">
        <v>540</v>
      </c>
      <c r="D3788" t="s">
        <v>3988</v>
      </c>
      <c r="E3788" t="s">
        <v>10</v>
      </c>
    </row>
    <row r="3789" spans="1:5" hidden="1" outlineLevel="2">
      <c r="A3789" s="3" t="e">
        <f>(HYPERLINK("http://www.autodoc.ru/Web/price/art/4414LGNS4RD?analog=on","4414LGNS4RD"))*1</f>
        <v>#VALUE!</v>
      </c>
      <c r="B3789" s="1">
        <v>6190196</v>
      </c>
      <c r="C3789" t="s">
        <v>540</v>
      </c>
      <c r="D3789" t="s">
        <v>3989</v>
      </c>
      <c r="E3789" t="s">
        <v>10</v>
      </c>
    </row>
    <row r="3790" spans="1:5" hidden="1" outlineLevel="2">
      <c r="A3790" s="3" t="e">
        <f>(HYPERLINK("http://www.autodoc.ru/Web/price/art/4414RGNS4FD?analog=on","4414RGNS4FD"))*1</f>
        <v>#VALUE!</v>
      </c>
      <c r="B3790" s="1">
        <v>6190197</v>
      </c>
      <c r="C3790" t="s">
        <v>540</v>
      </c>
      <c r="D3790" t="s">
        <v>3990</v>
      </c>
      <c r="E3790" t="s">
        <v>10</v>
      </c>
    </row>
    <row r="3791" spans="1:5" hidden="1" outlineLevel="2">
      <c r="A3791" s="3" t="e">
        <f>(HYPERLINK("http://www.autodoc.ru/Web/price/art/4414RGNS4RD?analog=on","4414RGNS4RD"))*1</f>
        <v>#VALUE!</v>
      </c>
      <c r="B3791" s="1">
        <v>6190198</v>
      </c>
      <c r="C3791" t="s">
        <v>540</v>
      </c>
      <c r="D3791" t="s">
        <v>3991</v>
      </c>
      <c r="E3791" t="s">
        <v>10</v>
      </c>
    </row>
    <row r="3792" spans="1:5" hidden="1" outlineLevel="1">
      <c r="A3792" s="2">
        <v>0</v>
      </c>
      <c r="B3792" s="26" t="s">
        <v>3992</v>
      </c>
      <c r="C3792" s="27">
        <v>0</v>
      </c>
      <c r="D3792" s="27">
        <v>0</v>
      </c>
      <c r="E3792" s="27">
        <v>0</v>
      </c>
    </row>
    <row r="3793" spans="1:5" hidden="1" outlineLevel="2">
      <c r="A3793" s="3" t="e">
        <f>(HYPERLINK("http://www.autodoc.ru/Web/price/art/4427AGNBL?analog=on","4427AGNBL"))*1</f>
        <v>#VALUE!</v>
      </c>
      <c r="B3793" s="1">
        <v>6961836</v>
      </c>
      <c r="C3793" t="s">
        <v>3326</v>
      </c>
      <c r="D3793" t="s">
        <v>3993</v>
      </c>
      <c r="E3793" t="s">
        <v>8</v>
      </c>
    </row>
    <row r="3794" spans="1:5" hidden="1" outlineLevel="2">
      <c r="A3794" s="3" t="e">
        <f>(HYPERLINK("http://www.autodoc.ru/Web/price/art/4427AGNBLH?analog=on","4427AGNBLH"))*1</f>
        <v>#VALUE!</v>
      </c>
      <c r="B3794" s="1">
        <v>6962607</v>
      </c>
      <c r="C3794" t="s">
        <v>3326</v>
      </c>
      <c r="D3794" t="s">
        <v>3994</v>
      </c>
      <c r="E3794" t="s">
        <v>8</v>
      </c>
    </row>
    <row r="3795" spans="1:5" hidden="1" outlineLevel="2">
      <c r="A3795" s="3" t="e">
        <f>(HYPERLINK("http://www.autodoc.ru/Web/price/art/4427AGNBLHM1B?analog=on","4427AGNBLHM1B"))*1</f>
        <v>#VALUE!</v>
      </c>
      <c r="B3795" s="1">
        <v>6962447</v>
      </c>
      <c r="C3795" t="s">
        <v>3326</v>
      </c>
      <c r="D3795" t="s">
        <v>3995</v>
      </c>
      <c r="E3795" t="s">
        <v>8</v>
      </c>
    </row>
    <row r="3796" spans="1:5" hidden="1" outlineLevel="2">
      <c r="A3796" s="3" t="e">
        <f>(HYPERLINK("http://www.autodoc.ru/Web/price/art/4427LGNS4FDW?analog=on","4427LGNS4FDW"))*1</f>
        <v>#VALUE!</v>
      </c>
      <c r="B3796" s="1">
        <v>6999961</v>
      </c>
      <c r="C3796" t="s">
        <v>3326</v>
      </c>
      <c r="D3796" t="s">
        <v>3996</v>
      </c>
      <c r="E3796" t="s">
        <v>10</v>
      </c>
    </row>
    <row r="3797" spans="1:5" hidden="1" outlineLevel="2">
      <c r="A3797" s="3" t="e">
        <f>(HYPERLINK("http://www.autodoc.ru/Web/price/art/4427LGNS4RD?analog=on","4427LGNS4RD"))*1</f>
        <v>#VALUE!</v>
      </c>
      <c r="B3797" s="1">
        <v>6900160</v>
      </c>
      <c r="C3797" t="s">
        <v>3326</v>
      </c>
      <c r="D3797" t="s">
        <v>3997</v>
      </c>
      <c r="E3797" t="s">
        <v>10</v>
      </c>
    </row>
    <row r="3798" spans="1:5" hidden="1" outlineLevel="2">
      <c r="A3798" s="3" t="e">
        <f>(HYPERLINK("http://www.autodoc.ru/Web/price/art/4427RGNS4FDW?analog=on","4427RGNS4FDW"))*1</f>
        <v>#VALUE!</v>
      </c>
      <c r="B3798" s="1">
        <v>6900051</v>
      </c>
      <c r="C3798" t="s">
        <v>3326</v>
      </c>
      <c r="D3798" t="s">
        <v>3998</v>
      </c>
      <c r="E3798" t="s">
        <v>10</v>
      </c>
    </row>
    <row r="3799" spans="1:5" hidden="1" outlineLevel="2">
      <c r="A3799" s="3" t="e">
        <f>(HYPERLINK("http://www.autodoc.ru/Web/price/art/4427RGNS4RD?analog=on","4427RGNS4RD"))*1</f>
        <v>#VALUE!</v>
      </c>
      <c r="B3799" s="1">
        <v>6900236</v>
      </c>
      <c r="C3799" t="s">
        <v>3326</v>
      </c>
      <c r="D3799" t="s">
        <v>3999</v>
      </c>
      <c r="E3799" t="s">
        <v>10</v>
      </c>
    </row>
    <row r="3800" spans="1:5" hidden="1" outlineLevel="1">
      <c r="A3800" s="2">
        <v>0</v>
      </c>
      <c r="B3800" s="26" t="s">
        <v>4000</v>
      </c>
      <c r="C3800" s="27">
        <v>0</v>
      </c>
      <c r="D3800" s="27">
        <v>0</v>
      </c>
      <c r="E3800" s="27">
        <v>0</v>
      </c>
    </row>
    <row r="3801" spans="1:5" hidden="1" outlineLevel="2">
      <c r="A3801" s="3" t="e">
        <f>(HYPERLINK("http://www.autodoc.ru/Web/price/art/4420AGNBLHM?analog=on","4420AGNBLHM"))*1</f>
        <v>#VALUE!</v>
      </c>
      <c r="B3801" s="1">
        <v>6963019</v>
      </c>
      <c r="C3801" t="s">
        <v>3408</v>
      </c>
      <c r="D3801" t="s">
        <v>4001</v>
      </c>
      <c r="E3801" t="s">
        <v>8</v>
      </c>
    </row>
    <row r="3802" spans="1:5" hidden="1" outlineLevel="2">
      <c r="A3802" s="3" t="e">
        <f>(HYPERLINK("http://www.autodoc.ru/Web/price/art/4420AGNBLH?analog=on","4420AGNBLH"))*1</f>
        <v>#VALUE!</v>
      </c>
      <c r="B3802" s="1">
        <v>6965972</v>
      </c>
      <c r="C3802" t="s">
        <v>3408</v>
      </c>
      <c r="D3802" t="s">
        <v>4002</v>
      </c>
      <c r="E3802" t="s">
        <v>8</v>
      </c>
    </row>
    <row r="3803" spans="1:5" hidden="1" outlineLevel="2">
      <c r="A3803" s="3" t="e">
        <f>(HYPERLINK("http://www.autodoc.ru/Web/price/art/4420LGNS4FDW1M?analog=on","4420LGNS4FDW1M"))*1</f>
        <v>#VALUE!</v>
      </c>
      <c r="B3803" s="1">
        <v>6900574</v>
      </c>
      <c r="C3803" t="s">
        <v>3408</v>
      </c>
      <c r="D3803" t="s">
        <v>4003</v>
      </c>
      <c r="E3803" t="s">
        <v>10</v>
      </c>
    </row>
    <row r="3804" spans="1:5" hidden="1" outlineLevel="2">
      <c r="A3804" s="3" t="e">
        <f>(HYPERLINK("http://www.autodoc.ru/Web/price/art/4420RGNS4FDW1M?analog=on","4420RGNS4FDW1M"))*1</f>
        <v>#VALUE!</v>
      </c>
      <c r="B3804" s="1">
        <v>6900575</v>
      </c>
      <c r="C3804" t="s">
        <v>3408</v>
      </c>
      <c r="D3804" t="s">
        <v>4004</v>
      </c>
      <c r="E3804" t="s">
        <v>10</v>
      </c>
    </row>
    <row r="3805" spans="1:5" hidden="1" outlineLevel="1">
      <c r="A3805" s="2">
        <v>0</v>
      </c>
      <c r="B3805" s="26" t="s">
        <v>4005</v>
      </c>
      <c r="C3805" s="27">
        <v>0</v>
      </c>
      <c r="D3805" s="27">
        <v>0</v>
      </c>
      <c r="E3805" s="27">
        <v>0</v>
      </c>
    </row>
    <row r="3806" spans="1:5" hidden="1" outlineLevel="2">
      <c r="A3806" s="3" t="e">
        <f>(HYPERLINK("http://www.autodoc.ru/Web/price/art/4422ACL?analog=on","4422ACL"))*1</f>
        <v>#VALUE!</v>
      </c>
      <c r="B3806" s="1">
        <v>6961313</v>
      </c>
      <c r="C3806" t="s">
        <v>305</v>
      </c>
      <c r="D3806" t="s">
        <v>4006</v>
      </c>
      <c r="E3806" t="s">
        <v>8</v>
      </c>
    </row>
    <row r="3807" spans="1:5" hidden="1" outlineLevel="2">
      <c r="A3807" s="3" t="e">
        <f>(HYPERLINK("http://www.autodoc.ru/Web/price/art/4422AGNBL?analog=on","4422AGNBL"))*1</f>
        <v>#VALUE!</v>
      </c>
      <c r="B3807" s="1">
        <v>6961232</v>
      </c>
      <c r="C3807" t="s">
        <v>305</v>
      </c>
      <c r="D3807" t="s">
        <v>4007</v>
      </c>
      <c r="E3807" t="s">
        <v>8</v>
      </c>
    </row>
    <row r="3808" spans="1:5" hidden="1" outlineLevel="2">
      <c r="A3808" s="3" t="e">
        <f>(HYPERLINK("http://www.autodoc.ru/Web/price/art/4422ASMH?analog=on","4422ASMH"))*1</f>
        <v>#VALUE!</v>
      </c>
      <c r="B3808" s="1">
        <v>6101573</v>
      </c>
      <c r="C3808" t="s">
        <v>19</v>
      </c>
      <c r="D3808" t="s">
        <v>4008</v>
      </c>
      <c r="E3808" t="s">
        <v>21</v>
      </c>
    </row>
    <row r="3809" spans="1:5" hidden="1" outlineLevel="2">
      <c r="A3809" s="3" t="e">
        <f>(HYPERLINK("http://www.autodoc.ru/Web/price/art/4422BGNH1H?analog=on","4422BGNH1H"))*1</f>
        <v>#VALUE!</v>
      </c>
      <c r="B3809" s="1">
        <v>6900956</v>
      </c>
      <c r="C3809" t="s">
        <v>305</v>
      </c>
      <c r="D3809" t="s">
        <v>4009</v>
      </c>
      <c r="E3809" t="s">
        <v>23</v>
      </c>
    </row>
    <row r="3810" spans="1:5" hidden="1" outlineLevel="2">
      <c r="A3810" s="3" t="e">
        <f>(HYPERLINK("http://www.autodoc.ru/Web/price/art/4422LCLH5FD?analog=on","4422LCLH5FD"))*1</f>
        <v>#VALUE!</v>
      </c>
      <c r="B3810" s="1">
        <v>6999963</v>
      </c>
      <c r="C3810" t="s">
        <v>305</v>
      </c>
      <c r="D3810" t="s">
        <v>4010</v>
      </c>
      <c r="E3810" t="s">
        <v>10</v>
      </c>
    </row>
    <row r="3811" spans="1:5" hidden="1" outlineLevel="2">
      <c r="A3811" s="3" t="e">
        <f>(HYPERLINK("http://www.autodoc.ru/Web/price/art/4422LGNH5FD?analog=on","4422LGNH5FD"))*1</f>
        <v>#VALUE!</v>
      </c>
      <c r="B3811" s="1">
        <v>6999964</v>
      </c>
      <c r="C3811" t="s">
        <v>305</v>
      </c>
      <c r="D3811" t="s">
        <v>4011</v>
      </c>
      <c r="E3811" t="s">
        <v>10</v>
      </c>
    </row>
    <row r="3812" spans="1:5" hidden="1" outlineLevel="2">
      <c r="A3812" s="3" t="e">
        <f>(HYPERLINK("http://www.autodoc.ru/Web/price/art/4422RCLH5FD?analog=on","4422RCLH5FD"))*1</f>
        <v>#VALUE!</v>
      </c>
      <c r="B3812" s="1">
        <v>6900053</v>
      </c>
      <c r="C3812" t="s">
        <v>305</v>
      </c>
      <c r="D3812" t="s">
        <v>4012</v>
      </c>
      <c r="E3812" t="s">
        <v>10</v>
      </c>
    </row>
    <row r="3813" spans="1:5" hidden="1" outlineLevel="2">
      <c r="A3813" s="3" t="e">
        <f>(HYPERLINK("http://www.autodoc.ru/Web/price/art/4422RGNH5FD?analog=on","4422RGNH5FD"))*1</f>
        <v>#VALUE!</v>
      </c>
      <c r="B3813" s="1">
        <v>6900054</v>
      </c>
      <c r="C3813" t="s">
        <v>305</v>
      </c>
      <c r="D3813" t="s">
        <v>4013</v>
      </c>
      <c r="E3813" t="s">
        <v>10</v>
      </c>
    </row>
    <row r="3814" spans="1:5" hidden="1" outlineLevel="1">
      <c r="A3814" s="2">
        <v>0</v>
      </c>
      <c r="B3814" s="26" t="s">
        <v>4014</v>
      </c>
      <c r="C3814" s="27">
        <v>0</v>
      </c>
      <c r="D3814" s="27">
        <v>0</v>
      </c>
      <c r="E3814" s="27">
        <v>0</v>
      </c>
    </row>
    <row r="3815" spans="1:5" hidden="1" outlineLevel="2">
      <c r="A3815" s="3" t="e">
        <f>(HYPERLINK("http://www.autodoc.ru/Web/price/art/4439ACL?analog=on","4439ACL"))*1</f>
        <v>#VALUE!</v>
      </c>
      <c r="B3815" s="1">
        <v>6965686</v>
      </c>
      <c r="C3815" t="s">
        <v>965</v>
      </c>
      <c r="D3815" t="s">
        <v>4015</v>
      </c>
      <c r="E3815" t="s">
        <v>8</v>
      </c>
    </row>
    <row r="3816" spans="1:5" hidden="1" outlineLevel="2">
      <c r="A3816" s="3" t="e">
        <f>(HYPERLINK("http://www.autodoc.ru/Web/price/art/4439AGN?analog=on","4439AGN"))*1</f>
        <v>#VALUE!</v>
      </c>
      <c r="B3816" s="1">
        <v>6965687</v>
      </c>
      <c r="C3816" t="s">
        <v>965</v>
      </c>
      <c r="D3816" t="s">
        <v>4016</v>
      </c>
      <c r="E3816" t="s">
        <v>8</v>
      </c>
    </row>
    <row r="3817" spans="1:5" hidden="1" outlineLevel="2">
      <c r="A3817" s="3" t="e">
        <f>(HYPERLINK("http://www.autodoc.ru/Web/price/art/4439AGSBL?analog=on","4439AGSBL"))*1</f>
        <v>#VALUE!</v>
      </c>
      <c r="B3817" s="1">
        <v>6965688</v>
      </c>
      <c r="C3817" t="s">
        <v>965</v>
      </c>
      <c r="D3817" t="s">
        <v>4017</v>
      </c>
      <c r="E3817" t="s">
        <v>8</v>
      </c>
    </row>
    <row r="3818" spans="1:5" hidden="1" outlineLevel="1">
      <c r="A3818" s="2">
        <v>0</v>
      </c>
      <c r="B3818" s="26" t="s">
        <v>4018</v>
      </c>
      <c r="C3818" s="27">
        <v>0</v>
      </c>
      <c r="D3818" s="27">
        <v>0</v>
      </c>
      <c r="E3818" s="27">
        <v>0</v>
      </c>
    </row>
    <row r="3819" spans="1:5" hidden="1" outlineLevel="2">
      <c r="A3819" s="3" t="e">
        <f>(HYPERLINK("http://www.autodoc.ru/Web/price/art/4404ACL?analog=on","4404ACL"))*1</f>
        <v>#VALUE!</v>
      </c>
      <c r="B3819" s="1">
        <v>6960703</v>
      </c>
      <c r="C3819" t="s">
        <v>1007</v>
      </c>
      <c r="D3819" t="s">
        <v>4019</v>
      </c>
      <c r="E3819" t="s">
        <v>8</v>
      </c>
    </row>
    <row r="3820" spans="1:5" hidden="1" outlineLevel="2">
      <c r="A3820" s="3" t="e">
        <f>(HYPERLINK("http://www.autodoc.ru/Web/price/art/4404AGNBL?analog=on","4404AGNBL"))*1</f>
        <v>#VALUE!</v>
      </c>
      <c r="B3820" s="1">
        <v>6961979</v>
      </c>
      <c r="C3820" t="s">
        <v>1007</v>
      </c>
      <c r="D3820" t="s">
        <v>4020</v>
      </c>
      <c r="E3820" t="s">
        <v>8</v>
      </c>
    </row>
    <row r="3821" spans="1:5" hidden="1" outlineLevel="2">
      <c r="A3821" s="3" t="e">
        <f>(HYPERLINK("http://www.autodoc.ru/Web/price/art/4404ASMV?analog=on","4404ASMV"))*1</f>
        <v>#VALUE!</v>
      </c>
      <c r="B3821" s="1">
        <v>6101784</v>
      </c>
      <c r="C3821" t="s">
        <v>19</v>
      </c>
      <c r="D3821" t="s">
        <v>4021</v>
      </c>
      <c r="E3821" t="s">
        <v>21</v>
      </c>
    </row>
    <row r="3822" spans="1:5" hidden="1" outlineLevel="2">
      <c r="A3822" s="3" t="e">
        <f>(HYPERLINK("http://www.autodoc.ru/Web/price/art/4404BGNVW?analog=on","4404BGNVW"))*1</f>
        <v>#VALUE!</v>
      </c>
      <c r="B3822" s="1">
        <v>6900652</v>
      </c>
      <c r="C3822" t="s">
        <v>1007</v>
      </c>
      <c r="D3822" t="s">
        <v>4022</v>
      </c>
      <c r="E3822" t="s">
        <v>23</v>
      </c>
    </row>
    <row r="3823" spans="1:5" hidden="1" outlineLevel="2">
      <c r="A3823" s="3" t="e">
        <f>(HYPERLINK("http://www.autodoc.ru/Web/price/art/4404LGNV3FD?analog=on","4404LGNV3FD"))*1</f>
        <v>#VALUE!</v>
      </c>
      <c r="B3823" s="1">
        <v>6900824</v>
      </c>
      <c r="C3823" t="s">
        <v>1007</v>
      </c>
      <c r="D3823" t="s">
        <v>4023</v>
      </c>
      <c r="E3823" t="s">
        <v>10</v>
      </c>
    </row>
    <row r="3824" spans="1:5" hidden="1" outlineLevel="2">
      <c r="A3824" s="3" t="e">
        <f>(HYPERLINK("http://www.autodoc.ru/Web/price/art/4404RGNV3FD?analog=on","4404RGNV3FD"))*1</f>
        <v>#VALUE!</v>
      </c>
      <c r="B3824" s="1">
        <v>6900825</v>
      </c>
      <c r="C3824" t="s">
        <v>1007</v>
      </c>
      <c r="D3824" t="s">
        <v>4024</v>
      </c>
      <c r="E3824" t="s">
        <v>10</v>
      </c>
    </row>
    <row r="3825" spans="1:5" hidden="1" outlineLevel="1">
      <c r="A3825" s="2">
        <v>0</v>
      </c>
      <c r="B3825" s="26" t="s">
        <v>4025</v>
      </c>
      <c r="C3825" s="27">
        <v>0</v>
      </c>
      <c r="D3825" s="27">
        <v>0</v>
      </c>
      <c r="E3825" s="27">
        <v>0</v>
      </c>
    </row>
    <row r="3826" spans="1:5" hidden="1" outlineLevel="2">
      <c r="A3826" s="3" t="e">
        <f>(HYPERLINK("http://www.autodoc.ru/Web/price/art/4400ACL?analog=on","4400ACL"))*1</f>
        <v>#VALUE!</v>
      </c>
      <c r="B3826" s="1">
        <v>6963631</v>
      </c>
      <c r="C3826" t="s">
        <v>4026</v>
      </c>
      <c r="D3826" t="s">
        <v>4027</v>
      </c>
      <c r="E3826" t="s">
        <v>8</v>
      </c>
    </row>
    <row r="3827" spans="1:5" hidden="1" outlineLevel="2">
      <c r="A3827" s="3" t="e">
        <f>(HYPERLINK("http://www.autodoc.ru/Web/price/art/4400AGNBL?analog=on","4400AGNBL"))*1</f>
        <v>#VALUE!</v>
      </c>
      <c r="B3827" s="1">
        <v>6963632</v>
      </c>
      <c r="C3827" t="s">
        <v>4026</v>
      </c>
      <c r="D3827" t="s">
        <v>4028</v>
      </c>
      <c r="E3827" t="s">
        <v>8</v>
      </c>
    </row>
    <row r="3828" spans="1:5" hidden="1" outlineLevel="2">
      <c r="A3828" s="3" t="e">
        <f>(HYPERLINK("http://www.autodoc.ru/Web/price/art/4400ASMHB?analog=on","4400ASMHB"))*1</f>
        <v>#VALUE!</v>
      </c>
      <c r="B3828" s="1">
        <v>6102345</v>
      </c>
      <c r="C3828" t="s">
        <v>19</v>
      </c>
      <c r="D3828" t="s">
        <v>4029</v>
      </c>
      <c r="E3828" t="s">
        <v>21</v>
      </c>
    </row>
    <row r="3829" spans="1:5" hidden="1" outlineLevel="1">
      <c r="A3829" s="2">
        <v>0</v>
      </c>
      <c r="B3829" s="26" t="s">
        <v>4030</v>
      </c>
      <c r="C3829" s="27">
        <v>0</v>
      </c>
      <c r="D3829" s="27">
        <v>0</v>
      </c>
      <c r="E3829" s="27">
        <v>0</v>
      </c>
    </row>
    <row r="3830" spans="1:5" hidden="1" outlineLevel="2">
      <c r="A3830" s="3" t="e">
        <f>(HYPERLINK("http://www.autodoc.ru/Web/price/art/4413AGN?analog=on","4413AGN"))*1</f>
        <v>#VALUE!</v>
      </c>
      <c r="B3830" s="1">
        <v>6962094</v>
      </c>
      <c r="C3830" t="s">
        <v>3902</v>
      </c>
      <c r="D3830" t="s">
        <v>4031</v>
      </c>
      <c r="E3830" t="s">
        <v>8</v>
      </c>
    </row>
    <row r="3831" spans="1:5" hidden="1" outlineLevel="2">
      <c r="A3831" s="3" t="e">
        <f>(HYPERLINK("http://www.autodoc.ru/Web/price/art/4413ASMR?analog=on","4413ASMR"))*1</f>
        <v>#VALUE!</v>
      </c>
      <c r="B3831" s="1">
        <v>6102134</v>
      </c>
      <c r="C3831" t="s">
        <v>19</v>
      </c>
      <c r="D3831" t="s">
        <v>4032</v>
      </c>
      <c r="E3831" t="s">
        <v>21</v>
      </c>
    </row>
    <row r="3832" spans="1:5" hidden="1" outlineLevel="1">
      <c r="A3832" s="2">
        <v>0</v>
      </c>
      <c r="B3832" s="26" t="s">
        <v>4033</v>
      </c>
      <c r="C3832" s="27">
        <v>0</v>
      </c>
      <c r="D3832" s="27">
        <v>0</v>
      </c>
      <c r="E3832" s="27">
        <v>0</v>
      </c>
    </row>
    <row r="3833" spans="1:5" hidden="1" outlineLevel="2">
      <c r="A3833" s="3" t="e">
        <f>(HYPERLINK("http://www.autodoc.ru/Web/price/art/4411AGNBL?analog=on","4411AGNBL"))*1</f>
        <v>#VALUE!</v>
      </c>
      <c r="B3833" s="1">
        <v>6960757</v>
      </c>
      <c r="C3833" t="s">
        <v>3984</v>
      </c>
      <c r="D3833" t="s">
        <v>4034</v>
      </c>
      <c r="E3833" t="s">
        <v>8</v>
      </c>
    </row>
    <row r="3834" spans="1:5" hidden="1" outlineLevel="2">
      <c r="A3834" s="3" t="e">
        <f>(HYPERLINK("http://www.autodoc.ru/Web/price/art/4411ASMH?analog=on","4411ASMH"))*1</f>
        <v>#VALUE!</v>
      </c>
      <c r="B3834" s="1">
        <v>6100602</v>
      </c>
      <c r="C3834" t="s">
        <v>19</v>
      </c>
      <c r="D3834" t="s">
        <v>4035</v>
      </c>
      <c r="E3834" t="s">
        <v>21</v>
      </c>
    </row>
    <row r="3835" spans="1:5" hidden="1" outlineLevel="2">
      <c r="A3835" s="3" t="e">
        <f>(HYPERLINK("http://www.autodoc.ru/Web/price/art/4411BGNHW?analog=on","4411BGNHW"))*1</f>
        <v>#VALUE!</v>
      </c>
      <c r="B3835" s="1">
        <v>6992771</v>
      </c>
      <c r="C3835" t="s">
        <v>3984</v>
      </c>
      <c r="D3835" t="s">
        <v>4036</v>
      </c>
      <c r="E3835" t="s">
        <v>23</v>
      </c>
    </row>
    <row r="3836" spans="1:5" hidden="1" outlineLevel="2">
      <c r="A3836" s="3" t="e">
        <f>(HYPERLINK("http://www.autodoc.ru/Web/price/art/4411BGNSW?analog=on","4411BGNSW"))*1</f>
        <v>#VALUE!</v>
      </c>
      <c r="B3836" s="1">
        <v>6999900</v>
      </c>
      <c r="C3836" t="s">
        <v>3984</v>
      </c>
      <c r="D3836" t="s">
        <v>4037</v>
      </c>
      <c r="E3836" t="s">
        <v>23</v>
      </c>
    </row>
    <row r="3837" spans="1:5" hidden="1" outlineLevel="2">
      <c r="A3837" s="3" t="e">
        <f>(HYPERLINK("http://www.autodoc.ru/Web/price/art/4411LGNH5FD?analog=on","4411LGNH5FD"))*1</f>
        <v>#VALUE!</v>
      </c>
      <c r="B3837" s="1">
        <v>6993268</v>
      </c>
      <c r="C3837" t="s">
        <v>3984</v>
      </c>
      <c r="D3837" t="s">
        <v>4038</v>
      </c>
      <c r="E3837" t="s">
        <v>10</v>
      </c>
    </row>
    <row r="3838" spans="1:5" hidden="1" outlineLevel="2">
      <c r="A3838" s="3" t="e">
        <f>(HYPERLINK("http://www.autodoc.ru/Web/price/art/4411LGNH5RD?analog=on","4411LGNH5RD"))*1</f>
        <v>#VALUE!</v>
      </c>
      <c r="B3838" s="1">
        <v>6900162</v>
      </c>
      <c r="C3838" t="s">
        <v>3984</v>
      </c>
      <c r="D3838" t="s">
        <v>4039</v>
      </c>
      <c r="E3838" t="s">
        <v>10</v>
      </c>
    </row>
    <row r="3839" spans="1:5" hidden="1" outlineLevel="2">
      <c r="A3839" s="3" t="e">
        <f>(HYPERLINK("http://www.autodoc.ru/Web/price/art/4411LGNS4RD?analog=on","4411LGNS4RD"))*1</f>
        <v>#VALUE!</v>
      </c>
      <c r="B3839" s="1">
        <v>6995291</v>
      </c>
      <c r="C3839" t="s">
        <v>3984</v>
      </c>
      <c r="D3839" t="s">
        <v>4040</v>
      </c>
      <c r="E3839" t="s">
        <v>10</v>
      </c>
    </row>
    <row r="3840" spans="1:5" hidden="1" outlineLevel="2">
      <c r="A3840" s="3" t="e">
        <f>(HYPERLINK("http://www.autodoc.ru/Web/price/art/4411LGNS4RV?analog=on","4411LGNS4RV"))*1</f>
        <v>#VALUE!</v>
      </c>
      <c r="B3840" s="1">
        <v>6995293</v>
      </c>
      <c r="C3840" t="s">
        <v>3984</v>
      </c>
      <c r="D3840" t="s">
        <v>4041</v>
      </c>
      <c r="E3840" t="s">
        <v>10</v>
      </c>
    </row>
    <row r="3841" spans="1:5" hidden="1" outlineLevel="2">
      <c r="A3841" s="3" t="e">
        <f>(HYPERLINK("http://www.autodoc.ru/Web/price/art/4411RGNH5FD?analog=on","4411RGNH5FD"))*1</f>
        <v>#VALUE!</v>
      </c>
      <c r="B3841" s="1">
        <v>6993269</v>
      </c>
      <c r="C3841" t="s">
        <v>3984</v>
      </c>
      <c r="D3841" t="s">
        <v>4042</v>
      </c>
      <c r="E3841" t="s">
        <v>10</v>
      </c>
    </row>
    <row r="3842" spans="1:5" hidden="1" outlineLevel="2">
      <c r="A3842" s="3" t="e">
        <f>(HYPERLINK("http://www.autodoc.ru/Web/price/art/4411RGNH5RD?analog=on","4411RGNH5RD"))*1</f>
        <v>#VALUE!</v>
      </c>
      <c r="B3842" s="1">
        <v>6900239</v>
      </c>
      <c r="C3842" t="s">
        <v>3984</v>
      </c>
      <c r="D3842" t="s">
        <v>4043</v>
      </c>
      <c r="E3842" t="s">
        <v>10</v>
      </c>
    </row>
    <row r="3843" spans="1:5" hidden="1" outlineLevel="2">
      <c r="A3843" s="3" t="e">
        <f>(HYPERLINK("http://www.autodoc.ru/Web/price/art/4411RGNS4RD?analog=on","4411RGNS4RD"))*1</f>
        <v>#VALUE!</v>
      </c>
      <c r="B3843" s="1">
        <v>6995292</v>
      </c>
      <c r="C3843" t="s">
        <v>3984</v>
      </c>
      <c r="D3843" t="s">
        <v>4044</v>
      </c>
      <c r="E3843" t="s">
        <v>10</v>
      </c>
    </row>
    <row r="3844" spans="1:5" hidden="1" outlineLevel="2">
      <c r="A3844" s="3" t="e">
        <f>(HYPERLINK("http://www.autodoc.ru/Web/price/art/4411RGNS4RV?analog=on","4411RGNS4RV"))*1</f>
        <v>#VALUE!</v>
      </c>
      <c r="B3844" s="1">
        <v>6995294</v>
      </c>
      <c r="C3844" t="s">
        <v>3984</v>
      </c>
      <c r="D3844" t="s">
        <v>4045</v>
      </c>
      <c r="E3844" t="s">
        <v>10</v>
      </c>
    </row>
    <row r="3845" spans="1:5" hidden="1" outlineLevel="1">
      <c r="A3845" s="2">
        <v>0</v>
      </c>
      <c r="B3845" s="26" t="s">
        <v>4046</v>
      </c>
      <c r="C3845" s="27">
        <v>0</v>
      </c>
      <c r="D3845" s="27">
        <v>0</v>
      </c>
      <c r="E3845" s="27">
        <v>0</v>
      </c>
    </row>
    <row r="3846" spans="1:5" hidden="1" outlineLevel="2">
      <c r="A3846" s="3" t="e">
        <f>(HYPERLINK("http://www.autodoc.ru/Web/price/art/4426AGNBL?analog=on","4426AGNBL"))*1</f>
        <v>#VALUE!</v>
      </c>
      <c r="B3846" s="1">
        <v>6961586</v>
      </c>
      <c r="C3846" t="s">
        <v>83</v>
      </c>
      <c r="D3846" t="s">
        <v>4047</v>
      </c>
      <c r="E3846" t="s">
        <v>8</v>
      </c>
    </row>
    <row r="3847" spans="1:5" hidden="1" outlineLevel="2">
      <c r="A3847" s="3" t="e">
        <f>(HYPERLINK("http://www.autodoc.ru/Web/price/art/4426AGN1P?analog=on","4426AGN1P"))*1</f>
        <v>#VALUE!</v>
      </c>
      <c r="B3847" s="1">
        <v>6965512</v>
      </c>
      <c r="C3847" t="s">
        <v>83</v>
      </c>
      <c r="D3847" t="s">
        <v>4048</v>
      </c>
      <c r="E3847" t="s">
        <v>8</v>
      </c>
    </row>
    <row r="3848" spans="1:5" hidden="1" outlineLevel="2">
      <c r="A3848" s="3" t="e">
        <f>(HYPERLINK("http://www.autodoc.ru/Web/price/art/4426ASMH?analog=on","4426ASMH"))*1</f>
        <v>#VALUE!</v>
      </c>
      <c r="B3848" s="1">
        <v>6102135</v>
      </c>
      <c r="C3848" t="s">
        <v>19</v>
      </c>
      <c r="D3848" t="s">
        <v>4049</v>
      </c>
      <c r="E3848" t="s">
        <v>21</v>
      </c>
    </row>
    <row r="3849" spans="1:5" hidden="1" outlineLevel="2">
      <c r="A3849" s="3" t="e">
        <f>(HYPERLINK("http://www.autodoc.ru/Web/price/art/4426LGNH5FD?analog=on","4426LGNH5FD"))*1</f>
        <v>#VALUE!</v>
      </c>
      <c r="B3849" s="1">
        <v>6999965</v>
      </c>
      <c r="C3849" t="s">
        <v>956</v>
      </c>
      <c r="D3849" t="s">
        <v>4050</v>
      </c>
      <c r="E3849" t="s">
        <v>10</v>
      </c>
    </row>
    <row r="3850" spans="1:5" hidden="1" outlineLevel="2">
      <c r="A3850" s="3" t="e">
        <f>(HYPERLINK("http://www.autodoc.ru/Web/price/art/4426LGNH5RD?analog=on","4426LGNH5RD"))*1</f>
        <v>#VALUE!</v>
      </c>
      <c r="B3850" s="1">
        <v>6900161</v>
      </c>
      <c r="C3850" t="s">
        <v>956</v>
      </c>
      <c r="D3850" t="s">
        <v>4051</v>
      </c>
      <c r="E3850" t="s">
        <v>10</v>
      </c>
    </row>
    <row r="3851" spans="1:5" hidden="1" outlineLevel="2">
      <c r="A3851" s="3" t="e">
        <f>(HYPERLINK("http://www.autodoc.ru/Web/price/art/4426RGNH5FD?analog=on","4426RGNH5FD"))*1</f>
        <v>#VALUE!</v>
      </c>
      <c r="B3851" s="1">
        <v>6900055</v>
      </c>
      <c r="C3851" t="s">
        <v>956</v>
      </c>
      <c r="D3851" t="s">
        <v>4052</v>
      </c>
      <c r="E3851" t="s">
        <v>10</v>
      </c>
    </row>
    <row r="3852" spans="1:5" hidden="1" outlineLevel="2">
      <c r="A3852" s="3" t="e">
        <f>(HYPERLINK("http://www.autodoc.ru/Web/price/art/4426RGNH5RD?analog=on","4426RGNH5RD"))*1</f>
        <v>#VALUE!</v>
      </c>
      <c r="B3852" s="1">
        <v>6900238</v>
      </c>
      <c r="C3852" t="s">
        <v>956</v>
      </c>
      <c r="D3852" t="s">
        <v>4053</v>
      </c>
      <c r="E3852" t="s">
        <v>10</v>
      </c>
    </row>
    <row r="3853" spans="1:5" hidden="1" outlineLevel="1">
      <c r="A3853" s="2">
        <v>0</v>
      </c>
      <c r="B3853" s="26" t="s">
        <v>4054</v>
      </c>
      <c r="C3853" s="27">
        <v>0</v>
      </c>
      <c r="D3853" s="27">
        <v>0</v>
      </c>
      <c r="E3853" s="27">
        <v>0</v>
      </c>
    </row>
    <row r="3854" spans="1:5" hidden="1" outlineLevel="2">
      <c r="A3854" s="3" t="e">
        <f>(HYPERLINK("http://www.autodoc.ru/Web/price/art/4150AGNBLHV?analog=on","4150AGNBLHV"))*1</f>
        <v>#VALUE!</v>
      </c>
      <c r="B3854" s="1">
        <v>6965391</v>
      </c>
      <c r="C3854" t="s">
        <v>341</v>
      </c>
      <c r="D3854" t="s">
        <v>4055</v>
      </c>
      <c r="E3854" t="s">
        <v>8</v>
      </c>
    </row>
    <row r="3855" spans="1:5" hidden="1" outlineLevel="1">
      <c r="A3855" s="2">
        <v>0</v>
      </c>
      <c r="B3855" s="26" t="s">
        <v>4056</v>
      </c>
      <c r="C3855" s="27">
        <v>0</v>
      </c>
      <c r="D3855" s="27">
        <v>0</v>
      </c>
      <c r="E3855" s="27">
        <v>0</v>
      </c>
    </row>
    <row r="3856" spans="1:5" hidden="1" outlineLevel="2">
      <c r="A3856" s="3" t="e">
        <f>(HYPERLINK("http://www.autodoc.ru/Web/price/art/4401AGN?analog=on","4401AGN"))*1</f>
        <v>#VALUE!</v>
      </c>
      <c r="B3856" s="1">
        <v>6961423</v>
      </c>
      <c r="C3856" t="s">
        <v>354</v>
      </c>
      <c r="D3856" t="s">
        <v>4057</v>
      </c>
      <c r="E3856" t="s">
        <v>8</v>
      </c>
    </row>
    <row r="3857" spans="1:5" hidden="1" outlineLevel="2">
      <c r="A3857" s="3" t="e">
        <f>(HYPERLINK("http://www.autodoc.ru/Web/price/art/4401AGNBL?analog=on","4401AGNBL"))*1</f>
        <v>#VALUE!</v>
      </c>
      <c r="B3857" s="1">
        <v>6963383</v>
      </c>
      <c r="C3857" t="s">
        <v>354</v>
      </c>
      <c r="D3857" t="s">
        <v>4058</v>
      </c>
      <c r="E3857" t="s">
        <v>8</v>
      </c>
    </row>
    <row r="3858" spans="1:5" hidden="1" outlineLevel="2">
      <c r="A3858" s="3" t="e">
        <f>(HYPERLINK("http://www.autodoc.ru/Web/price/art/4401AKCS?analog=on","4401AKCS"))*1</f>
        <v>#VALUE!</v>
      </c>
      <c r="B3858" s="1">
        <v>6101048</v>
      </c>
      <c r="C3858" t="s">
        <v>19</v>
      </c>
      <c r="D3858" t="s">
        <v>4059</v>
      </c>
      <c r="E3858" t="s">
        <v>21</v>
      </c>
    </row>
    <row r="3859" spans="1:5" hidden="1" outlineLevel="2">
      <c r="A3859" s="3" t="e">
        <f>(HYPERLINK("http://www.autodoc.ru/Web/price/art/4401ASMSTB?analog=on","4401ASMSTB"))*1</f>
        <v>#VALUE!</v>
      </c>
      <c r="B3859" s="1">
        <v>6101172</v>
      </c>
      <c r="C3859" t="s">
        <v>19</v>
      </c>
      <c r="D3859" t="s">
        <v>4060</v>
      </c>
      <c r="E3859" t="s">
        <v>21</v>
      </c>
    </row>
    <row r="3860" spans="1:5" hidden="1" outlineLevel="2">
      <c r="A3860" s="3" t="e">
        <f>(HYPERLINK("http://www.autodoc.ru/Web/price/art/4401ASMSTC?analog=on","4401ASMSTC"))*1</f>
        <v>#VALUE!</v>
      </c>
      <c r="B3860" s="1">
        <v>6101069</v>
      </c>
      <c r="C3860" t="s">
        <v>19</v>
      </c>
      <c r="D3860" t="s">
        <v>4061</v>
      </c>
      <c r="E3860" t="s">
        <v>21</v>
      </c>
    </row>
    <row r="3861" spans="1:5" hidden="1" outlineLevel="2">
      <c r="A3861" s="3" t="e">
        <f>(HYPERLINK("http://www.autodoc.ru/Web/price/art/4401LGNS4FD?analog=on","4401LGNS4FD"))*1</f>
        <v>#VALUE!</v>
      </c>
      <c r="B3861" s="1">
        <v>6992469</v>
      </c>
      <c r="C3861" t="s">
        <v>354</v>
      </c>
      <c r="D3861" t="s">
        <v>4062</v>
      </c>
      <c r="E3861" t="s">
        <v>10</v>
      </c>
    </row>
    <row r="3862" spans="1:5" hidden="1" outlineLevel="2">
      <c r="A3862" s="3" t="e">
        <f>(HYPERLINK("http://www.autodoc.ru/Web/price/art/4401LGNS4FD1H?analog=on","4401LGNS4FD1H"))*1</f>
        <v>#VALUE!</v>
      </c>
      <c r="B3862" s="1">
        <v>6999962</v>
      </c>
      <c r="C3862" t="s">
        <v>4063</v>
      </c>
      <c r="D3862" t="s">
        <v>4064</v>
      </c>
      <c r="E3862" t="s">
        <v>10</v>
      </c>
    </row>
    <row r="3863" spans="1:5" hidden="1" outlineLevel="2">
      <c r="A3863" s="3" t="e">
        <f>(HYPERLINK("http://www.autodoc.ru/Web/price/art/4401LGNS4RD?analog=on","4401LGNS4RD"))*1</f>
        <v>#VALUE!</v>
      </c>
      <c r="B3863" s="1">
        <v>6996199</v>
      </c>
      <c r="C3863" t="s">
        <v>354</v>
      </c>
      <c r="D3863" t="s">
        <v>4065</v>
      </c>
      <c r="E3863" t="s">
        <v>10</v>
      </c>
    </row>
    <row r="3864" spans="1:5" hidden="1" outlineLevel="2">
      <c r="A3864" s="3" t="e">
        <f>(HYPERLINK("http://www.autodoc.ru/Web/price/art/4401RGNS4FD?analog=on","4401RGNS4FD"))*1</f>
        <v>#VALUE!</v>
      </c>
      <c r="B3864" s="1">
        <v>6992470</v>
      </c>
      <c r="C3864" t="s">
        <v>354</v>
      </c>
      <c r="D3864" t="s">
        <v>4066</v>
      </c>
      <c r="E3864" t="s">
        <v>10</v>
      </c>
    </row>
    <row r="3865" spans="1:5" hidden="1" outlineLevel="2">
      <c r="A3865" s="3" t="e">
        <f>(HYPERLINK("http://www.autodoc.ru/Web/price/art/4401RGNS4FD1H?analog=on","4401RGNS4FD1H"))*1</f>
        <v>#VALUE!</v>
      </c>
      <c r="B3865" s="1">
        <v>6900052</v>
      </c>
      <c r="C3865" t="s">
        <v>4063</v>
      </c>
      <c r="D3865" t="s">
        <v>4067</v>
      </c>
      <c r="E3865" t="s">
        <v>10</v>
      </c>
    </row>
    <row r="3866" spans="1:5" hidden="1" outlineLevel="2">
      <c r="A3866" s="3" t="e">
        <f>(HYPERLINK("http://www.autodoc.ru/Web/price/art/4401RGNS4RD?analog=on","4401RGNS4RD"))*1</f>
        <v>#VALUE!</v>
      </c>
      <c r="B3866" s="1">
        <v>6996237</v>
      </c>
      <c r="C3866" t="s">
        <v>354</v>
      </c>
      <c r="D3866" t="s">
        <v>4068</v>
      </c>
      <c r="E3866" t="s">
        <v>10</v>
      </c>
    </row>
    <row r="3867" spans="1:5" hidden="1" outlineLevel="2">
      <c r="A3867" s="3" t="e">
        <f>(HYPERLINK("http://www.autodoc.ru/Web/price/art/4401RGNS4RV?analog=on","4401RGNS4RV"))*1</f>
        <v>#VALUE!</v>
      </c>
      <c r="B3867" s="1">
        <v>6996239</v>
      </c>
      <c r="C3867" t="s">
        <v>354</v>
      </c>
      <c r="D3867" t="s">
        <v>4069</v>
      </c>
      <c r="E3867" t="s">
        <v>10</v>
      </c>
    </row>
    <row r="3868" spans="1:5" hidden="1" outlineLevel="1">
      <c r="A3868" s="2">
        <v>0</v>
      </c>
      <c r="B3868" s="26" t="s">
        <v>4070</v>
      </c>
      <c r="C3868" s="27">
        <v>0</v>
      </c>
      <c r="D3868" s="27">
        <v>0</v>
      </c>
      <c r="E3868" s="27">
        <v>0</v>
      </c>
    </row>
    <row r="3869" spans="1:5" hidden="1" outlineLevel="2">
      <c r="A3869" s="3" t="e">
        <f>(HYPERLINK("http://www.autodoc.ru/Web/price/art/4409AGN?analog=on","4409AGN"))*1</f>
        <v>#VALUE!</v>
      </c>
      <c r="B3869" s="1">
        <v>6960675</v>
      </c>
      <c r="C3869" t="s">
        <v>4071</v>
      </c>
      <c r="D3869" t="s">
        <v>4072</v>
      </c>
      <c r="E3869" t="s">
        <v>8</v>
      </c>
    </row>
    <row r="3870" spans="1:5" hidden="1" outlineLevel="2">
      <c r="A3870" s="3" t="e">
        <f>(HYPERLINK("http://www.autodoc.ru/Web/price/art/4409AGNBL6Z?analog=on","4409AGNBL6Z"))*1</f>
        <v>#VALUE!</v>
      </c>
      <c r="B3870" s="1">
        <v>6961918</v>
      </c>
      <c r="C3870" t="s">
        <v>4071</v>
      </c>
      <c r="D3870" t="s">
        <v>4073</v>
      </c>
      <c r="E3870" t="s">
        <v>8</v>
      </c>
    </row>
    <row r="3871" spans="1:5" hidden="1" outlineLevel="2">
      <c r="A3871" s="3" t="e">
        <f>(HYPERLINK("http://www.autodoc.ru/Web/price/art/4409AGNBL?analog=on","4409AGNBL"))*1</f>
        <v>#VALUE!</v>
      </c>
      <c r="B3871" s="1">
        <v>6960676</v>
      </c>
      <c r="C3871" t="s">
        <v>1582</v>
      </c>
      <c r="D3871" t="s">
        <v>4074</v>
      </c>
      <c r="E3871" t="s">
        <v>8</v>
      </c>
    </row>
    <row r="3872" spans="1:5" hidden="1" outlineLevel="2">
      <c r="A3872" s="3" t="e">
        <f>(HYPERLINK("http://www.autodoc.ru/Web/price/art/4409AGNBL1P?analog=on","4409AGNBL1P"))*1</f>
        <v>#VALUE!</v>
      </c>
      <c r="B3872" s="1">
        <v>6950075</v>
      </c>
      <c r="C3872" t="s">
        <v>4071</v>
      </c>
      <c r="D3872" t="s">
        <v>4075</v>
      </c>
      <c r="E3872" t="s">
        <v>8</v>
      </c>
    </row>
    <row r="3873" spans="1:5" hidden="1" outlineLevel="2">
      <c r="A3873" s="3" t="e">
        <f>(HYPERLINK("http://www.autodoc.ru/Web/price/art/4409ASMH?analog=on","4409ASMH"))*1</f>
        <v>#VALUE!</v>
      </c>
      <c r="B3873" s="1">
        <v>6101032</v>
      </c>
      <c r="C3873" t="s">
        <v>19</v>
      </c>
      <c r="D3873" t="s">
        <v>4076</v>
      </c>
      <c r="E3873" t="s">
        <v>21</v>
      </c>
    </row>
    <row r="3874" spans="1:5" hidden="1" outlineLevel="2">
      <c r="A3874" s="3" t="e">
        <f>(HYPERLINK("http://www.autodoc.ru/Web/price/art/4409BGNH?analog=on","4409BGNH"))*1</f>
        <v>#VALUE!</v>
      </c>
      <c r="B3874" s="1">
        <v>6992770</v>
      </c>
      <c r="C3874" t="s">
        <v>4071</v>
      </c>
      <c r="D3874" t="s">
        <v>4077</v>
      </c>
      <c r="E3874" t="s">
        <v>23</v>
      </c>
    </row>
    <row r="3875" spans="1:5" hidden="1" outlineLevel="2">
      <c r="A3875" s="3" t="e">
        <f>(HYPERLINK("http://www.autodoc.ru/Web/price/art/4409RGNH5FD?analog=on","4409RGNH5FD"))*1</f>
        <v>#VALUE!</v>
      </c>
      <c r="B3875" s="1">
        <v>6994995</v>
      </c>
      <c r="C3875" t="s">
        <v>4071</v>
      </c>
      <c r="D3875" t="s">
        <v>4078</v>
      </c>
      <c r="E3875" t="s">
        <v>10</v>
      </c>
    </row>
    <row r="3876" spans="1:5" hidden="1" outlineLevel="2">
      <c r="A3876" s="3" t="e">
        <f>(HYPERLINK("http://www.autodoc.ru/Web/price/art/4409LGNH5FD?analog=on","4409LGNH5FD"))*1</f>
        <v>#VALUE!</v>
      </c>
      <c r="B3876" s="1">
        <v>6994996</v>
      </c>
      <c r="C3876" t="s">
        <v>4071</v>
      </c>
      <c r="D3876" t="s">
        <v>4079</v>
      </c>
      <c r="E3876" t="s">
        <v>10</v>
      </c>
    </row>
    <row r="3877" spans="1:5" hidden="1" outlineLevel="2">
      <c r="A3877" s="3" t="e">
        <f>(HYPERLINK("http://www.autodoc.ru/Web/price/art/4409RGNH5RD?analog=on","4409RGNH5RD"))*1</f>
        <v>#VALUE!</v>
      </c>
      <c r="B3877" s="1">
        <v>6994997</v>
      </c>
      <c r="C3877" t="s">
        <v>4071</v>
      </c>
      <c r="D3877" t="s">
        <v>4080</v>
      </c>
      <c r="E3877" t="s">
        <v>10</v>
      </c>
    </row>
    <row r="3878" spans="1:5" hidden="1" outlineLevel="2">
      <c r="A3878" s="3" t="e">
        <f>(HYPERLINK("http://www.autodoc.ru/Web/price/art/4409LGNH5RD?analog=on","4409LGNH5RD"))*1</f>
        <v>#VALUE!</v>
      </c>
      <c r="B3878" s="1">
        <v>6994998</v>
      </c>
      <c r="C3878" t="s">
        <v>4071</v>
      </c>
      <c r="D3878" t="s">
        <v>4081</v>
      </c>
      <c r="E3878" t="s">
        <v>10</v>
      </c>
    </row>
    <row r="3879" spans="1:5" hidden="1" outlineLevel="1">
      <c r="A3879" s="2">
        <v>0</v>
      </c>
      <c r="B3879" s="26" t="s">
        <v>4082</v>
      </c>
      <c r="C3879" s="27">
        <v>0</v>
      </c>
      <c r="D3879" s="27">
        <v>0</v>
      </c>
      <c r="E3879" s="27">
        <v>0</v>
      </c>
    </row>
    <row r="3880" spans="1:5" hidden="1" outlineLevel="2">
      <c r="A3880" s="3" t="e">
        <f>(HYPERLINK("http://www.autodoc.ru/Web/price/art/4418AGN?analog=on","4418AGN"))*1</f>
        <v>#VALUE!</v>
      </c>
      <c r="B3880" s="1">
        <v>6190799</v>
      </c>
      <c r="C3880" t="s">
        <v>829</v>
      </c>
      <c r="D3880" t="s">
        <v>4083</v>
      </c>
      <c r="E3880" t="s">
        <v>8</v>
      </c>
    </row>
    <row r="3881" spans="1:5" hidden="1" outlineLevel="2">
      <c r="A3881" s="3" t="e">
        <f>(HYPERLINK("http://www.autodoc.ru/Web/price/art/4418AGNBL?analog=on","4418AGNBL"))*1</f>
        <v>#VALUE!</v>
      </c>
      <c r="B3881" s="1">
        <v>6190800</v>
      </c>
      <c r="C3881" t="s">
        <v>1338</v>
      </c>
      <c r="D3881" t="s">
        <v>4084</v>
      </c>
      <c r="E3881" t="s">
        <v>8</v>
      </c>
    </row>
    <row r="3882" spans="1:5" hidden="1" outlineLevel="2">
      <c r="A3882" s="3" t="e">
        <f>(HYPERLINK("http://www.autodoc.ru/Web/price/art/4418AGS?analog=on","4418AGS"))*1</f>
        <v>#VALUE!</v>
      </c>
      <c r="B3882" s="1">
        <v>6961301</v>
      </c>
      <c r="C3882" t="s">
        <v>829</v>
      </c>
      <c r="D3882" t="s">
        <v>4083</v>
      </c>
      <c r="E3882" t="s">
        <v>8</v>
      </c>
    </row>
    <row r="3883" spans="1:5" hidden="1" outlineLevel="2">
      <c r="A3883" s="3" t="e">
        <f>(HYPERLINK("http://www.autodoc.ru/Web/price/art/4418AGSBL?analog=on","4418AGSBL"))*1</f>
        <v>#VALUE!</v>
      </c>
      <c r="B3883" s="1">
        <v>6961030</v>
      </c>
      <c r="C3883" t="s">
        <v>1338</v>
      </c>
      <c r="D3883" t="s">
        <v>4084</v>
      </c>
      <c r="E3883" t="s">
        <v>8</v>
      </c>
    </row>
    <row r="3884" spans="1:5" hidden="1" outlineLevel="2">
      <c r="A3884" s="3" t="e">
        <f>(HYPERLINK("http://www.autodoc.ru/Web/price/art/4418AGSBLH?analog=on","4418AGSBLH"))*1</f>
        <v>#VALUE!</v>
      </c>
      <c r="B3884" s="1">
        <v>6961248</v>
      </c>
      <c r="C3884" t="s">
        <v>1338</v>
      </c>
      <c r="D3884" t="s">
        <v>4085</v>
      </c>
      <c r="E3884" t="s">
        <v>8</v>
      </c>
    </row>
    <row r="3885" spans="1:5" hidden="1" outlineLevel="2">
      <c r="A3885" s="3" t="e">
        <f>(HYPERLINK("http://www.autodoc.ru/Web/price/art/4418AGSBLHM?analog=on","4418AGSBLHM"))*1</f>
        <v>#VALUE!</v>
      </c>
      <c r="B3885" s="1">
        <v>6961249</v>
      </c>
      <c r="C3885" t="s">
        <v>1338</v>
      </c>
      <c r="D3885" t="s">
        <v>4086</v>
      </c>
      <c r="E3885" t="s">
        <v>8</v>
      </c>
    </row>
    <row r="3886" spans="1:5" hidden="1" outlineLevel="2">
      <c r="A3886" s="3" t="e">
        <f>(HYPERLINK("http://www.autodoc.ru/Web/price/art/4418ASMR?analog=on","4418ASMR"))*1</f>
        <v>#VALUE!</v>
      </c>
      <c r="B3886" s="1">
        <v>6101182</v>
      </c>
      <c r="C3886" t="s">
        <v>19</v>
      </c>
      <c r="D3886" t="s">
        <v>4087</v>
      </c>
      <c r="E3886" t="s">
        <v>21</v>
      </c>
    </row>
    <row r="3887" spans="1:5" hidden="1" outlineLevel="2">
      <c r="A3887" s="3" t="e">
        <f>(HYPERLINK("http://www.autodoc.ru/Web/price/art/4418BGNRAOW?analog=on","4418BGNRAOW"))*1</f>
        <v>#VALUE!</v>
      </c>
      <c r="B3887" s="1">
        <v>6900108</v>
      </c>
      <c r="C3887" t="s">
        <v>1338</v>
      </c>
      <c r="D3887" t="s">
        <v>4088</v>
      </c>
      <c r="E3887" t="s">
        <v>23</v>
      </c>
    </row>
    <row r="3888" spans="1:5" hidden="1" outlineLevel="2">
      <c r="A3888" s="3" t="e">
        <f>(HYPERLINK("http://www.autodoc.ru/Web/price/art/4418BGNROW?analog=on","4418BGNROW"))*1</f>
        <v>#VALUE!</v>
      </c>
      <c r="B3888" s="1">
        <v>6900107</v>
      </c>
      <c r="C3888" t="s">
        <v>1338</v>
      </c>
      <c r="D3888" t="s">
        <v>4089</v>
      </c>
      <c r="E3888" t="s">
        <v>23</v>
      </c>
    </row>
    <row r="3889" spans="1:5" hidden="1" outlineLevel="2">
      <c r="A3889" s="3" t="e">
        <f>(HYPERLINK("http://www.autodoc.ru/Web/price/art/4418LGNR5FD?analog=on","4418LGNR5FD"))*1</f>
        <v>#VALUE!</v>
      </c>
      <c r="B3889" s="1">
        <v>6995315</v>
      </c>
      <c r="C3889" t="s">
        <v>1338</v>
      </c>
      <c r="D3889" t="s">
        <v>4090</v>
      </c>
      <c r="E3889" t="s">
        <v>10</v>
      </c>
    </row>
    <row r="3890" spans="1:5" hidden="1" outlineLevel="2">
      <c r="A3890" s="3" t="e">
        <f>(HYPERLINK("http://www.autodoc.ru/Web/price/art/4418LGNR5RD?analog=on","4418LGNR5RD"))*1</f>
        <v>#VALUE!</v>
      </c>
      <c r="B3890" s="1">
        <v>6995314</v>
      </c>
      <c r="C3890" t="s">
        <v>1338</v>
      </c>
      <c r="D3890" t="s">
        <v>4091</v>
      </c>
      <c r="E3890" t="s">
        <v>10</v>
      </c>
    </row>
    <row r="3891" spans="1:5" hidden="1" outlineLevel="2">
      <c r="A3891" s="3" t="e">
        <f>(HYPERLINK("http://www.autodoc.ru/Web/price/art/4418LGNR5RV?analog=on","4418LGNR5RV"))*1</f>
        <v>#VALUE!</v>
      </c>
      <c r="B3891" s="1">
        <v>6995317</v>
      </c>
      <c r="C3891" t="s">
        <v>1338</v>
      </c>
      <c r="D3891" t="s">
        <v>4092</v>
      </c>
      <c r="E3891" t="s">
        <v>10</v>
      </c>
    </row>
    <row r="3892" spans="1:5" hidden="1" outlineLevel="2">
      <c r="A3892" s="3" t="e">
        <f>(HYPERLINK("http://www.autodoc.ru/Web/price/art/4418LGPR5RDW?analog=on","4418LGPR5RDW"))*1</f>
        <v>#VALUE!</v>
      </c>
      <c r="B3892" s="1">
        <v>6900163</v>
      </c>
      <c r="C3892" t="s">
        <v>1338</v>
      </c>
      <c r="D3892" t="s">
        <v>4093</v>
      </c>
      <c r="E3892" t="s">
        <v>10</v>
      </c>
    </row>
    <row r="3893" spans="1:5" hidden="1" outlineLevel="2">
      <c r="A3893" s="3" t="e">
        <f>(HYPERLINK("http://www.autodoc.ru/Web/price/art/4418RGNR5FD?analog=on","4418RGNR5FD"))*1</f>
        <v>#VALUE!</v>
      </c>
      <c r="B3893" s="1">
        <v>6995308</v>
      </c>
      <c r="C3893" t="s">
        <v>1338</v>
      </c>
      <c r="D3893" t="s">
        <v>4094</v>
      </c>
      <c r="E3893" t="s">
        <v>10</v>
      </c>
    </row>
    <row r="3894" spans="1:5" hidden="1" outlineLevel="2">
      <c r="A3894" s="3" t="e">
        <f>(HYPERLINK("http://www.autodoc.ru/Web/price/art/4418RGNR5FDW?analog=on","4418RGNR5FDW"))*1</f>
        <v>#VALUE!</v>
      </c>
      <c r="B3894" s="1">
        <v>6900521</v>
      </c>
      <c r="C3894" t="s">
        <v>1338</v>
      </c>
      <c r="D3894" t="s">
        <v>4095</v>
      </c>
      <c r="E3894" t="s">
        <v>10</v>
      </c>
    </row>
    <row r="3895" spans="1:5" hidden="1" outlineLevel="2">
      <c r="A3895" s="3" t="e">
        <f>(HYPERLINK("http://www.autodoc.ru/Web/price/art/4418RGNR5RD?analog=on","4418RGNR5RD"))*1</f>
        <v>#VALUE!</v>
      </c>
      <c r="B3895" s="1">
        <v>6995316</v>
      </c>
      <c r="C3895" t="s">
        <v>1338</v>
      </c>
      <c r="D3895" t="s">
        <v>4096</v>
      </c>
      <c r="E3895" t="s">
        <v>10</v>
      </c>
    </row>
    <row r="3896" spans="1:5" hidden="1" outlineLevel="2">
      <c r="A3896" s="3" t="e">
        <f>(HYPERLINK("http://www.autodoc.ru/Web/price/art/4418RGNR5RDW?analog=on","4418RGNR5RDW"))*1</f>
        <v>#VALUE!</v>
      </c>
      <c r="B3896" s="1">
        <v>6900522</v>
      </c>
      <c r="C3896" t="s">
        <v>1338</v>
      </c>
      <c r="D3896" t="s">
        <v>4097</v>
      </c>
      <c r="E3896" t="s">
        <v>10</v>
      </c>
    </row>
    <row r="3897" spans="1:5" hidden="1" outlineLevel="2">
      <c r="A3897" s="3" t="e">
        <f>(HYPERLINK("http://www.autodoc.ru/Web/price/art/4418RGNR5RV?analog=on","4418RGNR5RV"))*1</f>
        <v>#VALUE!</v>
      </c>
      <c r="B3897" s="1">
        <v>6995318</v>
      </c>
      <c r="C3897" t="s">
        <v>1338</v>
      </c>
      <c r="D3897" t="s">
        <v>4098</v>
      </c>
      <c r="E3897" t="s">
        <v>10</v>
      </c>
    </row>
    <row r="3898" spans="1:5" hidden="1" outlineLevel="2">
      <c r="A3898" s="3" t="e">
        <f>(HYPERLINK("http://www.autodoc.ru/Web/price/art/4418RGPR5RDW?analog=on","4418RGPR5RDW"))*1</f>
        <v>#VALUE!</v>
      </c>
      <c r="B3898" s="1">
        <v>6900241</v>
      </c>
      <c r="C3898" t="s">
        <v>1338</v>
      </c>
      <c r="D3898" t="s">
        <v>4099</v>
      </c>
      <c r="E3898" t="s">
        <v>10</v>
      </c>
    </row>
    <row r="3899" spans="1:5" hidden="1" outlineLevel="1">
      <c r="A3899" s="2">
        <v>0</v>
      </c>
      <c r="B3899" s="26" t="s">
        <v>4100</v>
      </c>
      <c r="C3899" s="27">
        <v>0</v>
      </c>
      <c r="D3899" s="27">
        <v>0</v>
      </c>
      <c r="E3899" s="27">
        <v>0</v>
      </c>
    </row>
    <row r="3900" spans="1:5" hidden="1" outlineLevel="2">
      <c r="A3900" s="3" t="e">
        <f>(HYPERLINK("http://www.autodoc.ru/Web/price/art/4437AGNHV?analog=on","4437AGNHV"))*1</f>
        <v>#VALUE!</v>
      </c>
      <c r="B3900" s="1">
        <v>6964995</v>
      </c>
      <c r="C3900" t="s">
        <v>341</v>
      </c>
      <c r="D3900" t="s">
        <v>4101</v>
      </c>
      <c r="E3900" t="s">
        <v>8</v>
      </c>
    </row>
    <row r="3901" spans="1:5" hidden="1" outlineLevel="2">
      <c r="A3901" s="3" t="e">
        <f>(HYPERLINK("http://www.autodoc.ru/Web/price/art/4437AGNHMV1B?analog=on","4437AGNHMV1B"))*1</f>
        <v>#VALUE!</v>
      </c>
      <c r="B3901" s="1">
        <v>6964996</v>
      </c>
      <c r="C3901" t="s">
        <v>341</v>
      </c>
      <c r="D3901" t="s">
        <v>4102</v>
      </c>
      <c r="E3901" t="s">
        <v>8</v>
      </c>
    </row>
    <row r="3902" spans="1:5" hidden="1" outlineLevel="2">
      <c r="A3902" s="3" t="e">
        <f>(HYPERLINK("http://www.autodoc.ru/Web/price/art/4437AGSHMV1B?analog=on","4437AGSHMV1B"))*1</f>
        <v>#VALUE!</v>
      </c>
      <c r="B3902" s="1">
        <v>6965225</v>
      </c>
      <c r="C3902" t="s">
        <v>341</v>
      </c>
      <c r="D3902" t="s">
        <v>4102</v>
      </c>
      <c r="E3902" t="s">
        <v>8</v>
      </c>
    </row>
    <row r="3903" spans="1:5" hidden="1" outlineLevel="2">
      <c r="A3903" s="3" t="e">
        <f>(HYPERLINK("http://www.autodoc.ru/Web/price/art/4437AGSBLHMV1B?analog=on","4437AGSBLHMV1B"))*1</f>
        <v>#VALUE!</v>
      </c>
      <c r="B3903" s="1">
        <v>6964997</v>
      </c>
      <c r="C3903" t="s">
        <v>341</v>
      </c>
      <c r="D3903" t="s">
        <v>4103</v>
      </c>
      <c r="E3903" t="s">
        <v>8</v>
      </c>
    </row>
    <row r="3904" spans="1:5" hidden="1" outlineLevel="1">
      <c r="A3904" s="2">
        <v>0</v>
      </c>
      <c r="B3904" s="26" t="s">
        <v>4104</v>
      </c>
      <c r="C3904" s="27">
        <v>0</v>
      </c>
      <c r="D3904" s="27">
        <v>0</v>
      </c>
      <c r="E3904" s="27">
        <v>0</v>
      </c>
    </row>
    <row r="3905" spans="1:5" hidden="1" outlineLevel="2">
      <c r="A3905" s="3" t="e">
        <f>(HYPERLINK("http://www.autodoc.ru/Web/price/art/4434AGSBL?analog=on","4434AGSBL"))*1</f>
        <v>#VALUE!</v>
      </c>
      <c r="B3905" s="1">
        <v>6964718</v>
      </c>
      <c r="C3905" t="s">
        <v>211</v>
      </c>
      <c r="D3905" t="s">
        <v>4105</v>
      </c>
      <c r="E3905" t="s">
        <v>8</v>
      </c>
    </row>
    <row r="3906" spans="1:5" hidden="1" outlineLevel="1">
      <c r="A3906" s="2">
        <v>0</v>
      </c>
      <c r="B3906" s="26" t="s">
        <v>4106</v>
      </c>
      <c r="C3906" s="27">
        <v>0</v>
      </c>
      <c r="D3906" s="27">
        <v>0</v>
      </c>
      <c r="E3906" s="27">
        <v>0</v>
      </c>
    </row>
    <row r="3907" spans="1:5" hidden="1" outlineLevel="2">
      <c r="A3907" s="3" t="e">
        <f>(HYPERLINK("http://www.autodoc.ru/Web/price/art/4402AGNBL?analog=on","4402AGNBL"))*1</f>
        <v>#VALUE!</v>
      </c>
      <c r="B3907" s="1">
        <v>6963743</v>
      </c>
      <c r="C3907" t="s">
        <v>2920</v>
      </c>
      <c r="D3907" t="s">
        <v>4107</v>
      </c>
      <c r="E3907" t="s">
        <v>8</v>
      </c>
    </row>
    <row r="3908" spans="1:5" hidden="1" outlineLevel="2">
      <c r="A3908" s="3" t="e">
        <f>(HYPERLINK("http://www.autodoc.ru/Web/price/art/4402ASMR?analog=on","4402ASMR"))*1</f>
        <v>#VALUE!</v>
      </c>
      <c r="B3908" s="1">
        <v>6100097</v>
      </c>
      <c r="C3908" t="s">
        <v>19</v>
      </c>
      <c r="D3908" t="s">
        <v>4108</v>
      </c>
      <c r="E3908" t="s">
        <v>21</v>
      </c>
    </row>
    <row r="3909" spans="1:5" hidden="1" outlineLevel="2">
      <c r="A3909" s="3" t="e">
        <f>(HYPERLINK("http://www.autodoc.ru/Web/price/art/4402BGNR?analog=on","4402BGNR"))*1</f>
        <v>#VALUE!</v>
      </c>
      <c r="B3909" s="1">
        <v>6998949</v>
      </c>
      <c r="C3909" t="s">
        <v>2920</v>
      </c>
      <c r="D3909" t="s">
        <v>4109</v>
      </c>
      <c r="E3909" t="s">
        <v>23</v>
      </c>
    </row>
    <row r="3910" spans="1:5" hidden="1" outlineLevel="2">
      <c r="A3910" s="3" t="e">
        <f>(HYPERLINK("http://www.autodoc.ru/Web/price/art/4402LGNR5FD?analog=on","4402LGNR5FD"))*1</f>
        <v>#VALUE!</v>
      </c>
      <c r="B3910" s="1">
        <v>6995359</v>
      </c>
      <c r="C3910" t="s">
        <v>2920</v>
      </c>
      <c r="D3910" t="s">
        <v>4110</v>
      </c>
      <c r="E3910" t="s">
        <v>10</v>
      </c>
    </row>
    <row r="3911" spans="1:5" hidden="1" outlineLevel="2">
      <c r="A3911" s="3" t="e">
        <f>(HYPERLINK("http://www.autodoc.ru/Web/price/art/4402LGNR5FD1H?analog=on","4402LGNR5FD1H"))*1</f>
        <v>#VALUE!</v>
      </c>
      <c r="B3911" s="1">
        <v>6999967</v>
      </c>
      <c r="C3911" t="s">
        <v>323</v>
      </c>
      <c r="D3911" t="s">
        <v>4111</v>
      </c>
      <c r="E3911" t="s">
        <v>10</v>
      </c>
    </row>
    <row r="3912" spans="1:5" hidden="1" outlineLevel="2">
      <c r="A3912" s="3" t="e">
        <f>(HYPERLINK("http://www.autodoc.ru/Web/price/art/4402LGNR5RD?analog=on","4402LGNR5RD"))*1</f>
        <v>#VALUE!</v>
      </c>
      <c r="B3912" s="1">
        <v>6995360</v>
      </c>
      <c r="C3912" t="s">
        <v>2920</v>
      </c>
      <c r="D3912" t="s">
        <v>4112</v>
      </c>
      <c r="E3912" t="s">
        <v>10</v>
      </c>
    </row>
    <row r="3913" spans="1:5" hidden="1" outlineLevel="2">
      <c r="A3913" s="3" t="e">
        <f>(HYPERLINK("http://www.autodoc.ru/Web/price/art/4402LGNR5RQ?analog=on","4402LGNR5RQ"))*1</f>
        <v>#VALUE!</v>
      </c>
      <c r="B3913" s="1">
        <v>6995709</v>
      </c>
      <c r="C3913" t="s">
        <v>2920</v>
      </c>
      <c r="D3913" t="s">
        <v>4113</v>
      </c>
      <c r="E3913" t="s">
        <v>10</v>
      </c>
    </row>
    <row r="3914" spans="1:5" hidden="1" outlineLevel="2">
      <c r="A3914" s="3" t="e">
        <f>(HYPERLINK("http://www.autodoc.ru/Web/price/art/4402LGNR5RV?analog=on","4402LGNR5RV"))*1</f>
        <v>#VALUE!</v>
      </c>
      <c r="B3914" s="1">
        <v>6995710</v>
      </c>
      <c r="C3914" t="s">
        <v>2920</v>
      </c>
      <c r="D3914" t="s">
        <v>4114</v>
      </c>
      <c r="E3914" t="s">
        <v>10</v>
      </c>
    </row>
    <row r="3915" spans="1:5" hidden="1" outlineLevel="2">
      <c r="A3915" s="3" t="e">
        <f>(HYPERLINK("http://www.autodoc.ru/Web/price/art/4402RGNR5FD1H?analog=on","4402RGNR5FD1H"))*1</f>
        <v>#VALUE!</v>
      </c>
      <c r="B3915" s="1">
        <v>6900057</v>
      </c>
      <c r="C3915" t="s">
        <v>323</v>
      </c>
      <c r="D3915" t="s">
        <v>4115</v>
      </c>
      <c r="E3915" t="s">
        <v>10</v>
      </c>
    </row>
    <row r="3916" spans="1:5" hidden="1" outlineLevel="2">
      <c r="A3916" s="3" t="e">
        <f>(HYPERLINK("http://www.autodoc.ru/Web/price/art/4402RGNR5RD?analog=on","4402RGNR5RD"))*1</f>
        <v>#VALUE!</v>
      </c>
      <c r="B3916" s="1">
        <v>6995362</v>
      </c>
      <c r="C3916" t="s">
        <v>2920</v>
      </c>
      <c r="D3916" t="s">
        <v>4116</v>
      </c>
      <c r="E3916" t="s">
        <v>10</v>
      </c>
    </row>
    <row r="3917" spans="1:5" hidden="1" outlineLevel="2">
      <c r="A3917" s="3" t="e">
        <f>(HYPERLINK("http://www.autodoc.ru/Web/price/art/4402RGNR5RQ?analog=on","4402RGNR5RQ"))*1</f>
        <v>#VALUE!</v>
      </c>
      <c r="B3917" s="1">
        <v>6995711</v>
      </c>
      <c r="C3917" t="s">
        <v>2920</v>
      </c>
      <c r="D3917" t="s">
        <v>4117</v>
      </c>
      <c r="E3917" t="s">
        <v>10</v>
      </c>
    </row>
    <row r="3918" spans="1:5" hidden="1" outlineLevel="2">
      <c r="A3918" s="3" t="e">
        <f>(HYPERLINK("http://www.autodoc.ru/Web/price/art/4402RGNR5RV?analog=on","4402RGNR5RV"))*1</f>
        <v>#VALUE!</v>
      </c>
      <c r="B3918" s="1">
        <v>6995712</v>
      </c>
      <c r="C3918" t="s">
        <v>2920</v>
      </c>
      <c r="D3918" t="s">
        <v>4118</v>
      </c>
      <c r="E3918" t="s">
        <v>10</v>
      </c>
    </row>
    <row r="3919" spans="1:5" hidden="1" outlineLevel="2">
      <c r="A3919" s="3" t="e">
        <f>(HYPERLINK("http://www.autodoc.ru/Web/price/art/4402RGNR5FD?analog=on","4402RGNR5FD"))*1</f>
        <v>#VALUE!</v>
      </c>
      <c r="B3919" s="1">
        <v>6995361</v>
      </c>
      <c r="C3919" t="s">
        <v>2920</v>
      </c>
      <c r="D3919" t="s">
        <v>4119</v>
      </c>
      <c r="E3919" t="s">
        <v>10</v>
      </c>
    </row>
    <row r="3920" spans="1:5" hidden="1" outlineLevel="1">
      <c r="A3920" s="2">
        <v>0</v>
      </c>
      <c r="B3920" s="26" t="s">
        <v>4120</v>
      </c>
      <c r="C3920" s="27">
        <v>0</v>
      </c>
      <c r="D3920" s="27">
        <v>0</v>
      </c>
      <c r="E3920" s="27">
        <v>0</v>
      </c>
    </row>
    <row r="3921" spans="1:5" hidden="1" outlineLevel="2">
      <c r="A3921" s="3" t="e">
        <f>(HYPERLINK("http://www.autodoc.ru/Web/price/art/4424AGN?analog=on","4424AGN"))*1</f>
        <v>#VALUE!</v>
      </c>
      <c r="B3921" s="1">
        <v>6961314</v>
      </c>
      <c r="C3921" t="s">
        <v>122</v>
      </c>
      <c r="D3921" t="s">
        <v>4121</v>
      </c>
      <c r="E3921" t="s">
        <v>8</v>
      </c>
    </row>
    <row r="3922" spans="1:5" hidden="1" outlineLevel="2">
      <c r="A3922" s="3" t="e">
        <f>(HYPERLINK("http://www.autodoc.ru/Web/price/art/4424ALGBL?analog=on","4424ALGBL"))*1</f>
        <v>#VALUE!</v>
      </c>
      <c r="B3922" s="1">
        <v>6961981</v>
      </c>
      <c r="C3922" t="s">
        <v>122</v>
      </c>
      <c r="D3922" t="s">
        <v>4122</v>
      </c>
      <c r="E3922" t="s">
        <v>8</v>
      </c>
    </row>
    <row r="3923" spans="1:5" hidden="1" outlineLevel="2">
      <c r="A3923" s="3" t="e">
        <f>(HYPERLINK("http://www.autodoc.ru/Web/price/art/4424ALGBLH?analog=on","4424ALGBLH"))*1</f>
        <v>#VALUE!</v>
      </c>
      <c r="B3923" s="1">
        <v>6961982</v>
      </c>
      <c r="C3923" t="s">
        <v>122</v>
      </c>
      <c r="D3923" t="s">
        <v>4123</v>
      </c>
      <c r="E3923" t="s">
        <v>8</v>
      </c>
    </row>
    <row r="3924" spans="1:5" hidden="1" outlineLevel="2">
      <c r="A3924" s="3" t="e">
        <f>(HYPERLINK("http://www.autodoc.ru/Web/price/art/4424ASMR?analog=on","4424ASMR"))*1</f>
        <v>#VALUE!</v>
      </c>
      <c r="B3924" s="1">
        <v>6102030</v>
      </c>
      <c r="C3924" t="s">
        <v>19</v>
      </c>
      <c r="D3924" t="s">
        <v>4124</v>
      </c>
      <c r="E3924" t="s">
        <v>21</v>
      </c>
    </row>
    <row r="3925" spans="1:5" hidden="1" outlineLevel="2">
      <c r="A3925" s="3" t="e">
        <f>(HYPERLINK("http://www.autodoc.ru/Web/price/art/4424LLGR5FDW?analog=on","4424LLGR5FDW"))*1</f>
        <v>#VALUE!</v>
      </c>
      <c r="B3925" s="1">
        <v>6999966</v>
      </c>
      <c r="C3925" t="s">
        <v>122</v>
      </c>
      <c r="D3925" t="s">
        <v>4125</v>
      </c>
      <c r="E3925" t="s">
        <v>10</v>
      </c>
    </row>
    <row r="3926" spans="1:5" hidden="1" outlineLevel="2">
      <c r="A3926" s="3" t="e">
        <f>(HYPERLINK("http://www.autodoc.ru/Web/price/art/4424LLGR5RDW?analog=on","4424LLGR5RDW"))*1</f>
        <v>#VALUE!</v>
      </c>
      <c r="B3926" s="1">
        <v>6900580</v>
      </c>
      <c r="C3926" t="s">
        <v>122</v>
      </c>
      <c r="D3926" t="s">
        <v>4126</v>
      </c>
      <c r="E3926" t="s">
        <v>10</v>
      </c>
    </row>
    <row r="3927" spans="1:5" hidden="1" outlineLevel="2">
      <c r="A3927" s="3" t="e">
        <f>(HYPERLINK("http://www.autodoc.ru/Web/price/art/4424RLGR5FDW?analog=on","4424RLGR5FDW"))*1</f>
        <v>#VALUE!</v>
      </c>
      <c r="B3927" s="1">
        <v>6900056</v>
      </c>
      <c r="C3927" t="s">
        <v>122</v>
      </c>
      <c r="D3927" t="s">
        <v>4127</v>
      </c>
      <c r="E3927" t="s">
        <v>10</v>
      </c>
    </row>
    <row r="3928" spans="1:5" hidden="1" outlineLevel="2">
      <c r="A3928" s="3" t="e">
        <f>(HYPERLINK("http://www.autodoc.ru/Web/price/art/4424RLGR5RDW?analog=on","4424RLGR5RDW"))*1</f>
        <v>#VALUE!</v>
      </c>
      <c r="B3928" s="1">
        <v>6900581</v>
      </c>
      <c r="C3928" t="s">
        <v>122</v>
      </c>
      <c r="D3928" t="s">
        <v>4128</v>
      </c>
      <c r="E3928" t="s">
        <v>10</v>
      </c>
    </row>
    <row r="3929" spans="1:5" hidden="1" outlineLevel="1">
      <c r="A3929" s="2">
        <v>0</v>
      </c>
      <c r="B3929" s="26" t="s">
        <v>4129</v>
      </c>
      <c r="C3929" s="27">
        <v>0</v>
      </c>
      <c r="D3929" s="27">
        <v>0</v>
      </c>
      <c r="E3929" s="27">
        <v>0</v>
      </c>
    </row>
    <row r="3930" spans="1:5" hidden="1" outlineLevel="2">
      <c r="A3930" s="3" t="e">
        <f>(HYPERLINK("http://www.autodoc.ru/Web/price/art/4438AGNBLHMV?analog=on","4438AGNBLHMV"))*1</f>
        <v>#VALUE!</v>
      </c>
      <c r="B3930" s="1">
        <v>6965276</v>
      </c>
      <c r="C3930" t="s">
        <v>341</v>
      </c>
      <c r="D3930" t="s">
        <v>4130</v>
      </c>
      <c r="E3930" t="s">
        <v>8</v>
      </c>
    </row>
    <row r="3931" spans="1:5" hidden="1" outlineLevel="2">
      <c r="A3931" s="3" t="e">
        <f>(HYPERLINK("http://www.autodoc.ru/Web/price/art/4438AGNBLV?analog=on","4438AGNBLV"))*1</f>
        <v>#VALUE!</v>
      </c>
      <c r="B3931" s="1">
        <v>6965274</v>
      </c>
      <c r="C3931" t="s">
        <v>341</v>
      </c>
      <c r="D3931" t="s">
        <v>4131</v>
      </c>
      <c r="E3931" t="s">
        <v>8</v>
      </c>
    </row>
    <row r="3932" spans="1:5" hidden="1" outlineLevel="2">
      <c r="A3932" s="3" t="e">
        <f>(HYPERLINK("http://www.autodoc.ru/Web/price/art/4438AGNBLHV?analog=on","4438AGNBLHV"))*1</f>
        <v>#VALUE!</v>
      </c>
      <c r="B3932" s="1">
        <v>6965275</v>
      </c>
      <c r="C3932" t="s">
        <v>341</v>
      </c>
      <c r="D3932" t="s">
        <v>4132</v>
      </c>
      <c r="E3932" t="s">
        <v>8</v>
      </c>
    </row>
    <row r="3933" spans="1:5" hidden="1" outlineLevel="2">
      <c r="A3933" s="3" t="e">
        <f>(HYPERLINK("http://www.autodoc.ru/Web/price/art/4438AGNBLMV1B?analog=on","4438AGNBLMV1B"))*1</f>
        <v>#VALUE!</v>
      </c>
      <c r="B3933" s="1">
        <v>6965277</v>
      </c>
      <c r="C3933" t="s">
        <v>341</v>
      </c>
      <c r="D3933" t="s">
        <v>4133</v>
      </c>
      <c r="E3933" t="s">
        <v>8</v>
      </c>
    </row>
    <row r="3934" spans="1:5" hidden="1" outlineLevel="2">
      <c r="A3934" s="3" t="e">
        <f>(HYPERLINK("http://www.autodoc.ru/Web/price/art/4438BGNRB?analog=on","4438BGNRB"))*1</f>
        <v>#VALUE!</v>
      </c>
      <c r="B3934" s="1">
        <v>6901909</v>
      </c>
      <c r="C3934" t="s">
        <v>341</v>
      </c>
      <c r="D3934" t="s">
        <v>4134</v>
      </c>
      <c r="E3934" t="s">
        <v>23</v>
      </c>
    </row>
    <row r="3935" spans="1:5" hidden="1" outlineLevel="1">
      <c r="A3935" s="2">
        <v>0</v>
      </c>
      <c r="B3935" s="26" t="s">
        <v>4135</v>
      </c>
      <c r="C3935" s="27">
        <v>0</v>
      </c>
      <c r="D3935" s="27">
        <v>0</v>
      </c>
      <c r="E3935" s="27">
        <v>0</v>
      </c>
    </row>
    <row r="3936" spans="1:5" hidden="1" outlineLevel="2">
      <c r="A3936" s="3" t="e">
        <f>(HYPERLINK("http://www.autodoc.ru/Web/price/art/4403ACL?analog=on","4403ACL"))*1</f>
        <v>#VALUE!</v>
      </c>
      <c r="B3936" s="1">
        <v>6964352</v>
      </c>
      <c r="C3936" t="s">
        <v>499</v>
      </c>
      <c r="D3936" t="s">
        <v>4136</v>
      </c>
      <c r="E3936" t="s">
        <v>8</v>
      </c>
    </row>
    <row r="3937" spans="1:5" hidden="1" outlineLevel="1">
      <c r="A3937" s="2">
        <v>0</v>
      </c>
      <c r="B3937" s="26" t="s">
        <v>4137</v>
      </c>
      <c r="C3937" s="27">
        <v>0</v>
      </c>
      <c r="D3937" s="27">
        <v>0</v>
      </c>
      <c r="E3937" s="27">
        <v>0</v>
      </c>
    </row>
    <row r="3938" spans="1:5" hidden="1" outlineLevel="2">
      <c r="A3938" s="3" t="e">
        <f>(HYPERLINK("http://www.autodoc.ru/Web/price/art/4435AGSHV?analog=on","4435AGSHV"))*1</f>
        <v>#VALUE!</v>
      </c>
      <c r="B3938" s="1">
        <v>6965038</v>
      </c>
      <c r="C3938" t="s">
        <v>211</v>
      </c>
      <c r="D3938" t="s">
        <v>4138</v>
      </c>
      <c r="E3938" t="s">
        <v>8</v>
      </c>
    </row>
    <row r="3939" spans="1:5" collapsed="1">
      <c r="A3939" s="28" t="s">
        <v>4139</v>
      </c>
      <c r="B3939" s="28">
        <v>0</v>
      </c>
      <c r="C3939" s="28">
        <v>0</v>
      </c>
      <c r="D3939" s="28">
        <v>0</v>
      </c>
      <c r="E3939" s="28">
        <v>0</v>
      </c>
    </row>
    <row r="3940" spans="1:5" hidden="1" outlineLevel="1">
      <c r="A3940" s="2">
        <v>0</v>
      </c>
      <c r="B3940" s="26" t="s">
        <v>4140</v>
      </c>
      <c r="C3940" s="27">
        <v>0</v>
      </c>
      <c r="D3940" s="27">
        <v>0</v>
      </c>
      <c r="E3940" s="27">
        <v>0</v>
      </c>
    </row>
    <row r="3941" spans="1:5" hidden="1" outlineLevel="2">
      <c r="A3941" s="3" t="e">
        <f>(HYPERLINK("http://www.autodoc.ru/Web/price/art/4727ABSGN?analog=on","4727ABSGN"))*1</f>
        <v>#VALUE!</v>
      </c>
      <c r="B3941" s="1">
        <v>6960731</v>
      </c>
      <c r="C3941" t="s">
        <v>4141</v>
      </c>
      <c r="D3941" t="s">
        <v>4142</v>
      </c>
      <c r="E3941" t="s">
        <v>8</v>
      </c>
    </row>
    <row r="3942" spans="1:5" hidden="1" outlineLevel="2">
      <c r="A3942" s="3" t="e">
        <f>(HYPERLINK("http://www.autodoc.ru/Web/price/art/4727AGNGN?analog=on","4727AGNGN"))*1</f>
        <v>#VALUE!</v>
      </c>
      <c r="B3942" s="1">
        <v>6960096</v>
      </c>
      <c r="C3942" t="s">
        <v>4141</v>
      </c>
      <c r="D3942" t="s">
        <v>4143</v>
      </c>
      <c r="E3942" t="s">
        <v>8</v>
      </c>
    </row>
    <row r="3943" spans="1:5" hidden="1" outlineLevel="2">
      <c r="A3943" s="3" t="e">
        <f>(HYPERLINK("http://www.autodoc.ru/Web/price/art/4727ASMH?analog=on","4727ASMH"))*1</f>
        <v>#VALUE!</v>
      </c>
      <c r="B3943" s="1">
        <v>6100106</v>
      </c>
      <c r="C3943" t="s">
        <v>19</v>
      </c>
      <c r="D3943" t="s">
        <v>4144</v>
      </c>
      <c r="E3943" t="s">
        <v>21</v>
      </c>
    </row>
    <row r="3944" spans="1:5" hidden="1" outlineLevel="2">
      <c r="A3944" s="3" t="e">
        <f>(HYPERLINK("http://www.autodoc.ru/Web/price/art/4727LGNS4RV?analog=on","4727LGNS4RV"))*1</f>
        <v>#VALUE!</v>
      </c>
      <c r="B3944" s="1">
        <v>6990541</v>
      </c>
      <c r="C3944" t="s">
        <v>4141</v>
      </c>
      <c r="D3944" t="s">
        <v>4145</v>
      </c>
      <c r="E3944" t="s">
        <v>10</v>
      </c>
    </row>
    <row r="3945" spans="1:5" hidden="1" outlineLevel="2">
      <c r="A3945" s="3" t="e">
        <f>(HYPERLINK("http://www.autodoc.ru/Web/price/art/4727RBSS4RDW?analog=on","4727RBSS4RDW"))*1</f>
        <v>#VALUE!</v>
      </c>
      <c r="B3945" s="1">
        <v>6990734</v>
      </c>
      <c r="C3945" t="s">
        <v>4141</v>
      </c>
      <c r="D3945" t="s">
        <v>4146</v>
      </c>
      <c r="E3945" t="s">
        <v>10</v>
      </c>
    </row>
    <row r="3946" spans="1:5" hidden="1" outlineLevel="2">
      <c r="A3946" s="3" t="e">
        <f>(HYPERLINK("http://www.autodoc.ru/Web/price/art/4727RGNS4FDW?analog=on","4727RGNS4FDW"))*1</f>
        <v>#VALUE!</v>
      </c>
      <c r="B3946" s="1">
        <v>6994444</v>
      </c>
      <c r="C3946" t="s">
        <v>4141</v>
      </c>
      <c r="D3946" t="s">
        <v>4147</v>
      </c>
      <c r="E3946" t="s">
        <v>10</v>
      </c>
    </row>
    <row r="3947" spans="1:5" hidden="1" outlineLevel="2">
      <c r="A3947" s="3" t="e">
        <f>(HYPERLINK("http://www.autodoc.ru/Web/price/art/4727RGNS4RV?analog=on","4727RGNS4RV"))*1</f>
        <v>#VALUE!</v>
      </c>
      <c r="B3947" s="1">
        <v>6990540</v>
      </c>
      <c r="C3947" t="s">
        <v>4141</v>
      </c>
      <c r="D3947" t="s">
        <v>4148</v>
      </c>
      <c r="E3947" t="s">
        <v>10</v>
      </c>
    </row>
    <row r="3948" spans="1:5" hidden="1" outlineLevel="1">
      <c r="A3948" s="2">
        <v>0</v>
      </c>
      <c r="B3948" s="26" t="s">
        <v>4149</v>
      </c>
      <c r="C3948" s="27">
        <v>0</v>
      </c>
      <c r="D3948" s="27">
        <v>0</v>
      </c>
      <c r="E3948" s="27">
        <v>0</v>
      </c>
    </row>
    <row r="3949" spans="1:5" hidden="1" outlineLevel="2">
      <c r="A3949" s="3" t="e">
        <f>(HYPERLINK("http://www.autodoc.ru/Web/price/art/4726ABZ?analog=on","4726ABZ"))*1</f>
        <v>#VALUE!</v>
      </c>
      <c r="B3949" s="1">
        <v>6960084</v>
      </c>
      <c r="C3949" t="s">
        <v>485</v>
      </c>
      <c r="D3949" t="s">
        <v>4150</v>
      </c>
      <c r="E3949" t="s">
        <v>8</v>
      </c>
    </row>
    <row r="3950" spans="1:5" hidden="1" outlineLevel="2">
      <c r="A3950" s="3" t="e">
        <f>(HYPERLINK("http://www.autodoc.ru/Web/price/art/4726AGN?analog=on","4726AGN"))*1</f>
        <v>#VALUE!</v>
      </c>
      <c r="B3950" s="1">
        <v>6960051</v>
      </c>
      <c r="C3950" t="s">
        <v>485</v>
      </c>
      <c r="D3950" t="s">
        <v>4151</v>
      </c>
      <c r="E3950" t="s">
        <v>8</v>
      </c>
    </row>
    <row r="3951" spans="1:5" hidden="1" outlineLevel="2">
      <c r="A3951" s="3" t="e">
        <f>(HYPERLINK("http://www.autodoc.ru/Web/price/art/4726LGNH5FD?analog=on","4726LGNH5FD"))*1</f>
        <v>#VALUE!</v>
      </c>
      <c r="B3951" s="1">
        <v>6190220</v>
      </c>
      <c r="C3951" t="s">
        <v>485</v>
      </c>
      <c r="D3951" t="s">
        <v>4152</v>
      </c>
      <c r="E3951" t="s">
        <v>10</v>
      </c>
    </row>
    <row r="3952" spans="1:5" hidden="1" outlineLevel="2">
      <c r="A3952" s="3" t="e">
        <f>(HYPERLINK("http://www.autodoc.ru/Web/price/art/4726RGNH5FD?analog=on","4726RGNH5FD"))*1</f>
        <v>#VALUE!</v>
      </c>
      <c r="B3952" s="1">
        <v>6190223</v>
      </c>
      <c r="C3952" t="s">
        <v>485</v>
      </c>
      <c r="D3952" t="s">
        <v>4153</v>
      </c>
      <c r="E3952" t="s">
        <v>10</v>
      </c>
    </row>
    <row r="3953" spans="1:5" hidden="1" outlineLevel="1">
      <c r="A3953" s="2">
        <v>0</v>
      </c>
      <c r="B3953" s="26" t="s">
        <v>4154</v>
      </c>
      <c r="C3953" s="27">
        <v>0</v>
      </c>
      <c r="D3953" s="27">
        <v>0</v>
      </c>
      <c r="E3953" s="27">
        <v>0</v>
      </c>
    </row>
    <row r="3954" spans="1:5" hidden="1" outlineLevel="2">
      <c r="A3954" s="3" t="e">
        <f>(HYPERLINK("http://www.autodoc.ru/Web/price/art/4722AGN?analog=on","4722AGN"))*1</f>
        <v>#VALUE!</v>
      </c>
      <c r="B3954" s="1">
        <v>6960053</v>
      </c>
      <c r="C3954" t="s">
        <v>4155</v>
      </c>
      <c r="D3954" t="s">
        <v>4156</v>
      </c>
      <c r="E3954" t="s">
        <v>8</v>
      </c>
    </row>
    <row r="3955" spans="1:5" hidden="1" outlineLevel="1">
      <c r="A3955" s="2">
        <v>0</v>
      </c>
      <c r="B3955" s="26" t="s">
        <v>4157</v>
      </c>
      <c r="C3955" s="27">
        <v>0</v>
      </c>
      <c r="D3955" s="27">
        <v>0</v>
      </c>
      <c r="E3955" s="27">
        <v>0</v>
      </c>
    </row>
    <row r="3956" spans="1:5" hidden="1" outlineLevel="2">
      <c r="A3956" s="3" t="e">
        <f>(HYPERLINK("http://www.autodoc.ru/Web/price/art/4733ABSW?analog=on","4733ABSW"))*1</f>
        <v>#VALUE!</v>
      </c>
      <c r="B3956" s="1">
        <v>6960568</v>
      </c>
      <c r="C3956" t="s">
        <v>1570</v>
      </c>
      <c r="D3956" t="s">
        <v>4158</v>
      </c>
      <c r="E3956" t="s">
        <v>8</v>
      </c>
    </row>
    <row r="3957" spans="1:5" hidden="1" outlineLevel="2">
      <c r="A3957" s="3" t="e">
        <f>(HYPERLINK("http://www.autodoc.ru/Web/price/art/4733BBSCABW?analog=on","4733BBSCABW"))*1</f>
        <v>#VALUE!</v>
      </c>
      <c r="B3957" s="1">
        <v>6990746</v>
      </c>
      <c r="C3957" t="s">
        <v>1570</v>
      </c>
      <c r="D3957" t="s">
        <v>4159</v>
      </c>
      <c r="E3957" t="s">
        <v>23</v>
      </c>
    </row>
    <row r="3958" spans="1:5" hidden="1" outlineLevel="2">
      <c r="A3958" s="3" t="e">
        <f>(HYPERLINK("http://www.autodoc.ru/Web/price/art/4733LBSC2FD?analog=on","4733LBSC2FD"))*1</f>
        <v>#VALUE!</v>
      </c>
      <c r="B3958" s="1">
        <v>6990743</v>
      </c>
      <c r="C3958" t="s">
        <v>1570</v>
      </c>
      <c r="D3958" t="s">
        <v>4160</v>
      </c>
      <c r="E3958" t="s">
        <v>10</v>
      </c>
    </row>
    <row r="3959" spans="1:5" hidden="1" outlineLevel="2">
      <c r="A3959" s="3" t="e">
        <f>(HYPERLINK("http://www.autodoc.ru/Web/price/art/4733LBSC2RQ?analog=on","4733LBSC2RQ"))*1</f>
        <v>#VALUE!</v>
      </c>
      <c r="B3959" s="1">
        <v>6990745</v>
      </c>
      <c r="C3959" t="s">
        <v>1570</v>
      </c>
      <c r="D3959" t="s">
        <v>4161</v>
      </c>
      <c r="E3959" t="s">
        <v>10</v>
      </c>
    </row>
    <row r="3960" spans="1:5" hidden="1" outlineLevel="2">
      <c r="A3960" s="3" t="e">
        <f>(HYPERLINK("http://www.autodoc.ru/Web/price/art/4733RBSC2FD?analog=on","4733RBSC2FD"))*1</f>
        <v>#VALUE!</v>
      </c>
      <c r="B3960" s="1">
        <v>6990742</v>
      </c>
      <c r="C3960" t="s">
        <v>1570</v>
      </c>
      <c r="D3960" t="s">
        <v>4162</v>
      </c>
      <c r="E3960" t="s">
        <v>10</v>
      </c>
    </row>
    <row r="3961" spans="1:5" hidden="1" outlineLevel="2">
      <c r="A3961" s="3" t="e">
        <f>(HYPERLINK("http://www.autodoc.ru/Web/price/art/4733RBSC2RQ?analog=on","4733RBSC2RQ"))*1</f>
        <v>#VALUE!</v>
      </c>
      <c r="B3961" s="1">
        <v>6990744</v>
      </c>
      <c r="C3961" t="s">
        <v>1570</v>
      </c>
      <c r="D3961" t="s">
        <v>4163</v>
      </c>
      <c r="E3961" t="s">
        <v>10</v>
      </c>
    </row>
    <row r="3962" spans="1:5" hidden="1" outlineLevel="1">
      <c r="A3962" s="2">
        <v>0</v>
      </c>
      <c r="B3962" s="26" t="s">
        <v>4164</v>
      </c>
      <c r="C3962" s="27">
        <v>0</v>
      </c>
      <c r="D3962" s="27">
        <v>0</v>
      </c>
      <c r="E3962" s="27">
        <v>0</v>
      </c>
    </row>
    <row r="3963" spans="1:5" hidden="1" outlineLevel="2">
      <c r="A3963" s="3" t="e">
        <f>(HYPERLINK("http://www.autodoc.ru/Web/price/art/4729ABSZ?analog=on","4729ABSZ"))*1</f>
        <v>#VALUE!</v>
      </c>
      <c r="B3963" s="1">
        <v>6960231</v>
      </c>
      <c r="C3963" t="s">
        <v>33</v>
      </c>
      <c r="D3963" t="s">
        <v>4165</v>
      </c>
      <c r="E3963" t="s">
        <v>8</v>
      </c>
    </row>
    <row r="3964" spans="1:5" hidden="1" outlineLevel="2">
      <c r="A3964" s="3" t="e">
        <f>(HYPERLINK("http://www.autodoc.ru/Web/price/art/4729AGNZ?analog=on","4729AGNZ"))*1</f>
        <v>#VALUE!</v>
      </c>
      <c r="B3964" s="1">
        <v>6960107</v>
      </c>
      <c r="C3964" t="s">
        <v>33</v>
      </c>
      <c r="D3964" t="s">
        <v>4166</v>
      </c>
      <c r="E3964" t="s">
        <v>8</v>
      </c>
    </row>
    <row r="3965" spans="1:5" hidden="1" outlineLevel="2">
      <c r="A3965" s="3" t="e">
        <f>(HYPERLINK("http://www.autodoc.ru/Web/price/art/4729BBSSAZ?analog=on","4729BBSSAZ"))*1</f>
        <v>#VALUE!</v>
      </c>
      <c r="B3965" s="1">
        <v>6992740</v>
      </c>
      <c r="C3965" t="s">
        <v>33</v>
      </c>
      <c r="D3965" t="s">
        <v>4167</v>
      </c>
      <c r="E3965" t="s">
        <v>23</v>
      </c>
    </row>
    <row r="3966" spans="1:5" hidden="1" outlineLevel="2">
      <c r="A3966" s="3" t="e">
        <f>(HYPERLINK("http://www.autodoc.ru/Web/price/art/4729LBSS4FD?analog=on","4729LBSS4FD"))*1</f>
        <v>#VALUE!</v>
      </c>
      <c r="B3966" s="1">
        <v>6990063</v>
      </c>
      <c r="C3966" t="s">
        <v>33</v>
      </c>
      <c r="D3966" t="s">
        <v>4168</v>
      </c>
      <c r="E3966" t="s">
        <v>10</v>
      </c>
    </row>
    <row r="3967" spans="1:5" hidden="1" outlineLevel="2">
      <c r="A3967" s="3" t="e">
        <f>(HYPERLINK("http://www.autodoc.ru/Web/price/art/4729LBSS4RD?analog=on","4729LBSS4RD"))*1</f>
        <v>#VALUE!</v>
      </c>
      <c r="B3967" s="1">
        <v>6990065</v>
      </c>
      <c r="C3967" t="s">
        <v>33</v>
      </c>
      <c r="D3967" t="s">
        <v>4169</v>
      </c>
      <c r="E3967" t="s">
        <v>10</v>
      </c>
    </row>
    <row r="3968" spans="1:5" hidden="1" outlineLevel="2">
      <c r="A3968" s="3" t="e">
        <f>(HYPERLINK("http://www.autodoc.ru/Web/price/art/4729LBSS4RVZ1J?analog=on","4729LBSS4RVZ1J"))*1</f>
        <v>#VALUE!</v>
      </c>
      <c r="B3968" s="1">
        <v>6992739</v>
      </c>
      <c r="C3968" t="s">
        <v>1173</v>
      </c>
      <c r="D3968" t="s">
        <v>4170</v>
      </c>
      <c r="E3968" t="s">
        <v>10</v>
      </c>
    </row>
    <row r="3969" spans="1:5" hidden="1" outlineLevel="2">
      <c r="A3969" s="3" t="e">
        <f>(HYPERLINK("http://www.autodoc.ru/Web/price/art/4729LGSS4RVZ1J?analog=on","4729LGSS4RVZ1J"))*1</f>
        <v>#VALUE!</v>
      </c>
      <c r="B3969" s="1">
        <v>6992737</v>
      </c>
      <c r="C3969" t="s">
        <v>33</v>
      </c>
      <c r="D3969" t="s">
        <v>4171</v>
      </c>
      <c r="E3969" t="s">
        <v>10</v>
      </c>
    </row>
    <row r="3970" spans="1:5" hidden="1" outlineLevel="2">
      <c r="A3970" s="3" t="e">
        <f>(HYPERLINK("http://www.autodoc.ru/Web/price/art/4729RBSS4FD?analog=on","4729RBSS4FD"))*1</f>
        <v>#VALUE!</v>
      </c>
      <c r="B3970" s="1">
        <v>6990062</v>
      </c>
      <c r="C3970" t="s">
        <v>33</v>
      </c>
      <c r="D3970" t="s">
        <v>4172</v>
      </c>
      <c r="E3970" t="s">
        <v>10</v>
      </c>
    </row>
    <row r="3971" spans="1:5" hidden="1" outlineLevel="2">
      <c r="A3971" s="3" t="e">
        <f>(HYPERLINK("http://www.autodoc.ru/Web/price/art/4729RBSS4RD?analog=on","4729RBSS4RD"))*1</f>
        <v>#VALUE!</v>
      </c>
      <c r="B3971" s="1">
        <v>6990064</v>
      </c>
      <c r="C3971" t="s">
        <v>33</v>
      </c>
      <c r="D3971" t="s">
        <v>4173</v>
      </c>
      <c r="E3971" t="s">
        <v>10</v>
      </c>
    </row>
    <row r="3972" spans="1:5" hidden="1" outlineLevel="2">
      <c r="A3972" s="3" t="e">
        <f>(HYPERLINK("http://www.autodoc.ru/Web/price/art/4729RBSS4RVZ1J?analog=on","4729RBSS4RVZ1J"))*1</f>
        <v>#VALUE!</v>
      </c>
      <c r="B3972" s="1">
        <v>6992738</v>
      </c>
      <c r="C3972" t="s">
        <v>1173</v>
      </c>
      <c r="D3972" t="s">
        <v>4174</v>
      </c>
      <c r="E3972" t="s">
        <v>10</v>
      </c>
    </row>
    <row r="3973" spans="1:5" hidden="1" outlineLevel="2">
      <c r="A3973" s="3" t="e">
        <f>(HYPERLINK("http://www.autodoc.ru/Web/price/art/4729RGSS4RVZ1J?analog=on","4729RGSS4RVZ1J"))*1</f>
        <v>#VALUE!</v>
      </c>
      <c r="B3973" s="1">
        <v>6992736</v>
      </c>
      <c r="C3973" t="s">
        <v>33</v>
      </c>
      <c r="D3973" t="s">
        <v>4175</v>
      </c>
      <c r="E3973" t="s">
        <v>10</v>
      </c>
    </row>
    <row r="3974" spans="1:5" hidden="1" outlineLevel="1">
      <c r="A3974" s="2">
        <v>0</v>
      </c>
      <c r="B3974" s="26" t="s">
        <v>4176</v>
      </c>
      <c r="C3974" s="27">
        <v>0</v>
      </c>
      <c r="D3974" s="27">
        <v>0</v>
      </c>
      <c r="E3974" s="27">
        <v>0</v>
      </c>
    </row>
    <row r="3975" spans="1:5" hidden="1" outlineLevel="2">
      <c r="A3975" s="3" t="e">
        <f>(HYPERLINK("http://www.autodoc.ru/Web/price/art/4734AGS1B?analog=on","4734AGS1B"))*1</f>
        <v>#VALUE!</v>
      </c>
      <c r="B3975" s="1">
        <v>6961844</v>
      </c>
      <c r="C3975" t="s">
        <v>1134</v>
      </c>
      <c r="D3975" t="s">
        <v>4177</v>
      </c>
      <c r="E3975" t="s">
        <v>8</v>
      </c>
    </row>
    <row r="3976" spans="1:5" hidden="1" outlineLevel="2">
      <c r="A3976" s="3" t="e">
        <f>(HYPERLINK("http://www.autodoc.ru/Web/price/art/4734AGSGNP?analog=on","4734AGSGNP"))*1</f>
        <v>#VALUE!</v>
      </c>
      <c r="B3976" s="1">
        <v>6960156</v>
      </c>
      <c r="C3976" t="s">
        <v>1134</v>
      </c>
      <c r="D3976" t="s">
        <v>4178</v>
      </c>
      <c r="E3976" t="s">
        <v>8</v>
      </c>
    </row>
    <row r="3977" spans="1:5" hidden="1" outlineLevel="1">
      <c r="A3977" s="2">
        <v>0</v>
      </c>
      <c r="B3977" s="26" t="s">
        <v>4179</v>
      </c>
      <c r="C3977" s="27">
        <v>0</v>
      </c>
      <c r="D3977" s="27">
        <v>0</v>
      </c>
      <c r="E3977" s="27">
        <v>0</v>
      </c>
    </row>
    <row r="3978" spans="1:5" hidden="1" outlineLevel="2">
      <c r="A3978" s="3" t="e">
        <f>(HYPERLINK("http://www.autodoc.ru/Web/price/art/4739AGS?analog=on","4739AGS"))*1</f>
        <v>#VALUE!</v>
      </c>
      <c r="B3978" s="1">
        <v>6190097</v>
      </c>
      <c r="C3978" t="s">
        <v>226</v>
      </c>
      <c r="D3978" t="s">
        <v>4180</v>
      </c>
      <c r="E3978" t="s">
        <v>8</v>
      </c>
    </row>
    <row r="3979" spans="1:5" hidden="1" outlineLevel="2">
      <c r="A3979" s="3" t="e">
        <f>(HYPERLINK("http://www.autodoc.ru/Web/price/art/4739AGSGN?analog=on","4739AGSGN"))*1</f>
        <v>#VALUE!</v>
      </c>
      <c r="B3979" s="1">
        <v>6190801</v>
      </c>
      <c r="C3979" t="s">
        <v>226</v>
      </c>
      <c r="D3979" t="s">
        <v>4181</v>
      </c>
      <c r="E3979" t="s">
        <v>8</v>
      </c>
    </row>
    <row r="3980" spans="1:5" hidden="1" outlineLevel="2">
      <c r="A3980" s="3" t="e">
        <f>(HYPERLINK("http://www.autodoc.ru/Web/price/art/4739AGSM1B?analog=on","4739AGSM1B"))*1</f>
        <v>#VALUE!</v>
      </c>
      <c r="B3980" s="1">
        <v>6190098</v>
      </c>
      <c r="C3980" t="s">
        <v>226</v>
      </c>
      <c r="D3980" t="s">
        <v>4182</v>
      </c>
      <c r="E3980" t="s">
        <v>8</v>
      </c>
    </row>
    <row r="3981" spans="1:5" hidden="1" outlineLevel="2">
      <c r="A3981" s="3" t="e">
        <f>(HYPERLINK("http://www.autodoc.ru/Web/price/art/4739AGSV?analog=on","4739AGSV"))*1</f>
        <v>#VALUE!</v>
      </c>
      <c r="B3981" s="1">
        <v>6190099</v>
      </c>
      <c r="C3981" t="s">
        <v>226</v>
      </c>
      <c r="D3981" t="s">
        <v>4183</v>
      </c>
      <c r="E3981" t="s">
        <v>8</v>
      </c>
    </row>
    <row r="3982" spans="1:5" hidden="1" outlineLevel="2">
      <c r="A3982" s="3" t="e">
        <f>(HYPERLINK("http://www.autodoc.ru/Web/price/art/4739BGDVW?analog=on","4739BGDVW"))*1</f>
        <v>#VALUE!</v>
      </c>
      <c r="B3982" s="1">
        <v>6992866</v>
      </c>
      <c r="C3982" t="s">
        <v>226</v>
      </c>
      <c r="D3982" t="s">
        <v>4184</v>
      </c>
      <c r="E3982" t="s">
        <v>23</v>
      </c>
    </row>
    <row r="3983" spans="1:5" hidden="1" outlineLevel="2">
      <c r="A3983" s="3" t="e">
        <f>(HYPERLINK("http://www.autodoc.ru/Web/price/art/4739BGSVW?analog=on","4739BGSVW"))*1</f>
        <v>#VALUE!</v>
      </c>
      <c r="B3983" s="1">
        <v>6992867</v>
      </c>
      <c r="C3983" t="s">
        <v>226</v>
      </c>
      <c r="D3983" t="s">
        <v>4185</v>
      </c>
      <c r="E3983" t="s">
        <v>23</v>
      </c>
    </row>
    <row r="3984" spans="1:5" hidden="1" outlineLevel="2">
      <c r="A3984" s="3" t="e">
        <f>(HYPERLINK("http://www.autodoc.ru/Web/price/art/4739LGDV5RDW?analog=on","4739LGDV5RDW"))*1</f>
        <v>#VALUE!</v>
      </c>
      <c r="B3984" s="1">
        <v>6190100</v>
      </c>
      <c r="C3984" t="s">
        <v>226</v>
      </c>
      <c r="D3984" t="s">
        <v>4186</v>
      </c>
      <c r="E3984" t="s">
        <v>10</v>
      </c>
    </row>
    <row r="3985" spans="1:5" hidden="1" outlineLevel="2">
      <c r="A3985" s="3" t="e">
        <f>(HYPERLINK("http://www.autodoc.ru/Web/price/art/4739LGDV5RQZ?analog=on","4739LGDV5RQZ"))*1</f>
        <v>#VALUE!</v>
      </c>
      <c r="B3985" s="1">
        <v>6190101</v>
      </c>
      <c r="C3985" t="s">
        <v>226</v>
      </c>
      <c r="D3985" t="s">
        <v>4187</v>
      </c>
      <c r="E3985" t="s">
        <v>10</v>
      </c>
    </row>
    <row r="3986" spans="1:5" hidden="1" outlineLevel="2">
      <c r="A3986" s="3" t="e">
        <f>(HYPERLINK("http://www.autodoc.ru/Web/price/art/4739LGSV5FDW?analog=on","4739LGSV5FDW"))*1</f>
        <v>#VALUE!</v>
      </c>
      <c r="B3986" s="1">
        <v>6190102</v>
      </c>
      <c r="C3986" t="s">
        <v>226</v>
      </c>
      <c r="D3986" t="s">
        <v>4188</v>
      </c>
      <c r="E3986" t="s">
        <v>10</v>
      </c>
    </row>
    <row r="3987" spans="1:5" hidden="1" outlineLevel="2">
      <c r="A3987" s="3" t="e">
        <f>(HYPERLINK("http://www.autodoc.ru/Web/price/art/4739LGSV5FQAW?analog=on","4739LGSV5FQAW"))*1</f>
        <v>#VALUE!</v>
      </c>
      <c r="B3987" s="1">
        <v>6190103</v>
      </c>
      <c r="C3987" t="s">
        <v>226</v>
      </c>
      <c r="D3987" t="s">
        <v>4189</v>
      </c>
      <c r="E3987" t="s">
        <v>10</v>
      </c>
    </row>
    <row r="3988" spans="1:5" hidden="1" outlineLevel="2">
      <c r="A3988" s="3" t="e">
        <f>(HYPERLINK("http://www.autodoc.ru/Web/price/art/4739LGSV5RDW?analog=on","4739LGSV5RDW"))*1</f>
        <v>#VALUE!</v>
      </c>
      <c r="B3988" s="1">
        <v>6190104</v>
      </c>
      <c r="C3988" t="s">
        <v>226</v>
      </c>
      <c r="D3988" t="s">
        <v>4190</v>
      </c>
      <c r="E3988" t="s">
        <v>10</v>
      </c>
    </row>
    <row r="3989" spans="1:5" hidden="1" outlineLevel="2">
      <c r="A3989" s="3" t="e">
        <f>(HYPERLINK("http://www.autodoc.ru/Web/price/art/4739LGSV5RQZ?analog=on","4739LGSV5RQZ"))*1</f>
        <v>#VALUE!</v>
      </c>
      <c r="B3989" s="1">
        <v>6190105</v>
      </c>
      <c r="C3989" t="s">
        <v>226</v>
      </c>
      <c r="D3989" t="s">
        <v>4191</v>
      </c>
      <c r="E3989" t="s">
        <v>10</v>
      </c>
    </row>
    <row r="3990" spans="1:5" hidden="1" outlineLevel="2">
      <c r="A3990" s="3" t="e">
        <f>(HYPERLINK("http://www.autodoc.ru/Web/price/art/4739RGDV5RDW?analog=on","4739RGDV5RDW"))*1</f>
        <v>#VALUE!</v>
      </c>
      <c r="B3990" s="1">
        <v>6190106</v>
      </c>
      <c r="C3990" t="s">
        <v>226</v>
      </c>
      <c r="D3990" t="s">
        <v>4192</v>
      </c>
      <c r="E3990" t="s">
        <v>10</v>
      </c>
    </row>
    <row r="3991" spans="1:5" hidden="1" outlineLevel="2">
      <c r="A3991" s="3" t="e">
        <f>(HYPERLINK("http://www.autodoc.ru/Web/price/art/4739RGDV5RQZ?analog=on","4739RGDV5RQZ"))*1</f>
        <v>#VALUE!</v>
      </c>
      <c r="B3991" s="1">
        <v>6190107</v>
      </c>
      <c r="C3991" t="s">
        <v>226</v>
      </c>
      <c r="D3991" t="s">
        <v>4193</v>
      </c>
      <c r="E3991" t="s">
        <v>10</v>
      </c>
    </row>
    <row r="3992" spans="1:5" hidden="1" outlineLevel="2">
      <c r="A3992" s="3" t="e">
        <f>(HYPERLINK("http://www.autodoc.ru/Web/price/art/4739RGSV5FDW?analog=on","4739RGSV5FDW"))*1</f>
        <v>#VALUE!</v>
      </c>
      <c r="B3992" s="1">
        <v>6190108</v>
      </c>
      <c r="C3992" t="s">
        <v>226</v>
      </c>
      <c r="D3992" t="s">
        <v>4194</v>
      </c>
      <c r="E3992" t="s">
        <v>10</v>
      </c>
    </row>
    <row r="3993" spans="1:5" hidden="1" outlineLevel="2">
      <c r="A3993" s="3" t="e">
        <f>(HYPERLINK("http://www.autodoc.ru/Web/price/art/4739RGSV5FQW?analog=on","4739RGSV5FQW"))*1</f>
        <v>#VALUE!</v>
      </c>
      <c r="B3993" s="1">
        <v>6190109</v>
      </c>
      <c r="C3993" t="s">
        <v>226</v>
      </c>
      <c r="D3993" t="s">
        <v>4195</v>
      </c>
      <c r="E3993" t="s">
        <v>10</v>
      </c>
    </row>
    <row r="3994" spans="1:5" hidden="1" outlineLevel="2">
      <c r="A3994" s="3" t="e">
        <f>(HYPERLINK("http://www.autodoc.ru/Web/price/art/4739RGSV5RDW?analog=on","4739RGSV5RDW"))*1</f>
        <v>#VALUE!</v>
      </c>
      <c r="B3994" s="1">
        <v>6190110</v>
      </c>
      <c r="C3994" t="s">
        <v>226</v>
      </c>
      <c r="D3994" t="s">
        <v>4196</v>
      </c>
      <c r="E3994" t="s">
        <v>10</v>
      </c>
    </row>
    <row r="3995" spans="1:5" hidden="1" outlineLevel="2">
      <c r="A3995" s="3" t="e">
        <f>(HYPERLINK("http://www.autodoc.ru/Web/price/art/4739RGSV5RQZ?analog=on","4739RGSV5RQZ"))*1</f>
        <v>#VALUE!</v>
      </c>
      <c r="B3995" s="1">
        <v>6190111</v>
      </c>
      <c r="C3995" t="s">
        <v>226</v>
      </c>
      <c r="D3995" t="s">
        <v>4197</v>
      </c>
      <c r="E3995" t="s">
        <v>10</v>
      </c>
    </row>
    <row r="3996" spans="1:5" hidden="1" outlineLevel="1">
      <c r="A3996" s="2">
        <v>0</v>
      </c>
      <c r="B3996" s="26" t="s">
        <v>4198</v>
      </c>
      <c r="C3996" s="27">
        <v>0</v>
      </c>
      <c r="D3996" s="27">
        <v>0</v>
      </c>
      <c r="E3996" s="27">
        <v>0</v>
      </c>
    </row>
    <row r="3997" spans="1:5" hidden="1" outlineLevel="2">
      <c r="A3997" s="3" t="e">
        <f>(HYPERLINK("http://www.autodoc.ru/Web/price/art/4738ABSMVZ?analog=on","4738ABSMVZ"))*1</f>
        <v>#VALUE!</v>
      </c>
      <c r="B3997" s="1">
        <v>6960226</v>
      </c>
      <c r="C3997" t="s">
        <v>1053</v>
      </c>
      <c r="D3997" t="s">
        <v>4199</v>
      </c>
      <c r="E3997" t="s">
        <v>8</v>
      </c>
    </row>
    <row r="3998" spans="1:5" hidden="1" outlineLevel="2">
      <c r="A3998" s="3" t="e">
        <f>(HYPERLINK("http://www.autodoc.ru/Web/price/art/4738ABSMVZ1T?analog=on","4738ABSMVZ1T"))*1</f>
        <v>#VALUE!</v>
      </c>
      <c r="B3998" s="1">
        <v>6961362</v>
      </c>
      <c r="C3998" t="s">
        <v>1053</v>
      </c>
      <c r="D3998" t="s">
        <v>4200</v>
      </c>
      <c r="E3998" t="s">
        <v>8</v>
      </c>
    </row>
    <row r="3999" spans="1:5" hidden="1" outlineLevel="2">
      <c r="A3999" s="3" t="e">
        <f>(HYPERLINK("http://www.autodoc.ru/Web/price/art/4738AGSMVZ1T?analog=on","4738AGSMVZ1T"))*1</f>
        <v>#VALUE!</v>
      </c>
      <c r="B3999" s="1">
        <v>6190096</v>
      </c>
      <c r="C3999" t="s">
        <v>890</v>
      </c>
      <c r="D3999" t="s">
        <v>4201</v>
      </c>
      <c r="E3999" t="s">
        <v>8</v>
      </c>
    </row>
    <row r="4000" spans="1:5" hidden="1" outlineLevel="1">
      <c r="A4000" s="2">
        <v>0</v>
      </c>
      <c r="B4000" s="26" t="s">
        <v>4202</v>
      </c>
      <c r="C4000" s="27">
        <v>0</v>
      </c>
      <c r="D4000" s="27">
        <v>0</v>
      </c>
      <c r="E4000" s="27">
        <v>0</v>
      </c>
    </row>
    <row r="4001" spans="1:5" hidden="1" outlineLevel="2">
      <c r="A4001" s="3" t="e">
        <f>(HYPERLINK("http://www.autodoc.ru/Web/price/art/4724ABSGN?analog=on","4724ABSGN"))*1</f>
        <v>#VALUE!</v>
      </c>
      <c r="B4001" s="1">
        <v>6960103</v>
      </c>
      <c r="C4001" t="s">
        <v>4203</v>
      </c>
      <c r="D4001" t="s">
        <v>4204</v>
      </c>
      <c r="E4001" t="s">
        <v>8</v>
      </c>
    </row>
    <row r="4002" spans="1:5" hidden="1" outlineLevel="2">
      <c r="A4002" s="3" t="e">
        <f>(HYPERLINK("http://www.autodoc.ru/Web/price/art/4724AGNGN?analog=on","4724AGNGN"))*1</f>
        <v>#VALUE!</v>
      </c>
      <c r="B4002" s="1">
        <v>6960072</v>
      </c>
      <c r="C4002" t="s">
        <v>4203</v>
      </c>
      <c r="D4002" t="s">
        <v>4205</v>
      </c>
      <c r="E4002" t="s">
        <v>8</v>
      </c>
    </row>
    <row r="4003" spans="1:5" hidden="1" outlineLevel="1">
      <c r="A4003" s="2">
        <v>0</v>
      </c>
      <c r="B4003" s="26" t="s">
        <v>4206</v>
      </c>
      <c r="C4003" s="27">
        <v>0</v>
      </c>
      <c r="D4003" s="27">
        <v>0</v>
      </c>
      <c r="E4003" s="27">
        <v>0</v>
      </c>
    </row>
    <row r="4004" spans="1:5" hidden="1" outlineLevel="2">
      <c r="A4004" s="3" t="e">
        <f>(HYPERLINK("http://www.autodoc.ru/Web/price/art/4736ABSBLHMW?analog=on","4736ABSBLHMW"))*1</f>
        <v>#VALUE!</v>
      </c>
      <c r="B4004" s="1">
        <v>6961578</v>
      </c>
      <c r="C4004" t="s">
        <v>790</v>
      </c>
      <c r="D4004" t="s">
        <v>4207</v>
      </c>
      <c r="E4004" t="s">
        <v>8</v>
      </c>
    </row>
    <row r="4005" spans="1:5" hidden="1" outlineLevel="2">
      <c r="A4005" s="3" t="e">
        <f>(HYPERLINK("http://www.autodoc.ru/Web/price/art/4736ABSHMW?analog=on","4736ABSHMW"))*1</f>
        <v>#VALUE!</v>
      </c>
      <c r="B4005" s="1">
        <v>6960122</v>
      </c>
      <c r="C4005" t="s">
        <v>790</v>
      </c>
      <c r="D4005" t="s">
        <v>4208</v>
      </c>
      <c r="E4005" t="s">
        <v>8</v>
      </c>
    </row>
    <row r="4006" spans="1:5" hidden="1" outlineLevel="2">
      <c r="A4006" s="3" t="e">
        <f>(HYPERLINK("http://www.autodoc.ru/Web/price/art/4736BBSSABJW?analog=on","4736BBSSABJW"))*1</f>
        <v>#VALUE!</v>
      </c>
      <c r="B4006" s="1">
        <v>6993473</v>
      </c>
      <c r="C4006" t="s">
        <v>1053</v>
      </c>
      <c r="D4006" t="s">
        <v>4209</v>
      </c>
      <c r="E4006" t="s">
        <v>23</v>
      </c>
    </row>
    <row r="4007" spans="1:5" hidden="1" outlineLevel="2">
      <c r="A4007" s="3" t="e">
        <f>(HYPERLINK("http://www.autodoc.ru/Web/price/art/4736BBSSABW?analog=on","4736BBSSABW"))*1</f>
        <v>#VALUE!</v>
      </c>
      <c r="B4007" s="1">
        <v>6993472</v>
      </c>
      <c r="C4007" t="s">
        <v>1053</v>
      </c>
      <c r="D4007" t="s">
        <v>4210</v>
      </c>
      <c r="E4007" t="s">
        <v>23</v>
      </c>
    </row>
    <row r="4008" spans="1:5" hidden="1" outlineLevel="2">
      <c r="A4008" s="3" t="e">
        <f>(HYPERLINK("http://www.autodoc.ru/Web/price/art/4736LBDS4RVW?analog=on","4736LBDS4RVW"))*1</f>
        <v>#VALUE!</v>
      </c>
      <c r="B4008" s="1">
        <v>6990763</v>
      </c>
      <c r="C4008" t="s">
        <v>1053</v>
      </c>
      <c r="D4008" t="s">
        <v>4211</v>
      </c>
      <c r="E4008" t="s">
        <v>10</v>
      </c>
    </row>
    <row r="4009" spans="1:5" hidden="1" outlineLevel="2">
      <c r="A4009" s="3" t="e">
        <f>(HYPERLINK("http://www.autodoc.ru/Web/price/art/4736LBPS4RDKW?analog=on","4736LBPS4RDKW"))*1</f>
        <v>#VALUE!</v>
      </c>
      <c r="B4009" s="1">
        <v>6960146</v>
      </c>
      <c r="C4009" t="s">
        <v>790</v>
      </c>
      <c r="D4009" t="s">
        <v>4212</v>
      </c>
      <c r="E4009" t="s">
        <v>10</v>
      </c>
    </row>
    <row r="4010" spans="1:5" hidden="1" outlineLevel="2">
      <c r="A4010" s="3" t="e">
        <f>(HYPERLINK("http://www.autodoc.ru/Web/price/art/4736LBPS4RDW?analog=on","4736LBPS4RDW"))*1</f>
        <v>#VALUE!</v>
      </c>
      <c r="B4010" s="1">
        <v>6993471</v>
      </c>
      <c r="C4010" t="s">
        <v>1053</v>
      </c>
      <c r="D4010" t="s">
        <v>4213</v>
      </c>
      <c r="E4010" t="s">
        <v>10</v>
      </c>
    </row>
    <row r="4011" spans="1:5" hidden="1" outlineLevel="2">
      <c r="A4011" s="3" t="e">
        <f>(HYPERLINK("http://www.autodoc.ru/Web/price/art/4736LBSS4FD?analog=on","4736LBSS4FD"))*1</f>
        <v>#VALUE!</v>
      </c>
      <c r="B4011" s="1">
        <v>6993467</v>
      </c>
      <c r="C4011" t="s">
        <v>1053</v>
      </c>
      <c r="D4011" t="s">
        <v>4214</v>
      </c>
      <c r="E4011" t="s">
        <v>10</v>
      </c>
    </row>
    <row r="4012" spans="1:5" hidden="1" outlineLevel="2">
      <c r="A4012" s="3" t="e">
        <f>(HYPERLINK("http://www.autodoc.ru/Web/price/art/4736LBSS4FDKW?analog=on","4736LBSS4FDKW"))*1</f>
        <v>#VALUE!</v>
      </c>
      <c r="B4012" s="1">
        <v>6960134</v>
      </c>
      <c r="C4012" t="s">
        <v>790</v>
      </c>
      <c r="D4012" t="s">
        <v>4215</v>
      </c>
      <c r="E4012" t="s">
        <v>10</v>
      </c>
    </row>
    <row r="4013" spans="1:5" hidden="1" outlineLevel="2">
      <c r="A4013" s="3" t="e">
        <f>(HYPERLINK("http://www.autodoc.ru/Web/price/art/4736LBSS4RDKW?analog=on","4736LBSS4RDKW"))*1</f>
        <v>#VALUE!</v>
      </c>
      <c r="B4013" s="1">
        <v>6960142</v>
      </c>
      <c r="C4013" t="s">
        <v>790</v>
      </c>
      <c r="D4013" t="s">
        <v>4216</v>
      </c>
      <c r="E4013" t="s">
        <v>10</v>
      </c>
    </row>
    <row r="4014" spans="1:5" hidden="1" outlineLevel="2">
      <c r="A4014" s="3" t="e">
        <f>(HYPERLINK("http://www.autodoc.ru/Web/price/art/4736LBSS4RDW?analog=on","4736LBSS4RDW"))*1</f>
        <v>#VALUE!</v>
      </c>
      <c r="B4014" s="1">
        <v>6997245</v>
      </c>
      <c r="C4014" t="s">
        <v>1053</v>
      </c>
      <c r="D4014" t="s">
        <v>4217</v>
      </c>
      <c r="E4014" t="s">
        <v>10</v>
      </c>
    </row>
    <row r="4015" spans="1:5" hidden="1" outlineLevel="2">
      <c r="A4015" s="3" t="e">
        <f>(HYPERLINK("http://www.autodoc.ru/Web/price/art/4736LBSS4RVW?analog=on","4736LBSS4RVW"))*1</f>
        <v>#VALUE!</v>
      </c>
      <c r="B4015" s="1">
        <v>6990481</v>
      </c>
      <c r="C4015" t="s">
        <v>1053</v>
      </c>
      <c r="D4015" t="s">
        <v>4218</v>
      </c>
      <c r="E4015" t="s">
        <v>10</v>
      </c>
    </row>
    <row r="4016" spans="1:5" hidden="1" outlineLevel="2">
      <c r="A4016" s="3" t="e">
        <f>(HYPERLINK("http://www.autodoc.ru/Web/price/art/4736RBDS4RVW?analog=on","4736RBDS4RVW"))*1</f>
        <v>#VALUE!</v>
      </c>
      <c r="B4016" s="1">
        <v>6991113</v>
      </c>
      <c r="C4016" t="s">
        <v>1053</v>
      </c>
      <c r="D4016" t="s">
        <v>4219</v>
      </c>
      <c r="E4016" t="s">
        <v>10</v>
      </c>
    </row>
    <row r="4017" spans="1:5" hidden="1" outlineLevel="2">
      <c r="A4017" s="3" t="e">
        <f>(HYPERLINK("http://www.autodoc.ru/Web/price/art/4736RBPS4RDKW?analog=on","4736RBPS4RDKW"))*1</f>
        <v>#VALUE!</v>
      </c>
      <c r="B4017" s="1">
        <v>6960143</v>
      </c>
      <c r="C4017" t="s">
        <v>790</v>
      </c>
      <c r="D4017" t="s">
        <v>4220</v>
      </c>
      <c r="E4017" t="s">
        <v>10</v>
      </c>
    </row>
    <row r="4018" spans="1:5" hidden="1" outlineLevel="2">
      <c r="A4018" s="3" t="e">
        <f>(HYPERLINK("http://www.autodoc.ru/Web/price/art/4736RBPS4RDW?analog=on","4736RBPS4RDW"))*1</f>
        <v>#VALUE!</v>
      </c>
      <c r="B4018" s="1">
        <v>6993470</v>
      </c>
      <c r="C4018" t="s">
        <v>1053</v>
      </c>
      <c r="D4018" t="s">
        <v>4221</v>
      </c>
      <c r="E4018" t="s">
        <v>10</v>
      </c>
    </row>
    <row r="4019" spans="1:5" hidden="1" outlineLevel="2">
      <c r="A4019" s="3" t="e">
        <f>(HYPERLINK("http://www.autodoc.ru/Web/price/art/4736RBSS4FD?analog=on","4736RBSS4FD"))*1</f>
        <v>#VALUE!</v>
      </c>
      <c r="B4019" s="1">
        <v>6993465</v>
      </c>
      <c r="C4019" t="s">
        <v>1053</v>
      </c>
      <c r="D4019" t="s">
        <v>4222</v>
      </c>
      <c r="E4019" t="s">
        <v>10</v>
      </c>
    </row>
    <row r="4020" spans="1:5" hidden="1" outlineLevel="2">
      <c r="A4020" s="3" t="e">
        <f>(HYPERLINK("http://www.autodoc.ru/Web/price/art/4736RBSS4FDKW?analog=on","4736RBSS4FDKW"))*1</f>
        <v>#VALUE!</v>
      </c>
      <c r="B4020" s="1">
        <v>6960132</v>
      </c>
      <c r="C4020" t="s">
        <v>790</v>
      </c>
      <c r="D4020" t="s">
        <v>4223</v>
      </c>
      <c r="E4020" t="s">
        <v>10</v>
      </c>
    </row>
    <row r="4021" spans="1:5" hidden="1" outlineLevel="2">
      <c r="A4021" s="3" t="e">
        <f>(HYPERLINK("http://www.autodoc.ru/Web/price/art/4736RBSS4RDKW?analog=on","4736RBSS4RDKW"))*1</f>
        <v>#VALUE!</v>
      </c>
      <c r="B4021" s="1">
        <v>6960141</v>
      </c>
      <c r="C4021" t="s">
        <v>790</v>
      </c>
      <c r="D4021" t="s">
        <v>4224</v>
      </c>
      <c r="E4021" t="s">
        <v>10</v>
      </c>
    </row>
    <row r="4022" spans="1:5" hidden="1" outlineLevel="2">
      <c r="A4022" s="3" t="e">
        <f>(HYPERLINK("http://www.autodoc.ru/Web/price/art/4736RBSS4RDW?analog=on","4736RBSS4RDW"))*1</f>
        <v>#VALUE!</v>
      </c>
      <c r="B4022" s="1">
        <v>6997244</v>
      </c>
      <c r="C4022" t="s">
        <v>1053</v>
      </c>
      <c r="D4022" t="s">
        <v>4225</v>
      </c>
      <c r="E4022" t="s">
        <v>10</v>
      </c>
    </row>
    <row r="4023" spans="1:5" hidden="1" outlineLevel="2">
      <c r="A4023" s="3" t="e">
        <f>(HYPERLINK("http://www.autodoc.ru/Web/price/art/4736RBSS4RVW?analog=on","4736RBSS4RVW"))*1</f>
        <v>#VALUE!</v>
      </c>
      <c r="B4023" s="1">
        <v>6990399</v>
      </c>
      <c r="C4023" t="s">
        <v>1053</v>
      </c>
      <c r="D4023" t="s">
        <v>4226</v>
      </c>
      <c r="E4023" t="s">
        <v>10</v>
      </c>
    </row>
    <row r="4024" spans="1:5" hidden="1" outlineLevel="1">
      <c r="A4024" s="2">
        <v>0</v>
      </c>
      <c r="B4024" s="26" t="s">
        <v>4227</v>
      </c>
      <c r="C4024" s="27">
        <v>0</v>
      </c>
      <c r="D4024" s="27">
        <v>0</v>
      </c>
      <c r="E4024" s="27">
        <v>0</v>
      </c>
    </row>
    <row r="4025" spans="1:5" hidden="1" outlineLevel="2">
      <c r="A4025" s="3" t="e">
        <f>(HYPERLINK("http://www.autodoc.ru/Web/price/art/4732AGN?analog=on","4732AGN"))*1</f>
        <v>#VALUE!</v>
      </c>
      <c r="B4025" s="1">
        <v>6960563</v>
      </c>
      <c r="C4025" t="s">
        <v>240</v>
      </c>
      <c r="D4025" t="s">
        <v>4228</v>
      </c>
      <c r="E4025" t="s">
        <v>8</v>
      </c>
    </row>
    <row r="4026" spans="1:5" hidden="1" outlineLevel="2">
      <c r="A4026" s="3" t="e">
        <f>(HYPERLINK("http://www.autodoc.ru/Web/price/art/4732ASMH?analog=on","4732ASMH"))*1</f>
        <v>#VALUE!</v>
      </c>
      <c r="B4026" s="1">
        <v>6100108</v>
      </c>
      <c r="C4026" t="s">
        <v>19</v>
      </c>
      <c r="D4026" t="s">
        <v>4229</v>
      </c>
      <c r="E4026" t="s">
        <v>21</v>
      </c>
    </row>
    <row r="4027" spans="1:5" hidden="1" outlineLevel="2">
      <c r="A4027" s="3" t="e">
        <f>(HYPERLINK("http://www.autodoc.ru/Web/price/art/4732BGNHBW?analog=on","4732BGNHBW"))*1</f>
        <v>#VALUE!</v>
      </c>
      <c r="B4027" s="1">
        <v>6996388</v>
      </c>
      <c r="C4027" t="s">
        <v>240</v>
      </c>
      <c r="D4027" t="s">
        <v>4230</v>
      </c>
      <c r="E4027" t="s">
        <v>23</v>
      </c>
    </row>
    <row r="4028" spans="1:5" hidden="1" outlineLevel="2">
      <c r="A4028" s="3" t="e">
        <f>(HYPERLINK("http://www.autodoc.ru/Web/price/art/4732LGNH3FDW?analog=on","4732LGNH3FDW"))*1</f>
        <v>#VALUE!</v>
      </c>
      <c r="B4028" s="1">
        <v>6994713</v>
      </c>
      <c r="C4028" t="s">
        <v>240</v>
      </c>
      <c r="D4028" t="s">
        <v>4231</v>
      </c>
      <c r="E4028" t="s">
        <v>10</v>
      </c>
    </row>
    <row r="4029" spans="1:5" hidden="1" outlineLevel="2">
      <c r="A4029" s="3" t="e">
        <f>(HYPERLINK("http://www.autodoc.ru/Web/price/art/4732LGNH3RQOW?analog=on","4732LGNH3RQOW"))*1</f>
        <v>#VALUE!</v>
      </c>
      <c r="B4029" s="1">
        <v>6994715</v>
      </c>
      <c r="C4029" t="s">
        <v>240</v>
      </c>
      <c r="D4029" t="s">
        <v>4232</v>
      </c>
      <c r="E4029" t="s">
        <v>10</v>
      </c>
    </row>
    <row r="4030" spans="1:5" hidden="1" outlineLevel="2">
      <c r="A4030" s="3" t="e">
        <f>(HYPERLINK("http://www.autodoc.ru/Web/price/art/4732RGNH3FDW?analog=on","4732RGNH3FDW"))*1</f>
        <v>#VALUE!</v>
      </c>
      <c r="B4030" s="1">
        <v>6994712</v>
      </c>
      <c r="C4030" t="s">
        <v>240</v>
      </c>
      <c r="D4030" t="s">
        <v>4233</v>
      </c>
      <c r="E4030" t="s">
        <v>10</v>
      </c>
    </row>
    <row r="4031" spans="1:5" hidden="1" outlineLevel="2">
      <c r="A4031" s="3" t="e">
        <f>(HYPERLINK("http://www.autodoc.ru/Web/price/art/4732RGNH3RQOW?analog=on","4732RGNH3RQOW"))*1</f>
        <v>#VALUE!</v>
      </c>
      <c r="B4031" s="1">
        <v>6994714</v>
      </c>
      <c r="C4031" t="s">
        <v>240</v>
      </c>
      <c r="D4031" t="s">
        <v>4234</v>
      </c>
      <c r="E4031" t="s">
        <v>10</v>
      </c>
    </row>
    <row r="4032" spans="1:5" hidden="1" outlineLevel="1">
      <c r="A4032" s="2">
        <v>0</v>
      </c>
      <c r="B4032" s="26" t="s">
        <v>4235</v>
      </c>
      <c r="C4032" s="27">
        <v>0</v>
      </c>
      <c r="D4032" s="27">
        <v>0</v>
      </c>
      <c r="E4032" s="27">
        <v>0</v>
      </c>
    </row>
    <row r="4033" spans="1:5" hidden="1" outlineLevel="2">
      <c r="A4033" s="3" t="e">
        <f>(HYPERLINK("http://www.autodoc.ru/Web/price/art/4725ACL?analog=on","4725ACL"))*1</f>
        <v>#VALUE!</v>
      </c>
      <c r="B4033" s="1">
        <v>6960077</v>
      </c>
      <c r="C4033" t="s">
        <v>4203</v>
      </c>
      <c r="D4033" t="s">
        <v>4236</v>
      </c>
      <c r="E4033" t="s">
        <v>8</v>
      </c>
    </row>
    <row r="4034" spans="1:5" hidden="1" outlineLevel="2">
      <c r="A4034" s="3" t="e">
        <f>(HYPERLINK("http://www.autodoc.ru/Web/price/art/4725AGN1B?analog=on","4725AGN1B"))*1</f>
        <v>#VALUE!</v>
      </c>
      <c r="B4034" s="1">
        <v>6960105</v>
      </c>
      <c r="C4034" t="s">
        <v>4203</v>
      </c>
      <c r="D4034" t="s">
        <v>4237</v>
      </c>
      <c r="E4034" t="s">
        <v>8</v>
      </c>
    </row>
    <row r="4035" spans="1:5" hidden="1" outlineLevel="2">
      <c r="A4035" s="3" t="e">
        <f>(HYPERLINK("http://www.autodoc.ru/Web/price/art/4725ASMH?analog=on","4725ASMH"))*1</f>
        <v>#VALUE!</v>
      </c>
      <c r="B4035" s="1">
        <v>6100399</v>
      </c>
      <c r="C4035" t="s">
        <v>19</v>
      </c>
      <c r="D4035" t="s">
        <v>4238</v>
      </c>
      <c r="E4035" t="s">
        <v>21</v>
      </c>
    </row>
    <row r="4036" spans="1:5" hidden="1" outlineLevel="2">
      <c r="A4036" s="3" t="e">
        <f>(HYPERLINK("http://www.autodoc.ru/Web/price/art/4725BGNH1B?analog=on","4725BGNH1B"))*1</f>
        <v>#VALUE!</v>
      </c>
      <c r="B4036" s="1">
        <v>6994701</v>
      </c>
      <c r="C4036" t="s">
        <v>4203</v>
      </c>
      <c r="D4036" t="s">
        <v>4239</v>
      </c>
      <c r="E4036" t="s">
        <v>23</v>
      </c>
    </row>
    <row r="4037" spans="1:5" hidden="1" outlineLevel="2">
      <c r="A4037" s="3" t="e">
        <f>(HYPERLINK("http://www.autodoc.ru/Web/price/art/4725LGNH3FDW?analog=on","4725LGNH3FDW"))*1</f>
        <v>#VALUE!</v>
      </c>
      <c r="B4037" s="1">
        <v>6990061</v>
      </c>
      <c r="C4037" t="s">
        <v>4203</v>
      </c>
      <c r="D4037" t="s">
        <v>4240</v>
      </c>
      <c r="E4037" t="s">
        <v>10</v>
      </c>
    </row>
    <row r="4038" spans="1:5" hidden="1" outlineLevel="2">
      <c r="A4038" s="3" t="e">
        <f>(HYPERLINK("http://www.autodoc.ru/Web/price/art/4725RGNH3FDW?analog=on","4725RGNH3FDW"))*1</f>
        <v>#VALUE!</v>
      </c>
      <c r="B4038" s="1">
        <v>6990060</v>
      </c>
      <c r="C4038" t="s">
        <v>4203</v>
      </c>
      <c r="D4038" t="s">
        <v>4241</v>
      </c>
      <c r="E4038" t="s">
        <v>10</v>
      </c>
    </row>
    <row r="4039" spans="1:5" hidden="1" outlineLevel="1">
      <c r="A4039" s="2">
        <v>0</v>
      </c>
      <c r="B4039" s="26" t="s">
        <v>4242</v>
      </c>
      <c r="C4039" s="27">
        <v>0</v>
      </c>
      <c r="D4039" s="27">
        <v>0</v>
      </c>
      <c r="E4039" s="27">
        <v>0</v>
      </c>
    </row>
    <row r="4040" spans="1:5" hidden="1" outlineLevel="2">
      <c r="A4040" s="3" t="e">
        <f>(HYPERLINK("http://www.autodoc.ru/Web/price/art/4737AGS?analog=on","4737AGS"))*1</f>
        <v>#VALUE!</v>
      </c>
      <c r="B4040" s="1">
        <v>6960553</v>
      </c>
      <c r="C4040" t="s">
        <v>782</v>
      </c>
      <c r="D4040" t="s">
        <v>4243</v>
      </c>
      <c r="E4040" t="s">
        <v>8</v>
      </c>
    </row>
    <row r="4041" spans="1:5" hidden="1" outlineLevel="2">
      <c r="A4041" s="3" t="e">
        <f>(HYPERLINK("http://www.autodoc.ru/Web/price/art/4737AGSM1B?analog=on","4737AGSM1B"))*1</f>
        <v>#VALUE!</v>
      </c>
      <c r="B4041" s="1">
        <v>6961094</v>
      </c>
      <c r="C4041" t="s">
        <v>782</v>
      </c>
      <c r="D4041" t="s">
        <v>4244</v>
      </c>
      <c r="E4041" t="s">
        <v>8</v>
      </c>
    </row>
    <row r="4042" spans="1:5" hidden="1" outlineLevel="1">
      <c r="A4042" s="2">
        <v>0</v>
      </c>
      <c r="B4042" s="26" t="s">
        <v>4245</v>
      </c>
      <c r="C4042" s="27">
        <v>0</v>
      </c>
      <c r="D4042" s="27">
        <v>0</v>
      </c>
      <c r="E4042" s="27">
        <v>0</v>
      </c>
    </row>
    <row r="4043" spans="1:5" hidden="1" outlineLevel="2">
      <c r="A4043" s="3" t="e">
        <f>(HYPERLINK("http://www.autodoc.ru/Web/price/art/4730ABS?analog=on","4730ABS"))*1</f>
        <v>#VALUE!</v>
      </c>
      <c r="B4043" s="1">
        <v>6960567</v>
      </c>
      <c r="C4043" t="s">
        <v>901</v>
      </c>
      <c r="D4043" t="s">
        <v>4246</v>
      </c>
      <c r="E4043" t="s">
        <v>8</v>
      </c>
    </row>
    <row r="4044" spans="1:5" hidden="1" outlineLevel="2">
      <c r="A4044" s="3" t="e">
        <f>(HYPERLINK("http://www.autodoc.ru/Web/price/art/4730ACL?analog=on","4730ACL"))*1</f>
        <v>#VALUE!</v>
      </c>
      <c r="B4044" s="1">
        <v>6190837</v>
      </c>
      <c r="C4044" t="s">
        <v>901</v>
      </c>
      <c r="D4044" t="s">
        <v>4247</v>
      </c>
      <c r="E4044" t="s">
        <v>8</v>
      </c>
    </row>
    <row r="4045" spans="1:5" hidden="1" outlineLevel="2">
      <c r="A4045" s="3" t="e">
        <f>(HYPERLINK("http://www.autodoc.ru/Web/price/art/4730AGS?analog=on","4730AGS"))*1</f>
        <v>#VALUE!</v>
      </c>
      <c r="B4045" s="1">
        <v>6190838</v>
      </c>
      <c r="C4045" t="s">
        <v>901</v>
      </c>
      <c r="D4045" t="s">
        <v>4248</v>
      </c>
      <c r="E4045" t="s">
        <v>8</v>
      </c>
    </row>
    <row r="4046" spans="1:5" hidden="1" outlineLevel="2">
      <c r="A4046" s="3" t="e">
        <f>(HYPERLINK("http://www.autodoc.ru/Web/price/art/4730ASMV?analog=on","4730ASMV"))*1</f>
        <v>#VALUE!</v>
      </c>
      <c r="B4046" s="1">
        <v>6100107</v>
      </c>
      <c r="C4046" t="s">
        <v>19</v>
      </c>
      <c r="D4046" t="s">
        <v>4249</v>
      </c>
      <c r="E4046" t="s">
        <v>21</v>
      </c>
    </row>
    <row r="4047" spans="1:5" hidden="1" outlineLevel="2">
      <c r="A4047" s="3" t="e">
        <f>(HYPERLINK("http://www.autodoc.ru/Web/price/art/4730BBSVB?analog=on","4730BBSVB"))*1</f>
        <v>#VALUE!</v>
      </c>
      <c r="B4047" s="1">
        <v>6994703</v>
      </c>
      <c r="C4047" t="s">
        <v>901</v>
      </c>
      <c r="D4047" t="s">
        <v>4250</v>
      </c>
      <c r="E4047" t="s">
        <v>23</v>
      </c>
    </row>
    <row r="4048" spans="1:5" hidden="1" outlineLevel="2">
      <c r="A4048" s="3" t="e">
        <f>(HYPERLINK("http://www.autodoc.ru/Web/price/art/4730LBSV5FQ?analog=on","4730LBSV5FQ"))*1</f>
        <v>#VALUE!</v>
      </c>
      <c r="B4048" s="1">
        <v>6991205</v>
      </c>
      <c r="C4048" t="s">
        <v>901</v>
      </c>
      <c r="D4048" t="s">
        <v>4251</v>
      </c>
      <c r="E4048" t="s">
        <v>10</v>
      </c>
    </row>
    <row r="4049" spans="1:5" hidden="1" outlineLevel="2">
      <c r="A4049" s="3" t="e">
        <f>(HYPERLINK("http://www.autodoc.ru/Web/price/art/4730LBSV5RQO?analog=on","4730LBSV5RQO"))*1</f>
        <v>#VALUE!</v>
      </c>
      <c r="B4049" s="1">
        <v>6994709</v>
      </c>
      <c r="C4049" t="s">
        <v>901</v>
      </c>
      <c r="D4049" t="s">
        <v>4252</v>
      </c>
      <c r="E4049" t="s">
        <v>10</v>
      </c>
    </row>
    <row r="4050" spans="1:5" hidden="1" outlineLevel="2">
      <c r="A4050" s="3" t="e">
        <f>(HYPERLINK("http://www.autodoc.ru/Web/price/art/4730RBSV5FQ?analog=on","4730RBSV5FQ"))*1</f>
        <v>#VALUE!</v>
      </c>
      <c r="B4050" s="1">
        <v>6991204</v>
      </c>
      <c r="C4050" t="s">
        <v>901</v>
      </c>
      <c r="D4050" t="s">
        <v>4253</v>
      </c>
      <c r="E4050" t="s">
        <v>10</v>
      </c>
    </row>
    <row r="4051" spans="1:5" hidden="1" outlineLevel="2">
      <c r="A4051" s="3" t="e">
        <f>(HYPERLINK("http://www.autodoc.ru/Web/price/art/4730RBSV5RQO?analog=on","4730RBSV5RQO"))*1</f>
        <v>#VALUE!</v>
      </c>
      <c r="B4051" s="1">
        <v>6994708</v>
      </c>
      <c r="C4051" t="s">
        <v>901</v>
      </c>
      <c r="D4051" t="s">
        <v>4254</v>
      </c>
      <c r="E4051" t="s">
        <v>10</v>
      </c>
    </row>
    <row r="4052" spans="1:5" collapsed="1">
      <c r="A4052" s="28" t="s">
        <v>4255</v>
      </c>
      <c r="B4052" s="28">
        <v>0</v>
      </c>
      <c r="C4052" s="28">
        <v>0</v>
      </c>
      <c r="D4052" s="28">
        <v>0</v>
      </c>
      <c r="E4052" s="28">
        <v>0</v>
      </c>
    </row>
    <row r="4053" spans="1:5" hidden="1" outlineLevel="1">
      <c r="A4053" s="2">
        <v>0</v>
      </c>
      <c r="B4053" s="26" t="s">
        <v>4256</v>
      </c>
      <c r="C4053" s="27">
        <v>0</v>
      </c>
      <c r="D4053" s="27">
        <v>0</v>
      </c>
      <c r="E4053" s="27">
        <v>0</v>
      </c>
    </row>
    <row r="4054" spans="1:5" hidden="1" outlineLevel="2">
      <c r="A4054" s="3" t="e">
        <f>(HYPERLINK("http://www.autodoc.ru/Web/price/art/7012ACL?analog=on","7012ACL"))*1</f>
        <v>#VALUE!</v>
      </c>
      <c r="B4054" s="1">
        <v>6963659</v>
      </c>
      <c r="C4054" t="s">
        <v>4257</v>
      </c>
      <c r="D4054" t="s">
        <v>4258</v>
      </c>
      <c r="E4054" t="s">
        <v>8</v>
      </c>
    </row>
    <row r="4055" spans="1:5" hidden="1" outlineLevel="2">
      <c r="A4055" s="3" t="e">
        <f>(HYPERLINK("http://www.autodoc.ru/Web/price/art/7012ASRR?analog=on","7012ASRR"))*1</f>
        <v>#VALUE!</v>
      </c>
      <c r="B4055" s="1">
        <v>6101594</v>
      </c>
      <c r="C4055" t="s">
        <v>19</v>
      </c>
      <c r="D4055" t="s">
        <v>4259</v>
      </c>
      <c r="E4055" t="s">
        <v>21</v>
      </c>
    </row>
    <row r="4056" spans="1:5" collapsed="1">
      <c r="A4056" s="28" t="s">
        <v>4260</v>
      </c>
      <c r="B4056" s="28">
        <v>0</v>
      </c>
      <c r="C4056" s="28">
        <v>0</v>
      </c>
      <c r="D4056" s="28">
        <v>0</v>
      </c>
      <c r="E4056" s="28">
        <v>0</v>
      </c>
    </row>
    <row r="4057" spans="1:5" hidden="1" outlineLevel="1">
      <c r="A4057" s="2">
        <v>0</v>
      </c>
      <c r="B4057" s="26" t="s">
        <v>4261</v>
      </c>
      <c r="C4057" s="27">
        <v>0</v>
      </c>
      <c r="D4057" s="27">
        <v>0</v>
      </c>
      <c r="E4057" s="27">
        <v>0</v>
      </c>
    </row>
    <row r="4058" spans="1:5" hidden="1" outlineLevel="2">
      <c r="A4058" s="3" t="e">
        <f>(HYPERLINK("http://www.autodoc.ru/Web/price/art/7017AGN?analog=on","7017AGN"))*1</f>
        <v>#VALUE!</v>
      </c>
      <c r="B4058" s="1">
        <v>6969932</v>
      </c>
      <c r="C4058" t="s">
        <v>1141</v>
      </c>
      <c r="D4058" t="s">
        <v>4262</v>
      </c>
      <c r="E4058" t="s">
        <v>8</v>
      </c>
    </row>
    <row r="4059" spans="1:5" hidden="1" outlineLevel="2">
      <c r="A4059" s="3" t="e">
        <f>(HYPERLINK("http://www.autodoc.ru/Web/price/art/7017LGNR3FD?analog=on","7017LGNR3FD"))*1</f>
        <v>#VALUE!</v>
      </c>
      <c r="B4059" s="1">
        <v>6190412</v>
      </c>
      <c r="C4059" t="s">
        <v>1141</v>
      </c>
      <c r="D4059" t="s">
        <v>4263</v>
      </c>
      <c r="E4059" t="s">
        <v>10</v>
      </c>
    </row>
    <row r="4060" spans="1:5" hidden="1" outlineLevel="2">
      <c r="A4060" s="3" t="e">
        <f>(HYPERLINK("http://www.autodoc.ru/Web/price/art/7017RGNR3FD?analog=on","7017RGNR3FD"))*1</f>
        <v>#VALUE!</v>
      </c>
      <c r="B4060" s="1">
        <v>6190415</v>
      </c>
      <c r="C4060" t="s">
        <v>1141</v>
      </c>
      <c r="D4060" t="s">
        <v>4264</v>
      </c>
      <c r="E4060" t="s">
        <v>10</v>
      </c>
    </row>
    <row r="4061" spans="1:5" hidden="1" outlineLevel="1">
      <c r="A4061" s="2">
        <v>0</v>
      </c>
      <c r="B4061" s="26" t="s">
        <v>4265</v>
      </c>
      <c r="C4061" s="27">
        <v>0</v>
      </c>
      <c r="D4061" s="27">
        <v>0</v>
      </c>
      <c r="E4061" s="27">
        <v>0</v>
      </c>
    </row>
    <row r="4062" spans="1:5" hidden="1" outlineLevel="2">
      <c r="A4062" s="3" t="e">
        <f>(HYPERLINK("http://www.autodoc.ru/Web/price/art/7022AGN?analog=on","7022AGN"))*1</f>
        <v>#VALUE!</v>
      </c>
      <c r="B4062" s="1">
        <v>6963577</v>
      </c>
      <c r="C4062" t="s">
        <v>354</v>
      </c>
      <c r="D4062" t="s">
        <v>4266</v>
      </c>
      <c r="E4062" t="s">
        <v>8</v>
      </c>
    </row>
    <row r="4063" spans="1:5" hidden="1" outlineLevel="2">
      <c r="A4063" s="3" t="e">
        <f>(HYPERLINK("http://www.autodoc.ru/Web/price/art/7022AGN1C?analog=on","7022AGN1C"))*1</f>
        <v>#VALUE!</v>
      </c>
      <c r="B4063" s="1">
        <v>6963662</v>
      </c>
      <c r="C4063" t="s">
        <v>354</v>
      </c>
      <c r="D4063" t="s">
        <v>4267</v>
      </c>
      <c r="E4063" t="s">
        <v>8</v>
      </c>
    </row>
    <row r="4064" spans="1:5" hidden="1" outlineLevel="2">
      <c r="A4064" s="3" t="e">
        <f>(HYPERLINK("http://www.autodoc.ru/Web/price/art/7022AGNH1C?analog=on","7022AGNH1C"))*1</f>
        <v>#VALUE!</v>
      </c>
      <c r="B4064" s="1">
        <v>6964092</v>
      </c>
      <c r="C4064" t="s">
        <v>354</v>
      </c>
      <c r="D4064" t="s">
        <v>4268</v>
      </c>
      <c r="E4064" t="s">
        <v>8</v>
      </c>
    </row>
    <row r="4065" spans="1:5" hidden="1" outlineLevel="2">
      <c r="A4065" s="3" t="e">
        <f>(HYPERLINK("http://www.autodoc.ru/Web/price/art/7022LGNR3FD?analog=on","7022LGNR3FD"))*1</f>
        <v>#VALUE!</v>
      </c>
      <c r="B4065" s="1">
        <v>6190705</v>
      </c>
      <c r="C4065" t="s">
        <v>354</v>
      </c>
      <c r="D4065" t="s">
        <v>4269</v>
      </c>
      <c r="E4065" t="s">
        <v>10</v>
      </c>
    </row>
    <row r="4066" spans="1:5" hidden="1" outlineLevel="2">
      <c r="A4066" s="3" t="e">
        <f>(HYPERLINK("http://www.autodoc.ru/Web/price/art/7022RGNR3FD?analog=on","7022RGNR3FD"))*1</f>
        <v>#VALUE!</v>
      </c>
      <c r="B4066" s="1">
        <v>6190708</v>
      </c>
      <c r="C4066" t="s">
        <v>354</v>
      </c>
      <c r="D4066" t="s">
        <v>4270</v>
      </c>
      <c r="E4066" t="s">
        <v>10</v>
      </c>
    </row>
    <row r="4067" spans="1:5" hidden="1" outlineLevel="1">
      <c r="A4067" s="2">
        <v>0</v>
      </c>
      <c r="B4067" s="26" t="s">
        <v>4271</v>
      </c>
      <c r="C4067" s="27">
        <v>0</v>
      </c>
      <c r="D4067" s="27">
        <v>0</v>
      </c>
      <c r="E4067" s="27">
        <v>0</v>
      </c>
    </row>
    <row r="4068" spans="1:5" hidden="1" outlineLevel="2">
      <c r="A4068" s="3" t="e">
        <f>(HYPERLINK("http://www.autodoc.ru/Web/price/art/7029AGS?analog=on","7029AGS"))*1</f>
        <v>#VALUE!</v>
      </c>
      <c r="B4068" s="1">
        <v>6963710</v>
      </c>
      <c r="C4068" t="s">
        <v>319</v>
      </c>
      <c r="D4068" t="s">
        <v>4272</v>
      </c>
      <c r="E4068" t="s">
        <v>8</v>
      </c>
    </row>
    <row r="4069" spans="1:5" hidden="1" outlineLevel="2">
      <c r="A4069" s="3" t="e">
        <f>(HYPERLINK("http://www.autodoc.ru/Web/price/art/7029AGSH?analog=on","7029AGSH"))*1</f>
        <v>#VALUE!</v>
      </c>
      <c r="B4069" s="1">
        <v>6961157</v>
      </c>
      <c r="C4069" t="s">
        <v>319</v>
      </c>
      <c r="D4069" t="s">
        <v>4273</v>
      </c>
      <c r="E4069" t="s">
        <v>8</v>
      </c>
    </row>
    <row r="4070" spans="1:5" hidden="1" outlineLevel="2">
      <c r="A4070" s="3" t="e">
        <f>(HYPERLINK("http://www.autodoc.ru/Web/price/art/7029AGSHV?analog=on","7029AGSHV"))*1</f>
        <v>#VALUE!</v>
      </c>
      <c r="B4070" s="1">
        <v>6963709</v>
      </c>
      <c r="C4070" t="s">
        <v>319</v>
      </c>
      <c r="D4070" t="s">
        <v>4274</v>
      </c>
      <c r="E4070" t="s">
        <v>8</v>
      </c>
    </row>
    <row r="4071" spans="1:5" hidden="1" outlineLevel="2">
      <c r="A4071" s="3" t="e">
        <f>(HYPERLINK("http://www.autodoc.ru/Web/price/art/7029BGSRBW?analog=on","7029BGSRBW"))*1</f>
        <v>#VALUE!</v>
      </c>
      <c r="B4071" s="1">
        <v>6998920</v>
      </c>
      <c r="C4071" t="s">
        <v>319</v>
      </c>
      <c r="D4071" t="s">
        <v>4275</v>
      </c>
      <c r="E4071" t="s">
        <v>23</v>
      </c>
    </row>
    <row r="4072" spans="1:5" hidden="1" outlineLevel="2">
      <c r="A4072" s="3" t="e">
        <f>(HYPERLINK("http://www.autodoc.ru/Web/price/art/7029LGSR5FD?analog=on","7029LGSR5FD"))*1</f>
        <v>#VALUE!</v>
      </c>
      <c r="B4072" s="1">
        <v>6995618</v>
      </c>
      <c r="C4072" t="s">
        <v>319</v>
      </c>
      <c r="D4072" t="s">
        <v>4276</v>
      </c>
      <c r="E4072" t="s">
        <v>10</v>
      </c>
    </row>
    <row r="4073" spans="1:5" hidden="1" outlineLevel="2">
      <c r="A4073" s="3" t="e">
        <f>(HYPERLINK("http://www.autodoc.ru/Web/price/art/7029LGSR5RD?analog=on","7029LGSR5RD"))*1</f>
        <v>#VALUE!</v>
      </c>
      <c r="B4073" s="1">
        <v>6995619</v>
      </c>
      <c r="C4073" t="s">
        <v>319</v>
      </c>
      <c r="D4073" t="s">
        <v>4277</v>
      </c>
      <c r="E4073" t="s">
        <v>10</v>
      </c>
    </row>
    <row r="4074" spans="1:5" hidden="1" outlineLevel="2">
      <c r="A4074" s="3" t="e">
        <f>(HYPERLINK("http://www.autodoc.ru/Web/price/art/7029RGSR5FD?analog=on","7029RGSR5FD"))*1</f>
        <v>#VALUE!</v>
      </c>
      <c r="B4074" s="1">
        <v>6995623</v>
      </c>
      <c r="C4074" t="s">
        <v>319</v>
      </c>
      <c r="D4074" t="s">
        <v>4278</v>
      </c>
      <c r="E4074" t="s">
        <v>10</v>
      </c>
    </row>
    <row r="4075" spans="1:5" hidden="1" outlineLevel="2">
      <c r="A4075" s="3" t="e">
        <f>(HYPERLINK("http://www.autodoc.ru/Web/price/art/7029RGSR5RD?analog=on","7029RGSR5RD"))*1</f>
        <v>#VALUE!</v>
      </c>
      <c r="B4075" s="1">
        <v>6995624</v>
      </c>
      <c r="C4075" t="s">
        <v>319</v>
      </c>
      <c r="D4075" t="s">
        <v>4279</v>
      </c>
      <c r="E4075" t="s">
        <v>10</v>
      </c>
    </row>
    <row r="4076" spans="1:5" hidden="1" outlineLevel="2">
      <c r="A4076" s="3" t="e">
        <f>(HYPERLINK("http://www.autodoc.ru/Web/price/art/7029RGSR5RV?analog=on","7029RGSR5RV"))*1</f>
        <v>#VALUE!</v>
      </c>
      <c r="B4076" s="1">
        <v>6900320</v>
      </c>
      <c r="C4076" t="s">
        <v>319</v>
      </c>
      <c r="D4076" t="s">
        <v>4280</v>
      </c>
      <c r="E4076" t="s">
        <v>10</v>
      </c>
    </row>
    <row r="4077" spans="1:5" hidden="1" outlineLevel="1">
      <c r="A4077" s="2">
        <v>0</v>
      </c>
      <c r="B4077" s="26" t="s">
        <v>4281</v>
      </c>
      <c r="C4077" s="27">
        <v>0</v>
      </c>
      <c r="D4077" s="27">
        <v>0</v>
      </c>
      <c r="E4077" s="27">
        <v>0</v>
      </c>
    </row>
    <row r="4078" spans="1:5" hidden="1" outlineLevel="2">
      <c r="A4078" s="3" t="e">
        <f>(HYPERLINK("http://www.autodoc.ru/Web/price/art/7032AGSHMVW1P?analog=on","7032AGSHMVW1P"))*1</f>
        <v>#VALUE!</v>
      </c>
      <c r="B4078" s="1">
        <v>6961983</v>
      </c>
      <c r="C4078" t="s">
        <v>3411</v>
      </c>
      <c r="D4078" t="s">
        <v>4282</v>
      </c>
      <c r="E4078" t="s">
        <v>8</v>
      </c>
    </row>
    <row r="4079" spans="1:5" hidden="1" outlineLevel="2">
      <c r="A4079" s="3" t="e">
        <f>(HYPERLINK("http://www.autodoc.ru/Web/price/art/7032AGSHMVW6T?analog=on","7032AGSHMVW6T"))*1</f>
        <v>#VALUE!</v>
      </c>
      <c r="B4079" s="1">
        <v>6964960</v>
      </c>
      <c r="C4079" t="s">
        <v>3411</v>
      </c>
      <c r="D4079" t="s">
        <v>4283</v>
      </c>
      <c r="E4079" t="s">
        <v>8</v>
      </c>
    </row>
    <row r="4080" spans="1:5" hidden="1" outlineLevel="2">
      <c r="A4080" s="3" t="e">
        <f>(HYPERLINK("http://www.autodoc.ru/Web/price/art/7032AGSHVW?analog=on","7032AGSHVW"))*1</f>
        <v>#VALUE!</v>
      </c>
      <c r="B4080" s="1">
        <v>6962206</v>
      </c>
      <c r="C4080" t="s">
        <v>3411</v>
      </c>
      <c r="D4080" t="s">
        <v>4284</v>
      </c>
      <c r="E4080" t="s">
        <v>8</v>
      </c>
    </row>
    <row r="4081" spans="1:5" hidden="1" outlineLevel="2">
      <c r="A4081" s="3" t="e">
        <f>(HYPERLINK("http://www.autodoc.ru/Web/price/art/7032AGSMVW1P?analog=on","7032AGSMVW1P"))*1</f>
        <v>#VALUE!</v>
      </c>
      <c r="B4081" s="1">
        <v>6961783</v>
      </c>
      <c r="C4081" t="s">
        <v>3411</v>
      </c>
      <c r="D4081" t="s">
        <v>4285</v>
      </c>
      <c r="E4081" t="s">
        <v>8</v>
      </c>
    </row>
    <row r="4082" spans="1:5" hidden="1" outlineLevel="2">
      <c r="A4082" s="3" t="e">
        <f>(HYPERLINK("http://www.autodoc.ru/Web/price/art/7032AGSVW?analog=on","7032AGSVW"))*1</f>
        <v>#VALUE!</v>
      </c>
      <c r="B4082" s="1">
        <v>6961782</v>
      </c>
      <c r="C4082" t="s">
        <v>3411</v>
      </c>
      <c r="D4082" t="s">
        <v>4286</v>
      </c>
      <c r="E4082" t="s">
        <v>8</v>
      </c>
    </row>
    <row r="4083" spans="1:5" hidden="1" outlineLevel="2">
      <c r="A4083" s="3" t="e">
        <f>(HYPERLINK("http://www.autodoc.ru/Web/price/art/7032BGSRAW?analog=on","7032BGSRAW"))*1</f>
        <v>#VALUE!</v>
      </c>
      <c r="B4083" s="1">
        <v>6900959</v>
      </c>
      <c r="C4083" t="s">
        <v>19</v>
      </c>
      <c r="D4083" t="s">
        <v>4287</v>
      </c>
      <c r="E4083" t="s">
        <v>23</v>
      </c>
    </row>
    <row r="4084" spans="1:5" hidden="1" outlineLevel="2">
      <c r="A4084" s="3" t="e">
        <f>(HYPERLINK("http://www.autodoc.ru/Web/price/art/7032LGPR5RDW?analog=on","7032LGPR5RDW"))*1</f>
        <v>#VALUE!</v>
      </c>
      <c r="B4084" s="1">
        <v>6997004</v>
      </c>
      <c r="C4084" t="s">
        <v>3411</v>
      </c>
      <c r="D4084" t="s">
        <v>4288</v>
      </c>
      <c r="E4084" t="s">
        <v>10</v>
      </c>
    </row>
    <row r="4085" spans="1:5" hidden="1" outlineLevel="2">
      <c r="A4085" s="3" t="e">
        <f>(HYPERLINK("http://www.autodoc.ru/Web/price/art/7032LGPR5RQAJ?analog=on","7032LGPR5RQAJ"))*1</f>
        <v>#VALUE!</v>
      </c>
      <c r="B4085" s="1">
        <v>6996596</v>
      </c>
      <c r="C4085" t="s">
        <v>3411</v>
      </c>
      <c r="D4085" t="s">
        <v>4289</v>
      </c>
      <c r="E4085" t="s">
        <v>10</v>
      </c>
    </row>
    <row r="4086" spans="1:5" hidden="1" outlineLevel="2">
      <c r="A4086" s="3" t="e">
        <f>(HYPERLINK("http://www.autodoc.ru/Web/price/art/7032LGSR5FDW1K?analog=on","7032LGSR5FDW1K"))*1</f>
        <v>#VALUE!</v>
      </c>
      <c r="B4086" s="1">
        <v>6996594</v>
      </c>
      <c r="C4086" t="s">
        <v>3411</v>
      </c>
      <c r="D4086" t="s">
        <v>4290</v>
      </c>
      <c r="E4086" t="s">
        <v>10</v>
      </c>
    </row>
    <row r="4087" spans="1:5" hidden="1" outlineLevel="2">
      <c r="A4087" s="3" t="e">
        <f>(HYPERLINK("http://www.autodoc.ru/Web/price/art/7032LGSR5RDW?analog=on","7032LGSR5RDW"))*1</f>
        <v>#VALUE!</v>
      </c>
      <c r="B4087" s="1">
        <v>6997005</v>
      </c>
      <c r="C4087" t="s">
        <v>3411</v>
      </c>
      <c r="D4087" t="s">
        <v>4291</v>
      </c>
      <c r="E4087" t="s">
        <v>10</v>
      </c>
    </row>
    <row r="4088" spans="1:5" hidden="1" outlineLevel="2">
      <c r="A4088" s="3" t="e">
        <f>(HYPERLINK("http://www.autodoc.ru/Web/price/art/7032LGSR5RQ?analog=on","7032LGSR5RQ"))*1</f>
        <v>#VALUE!</v>
      </c>
      <c r="B4088" s="1">
        <v>6996598</v>
      </c>
      <c r="C4088" t="s">
        <v>3411</v>
      </c>
      <c r="D4088" t="s">
        <v>4292</v>
      </c>
      <c r="E4088" t="s">
        <v>10</v>
      </c>
    </row>
    <row r="4089" spans="1:5" hidden="1" outlineLevel="2">
      <c r="A4089" s="3" t="e">
        <f>(HYPERLINK("http://www.autodoc.ru/Web/price/art/7032LGSR5RQAJ?analog=on","7032LGSR5RQAJ"))*1</f>
        <v>#VALUE!</v>
      </c>
      <c r="B4089" s="1">
        <v>6996597</v>
      </c>
      <c r="C4089" t="s">
        <v>3411</v>
      </c>
      <c r="D4089" t="s">
        <v>4293</v>
      </c>
      <c r="E4089" t="s">
        <v>10</v>
      </c>
    </row>
    <row r="4090" spans="1:5" hidden="1" outlineLevel="2">
      <c r="A4090" s="3" t="e">
        <f>(HYPERLINK("http://www.autodoc.ru/Web/price/art/7032RGPR5RQAJ1F?analog=on","7032RGPR5RQAJ1F"))*1</f>
        <v>#VALUE!</v>
      </c>
      <c r="B4090" s="1">
        <v>6996599</v>
      </c>
      <c r="C4090" t="s">
        <v>3411</v>
      </c>
      <c r="D4090" t="s">
        <v>4294</v>
      </c>
      <c r="E4090" t="s">
        <v>10</v>
      </c>
    </row>
    <row r="4091" spans="1:5" hidden="1" outlineLevel="2">
      <c r="A4091" s="3" t="e">
        <f>(HYPERLINK("http://www.autodoc.ru/Web/price/art/7032RGSR5FDW1K?analog=on","7032RGSR5FDW1K"))*1</f>
        <v>#VALUE!</v>
      </c>
      <c r="B4091" s="1">
        <v>6996595</v>
      </c>
      <c r="C4091" t="s">
        <v>3411</v>
      </c>
      <c r="D4091" t="s">
        <v>4295</v>
      </c>
      <c r="E4091" t="s">
        <v>10</v>
      </c>
    </row>
    <row r="4092" spans="1:5" hidden="1" outlineLevel="2">
      <c r="A4092" s="3" t="e">
        <f>(HYPERLINK("http://www.autodoc.ru/Web/price/art/7032RGSR5RDW?analog=on","7032RGSR5RDW"))*1</f>
        <v>#VALUE!</v>
      </c>
      <c r="B4092" s="1">
        <v>6900841</v>
      </c>
      <c r="C4092" t="s">
        <v>3411</v>
      </c>
      <c r="D4092" t="s">
        <v>4296</v>
      </c>
      <c r="E4092" t="s">
        <v>10</v>
      </c>
    </row>
    <row r="4093" spans="1:5" hidden="1" outlineLevel="2">
      <c r="A4093" s="3" t="e">
        <f>(HYPERLINK("http://www.autodoc.ru/Web/price/art/7032RGSR5RQA?analog=on","7032RGSR5RQA"))*1</f>
        <v>#VALUE!</v>
      </c>
      <c r="B4093" s="1">
        <v>6997000</v>
      </c>
      <c r="C4093" t="s">
        <v>3411</v>
      </c>
      <c r="D4093" t="s">
        <v>4297</v>
      </c>
      <c r="E4093" t="s">
        <v>10</v>
      </c>
    </row>
    <row r="4094" spans="1:5" hidden="1" outlineLevel="2">
      <c r="A4094" s="3" t="e">
        <f>(HYPERLINK("http://www.autodoc.ru/Web/price/art/7032RGSR5RQAJ1F?analog=on","7032RGSR5RQAJ1F"))*1</f>
        <v>#VALUE!</v>
      </c>
      <c r="B4094" s="1">
        <v>6997001</v>
      </c>
      <c r="C4094" t="s">
        <v>3411</v>
      </c>
      <c r="D4094" t="s">
        <v>4298</v>
      </c>
      <c r="E4094" t="s">
        <v>10</v>
      </c>
    </row>
    <row r="4095" spans="1:5" hidden="1" outlineLevel="1">
      <c r="A4095" s="2">
        <v>0</v>
      </c>
      <c r="B4095" s="26" t="s">
        <v>4299</v>
      </c>
      <c r="C4095" s="27">
        <v>0</v>
      </c>
      <c r="D4095" s="27">
        <v>0</v>
      </c>
      <c r="E4095" s="27">
        <v>0</v>
      </c>
    </row>
    <row r="4096" spans="1:5" hidden="1" outlineLevel="2">
      <c r="A4096" s="3" t="e">
        <f>(HYPERLINK("http://www.autodoc.ru/Web/price/art/7028AGSHVW?analog=on","7028AGSHVW"))*1</f>
        <v>#VALUE!</v>
      </c>
      <c r="B4096" s="1">
        <v>6962034</v>
      </c>
      <c r="C4096" t="s">
        <v>1988</v>
      </c>
      <c r="D4096" t="s">
        <v>4300</v>
      </c>
      <c r="E4096" t="s">
        <v>8</v>
      </c>
    </row>
    <row r="4097" spans="1:5" hidden="1" outlineLevel="2">
      <c r="A4097" s="3" t="e">
        <f>(HYPERLINK("http://www.autodoc.ru/Web/price/art/7028AGSVW?analog=on","7028AGSVW"))*1</f>
        <v>#VALUE!</v>
      </c>
      <c r="B4097" s="1">
        <v>6963332</v>
      </c>
      <c r="C4097" t="s">
        <v>1988</v>
      </c>
      <c r="D4097" t="s">
        <v>4301</v>
      </c>
      <c r="E4097" t="s">
        <v>8</v>
      </c>
    </row>
    <row r="4098" spans="1:5" hidden="1" outlineLevel="2">
      <c r="A4098" s="3" t="e">
        <f>(HYPERLINK("http://www.autodoc.ru/Web/price/art/7028ASMR?analog=on","7028ASMR"))*1</f>
        <v>#VALUE!</v>
      </c>
      <c r="B4098" s="1">
        <v>6100311</v>
      </c>
      <c r="C4098" t="s">
        <v>19</v>
      </c>
      <c r="D4098" t="s">
        <v>4302</v>
      </c>
      <c r="E4098" t="s">
        <v>21</v>
      </c>
    </row>
    <row r="4099" spans="1:5" hidden="1" outlineLevel="2">
      <c r="A4099" s="3" t="e">
        <f>(HYPERLINK("http://www.autodoc.ru/Web/price/art/7028BGSR?analog=on","7028BGSR"))*1</f>
        <v>#VALUE!</v>
      </c>
      <c r="B4099" s="1">
        <v>6998919</v>
      </c>
      <c r="C4099" t="s">
        <v>1988</v>
      </c>
      <c r="D4099" t="s">
        <v>4303</v>
      </c>
      <c r="E4099" t="s">
        <v>23</v>
      </c>
    </row>
    <row r="4100" spans="1:5" hidden="1" outlineLevel="2">
      <c r="A4100" s="3" t="e">
        <f>(HYPERLINK("http://www.autodoc.ru/Web/price/art/7028BGSR1E?analog=on","7028BGSR1E"))*1</f>
        <v>#VALUE!</v>
      </c>
      <c r="B4100" s="1">
        <v>6980049</v>
      </c>
      <c r="C4100" t="s">
        <v>538</v>
      </c>
      <c r="D4100" t="s">
        <v>4304</v>
      </c>
      <c r="E4100" t="s">
        <v>23</v>
      </c>
    </row>
    <row r="4101" spans="1:5" hidden="1" outlineLevel="2">
      <c r="A4101" s="3" t="e">
        <f>(HYPERLINK("http://www.autodoc.ru/Web/price/art/7028LGSR3FD1M?analog=on","7028LGSR3FD1M"))*1</f>
        <v>#VALUE!</v>
      </c>
      <c r="B4101" s="1">
        <v>6995606</v>
      </c>
      <c r="C4101" t="s">
        <v>1988</v>
      </c>
      <c r="D4101" t="s">
        <v>4305</v>
      </c>
      <c r="E4101" t="s">
        <v>10</v>
      </c>
    </row>
    <row r="4102" spans="1:5" hidden="1" outlineLevel="2">
      <c r="A4102" s="3" t="e">
        <f>(HYPERLINK("http://www.autodoc.ru/Web/price/art/7028LGSR3RQO?analog=on","7028LGSR3RQO"))*1</f>
        <v>#VALUE!</v>
      </c>
      <c r="B4102" s="1">
        <v>6995608</v>
      </c>
      <c r="C4102" t="s">
        <v>829</v>
      </c>
      <c r="D4102" t="s">
        <v>4306</v>
      </c>
      <c r="E4102" t="s">
        <v>10</v>
      </c>
    </row>
    <row r="4103" spans="1:5" hidden="1" outlineLevel="2">
      <c r="A4103" s="3" t="e">
        <f>(HYPERLINK("http://www.autodoc.ru/Web/price/art/7028LGSR5FD1M?analog=on","7028LGSR5FD1M"))*1</f>
        <v>#VALUE!</v>
      </c>
      <c r="B4103" s="1">
        <v>6995609</v>
      </c>
      <c r="C4103" t="s">
        <v>1988</v>
      </c>
      <c r="D4103" t="s">
        <v>4305</v>
      </c>
      <c r="E4103" t="s">
        <v>10</v>
      </c>
    </row>
    <row r="4104" spans="1:5" hidden="1" outlineLevel="2">
      <c r="A4104" s="3" t="e">
        <f>(HYPERLINK("http://www.autodoc.ru/Web/price/art/7028LGSR5RD?analog=on","7028LGSR5RD"))*1</f>
        <v>#VALUE!</v>
      </c>
      <c r="B4104" s="1">
        <v>6995610</v>
      </c>
      <c r="C4104" t="s">
        <v>1988</v>
      </c>
      <c r="D4104" t="s">
        <v>4307</v>
      </c>
      <c r="E4104" t="s">
        <v>10</v>
      </c>
    </row>
    <row r="4105" spans="1:5" hidden="1" outlineLevel="2">
      <c r="A4105" s="3" t="e">
        <f>(HYPERLINK("http://www.autodoc.ru/Web/price/art/7028LGSR5RQ?analog=on","7028LGSR5RQ"))*1</f>
        <v>#VALUE!</v>
      </c>
      <c r="B4105" s="1">
        <v>6995611</v>
      </c>
      <c r="C4105" t="s">
        <v>1988</v>
      </c>
      <c r="D4105" t="s">
        <v>4308</v>
      </c>
      <c r="E4105" t="s">
        <v>10</v>
      </c>
    </row>
    <row r="4106" spans="1:5" hidden="1" outlineLevel="2">
      <c r="A4106" s="3" t="e">
        <f>(HYPERLINK("http://www.autodoc.ru/Web/price/art/7028RGSR3FD1M?analog=on","7028RGSR3FD1M"))*1</f>
        <v>#VALUE!</v>
      </c>
      <c r="B4106" s="1">
        <v>6995612</v>
      </c>
      <c r="C4106" t="s">
        <v>1988</v>
      </c>
      <c r="D4106" t="s">
        <v>4309</v>
      </c>
      <c r="E4106" t="s">
        <v>10</v>
      </c>
    </row>
    <row r="4107" spans="1:5" hidden="1" outlineLevel="2">
      <c r="A4107" s="3" t="e">
        <f>(HYPERLINK("http://www.autodoc.ru/Web/price/art/7028RGSR3RQ?analog=on","7028RGSR3RQ"))*1</f>
        <v>#VALUE!</v>
      </c>
      <c r="B4107" s="1">
        <v>6995613</v>
      </c>
      <c r="C4107" t="s">
        <v>1988</v>
      </c>
      <c r="D4107" t="s">
        <v>4310</v>
      </c>
      <c r="E4107" t="s">
        <v>10</v>
      </c>
    </row>
    <row r="4108" spans="1:5" hidden="1" outlineLevel="2">
      <c r="A4108" s="3" t="e">
        <f>(HYPERLINK("http://www.autodoc.ru/Web/price/art/7028RGSR3RQO?analog=on","7028RGSR3RQO"))*1</f>
        <v>#VALUE!</v>
      </c>
      <c r="B4108" s="1">
        <v>6995614</v>
      </c>
      <c r="C4108" t="s">
        <v>829</v>
      </c>
      <c r="D4108" t="s">
        <v>4311</v>
      </c>
      <c r="E4108" t="s">
        <v>10</v>
      </c>
    </row>
    <row r="4109" spans="1:5" hidden="1" outlineLevel="2">
      <c r="A4109" s="3" t="e">
        <f>(HYPERLINK("http://www.autodoc.ru/Web/price/art/7028RGSR5FD1M?analog=on","7028RGSR5FD1M"))*1</f>
        <v>#VALUE!</v>
      </c>
      <c r="B4109" s="1">
        <v>6995615</v>
      </c>
      <c r="C4109" t="s">
        <v>1988</v>
      </c>
      <c r="D4109" t="s">
        <v>4309</v>
      </c>
      <c r="E4109" t="s">
        <v>10</v>
      </c>
    </row>
    <row r="4110" spans="1:5" hidden="1" outlineLevel="2">
      <c r="A4110" s="3" t="e">
        <f>(HYPERLINK("http://www.autodoc.ru/Web/price/art/7028RGSR5RD?analog=on","7028RGSR5RD"))*1</f>
        <v>#VALUE!</v>
      </c>
      <c r="B4110" s="1">
        <v>6995616</v>
      </c>
      <c r="C4110" t="s">
        <v>1988</v>
      </c>
      <c r="D4110" t="s">
        <v>4312</v>
      </c>
      <c r="E4110" t="s">
        <v>10</v>
      </c>
    </row>
    <row r="4111" spans="1:5" hidden="1" outlineLevel="2">
      <c r="A4111" s="3" t="e">
        <f>(HYPERLINK("http://www.autodoc.ru/Web/price/art/7028RGSR5RQ?analog=on","7028RGSR5RQ"))*1</f>
        <v>#VALUE!</v>
      </c>
      <c r="B4111" s="1">
        <v>6995617</v>
      </c>
      <c r="C4111" t="s">
        <v>1988</v>
      </c>
      <c r="D4111" t="s">
        <v>4313</v>
      </c>
      <c r="E4111" t="s">
        <v>10</v>
      </c>
    </row>
    <row r="4112" spans="1:5" hidden="1" outlineLevel="1">
      <c r="A4112" s="2">
        <v>0</v>
      </c>
      <c r="B4112" s="26" t="s">
        <v>4314</v>
      </c>
      <c r="C4112" s="27">
        <v>0</v>
      </c>
      <c r="D4112" s="27">
        <v>0</v>
      </c>
      <c r="E4112" s="27">
        <v>0</v>
      </c>
    </row>
    <row r="4113" spans="1:5" hidden="1" outlineLevel="2">
      <c r="A4113" s="3" t="e">
        <f>(HYPERLINK("http://www.autodoc.ru/Web/price/art/7038AGSHMVW?analog=on","7038AGSHMVW"))*1</f>
        <v>#VALUE!</v>
      </c>
      <c r="B4113" s="1">
        <v>6962613</v>
      </c>
      <c r="C4113" t="s">
        <v>389</v>
      </c>
      <c r="D4113" t="s">
        <v>4315</v>
      </c>
      <c r="E4113" t="s">
        <v>8</v>
      </c>
    </row>
    <row r="4114" spans="1:5" hidden="1" outlineLevel="2">
      <c r="A4114" s="3" t="e">
        <f>(HYPERLINK("http://www.autodoc.ru/Web/price/art/7038AGSMVW?analog=on","7038AGSMVW"))*1</f>
        <v>#VALUE!</v>
      </c>
      <c r="B4114" s="1">
        <v>6962614</v>
      </c>
      <c r="C4114" t="s">
        <v>389</v>
      </c>
      <c r="D4114" t="s">
        <v>4316</v>
      </c>
      <c r="E4114" t="s">
        <v>8</v>
      </c>
    </row>
    <row r="4115" spans="1:5" hidden="1" outlineLevel="2">
      <c r="A4115" s="3" t="e">
        <f>(HYPERLINK("http://www.autodoc.ru/Web/price/art/7038LGSR5FD?analog=on","7038LGSR5FD"))*1</f>
        <v>#VALUE!</v>
      </c>
      <c r="B4115" s="1">
        <v>6900786</v>
      </c>
      <c r="C4115" t="s">
        <v>389</v>
      </c>
      <c r="D4115" t="s">
        <v>4317</v>
      </c>
      <c r="E4115" t="s">
        <v>10</v>
      </c>
    </row>
    <row r="4116" spans="1:5" hidden="1" outlineLevel="2">
      <c r="A4116" s="3" t="e">
        <f>(HYPERLINK("http://www.autodoc.ru/Web/price/art/7038LGSR5RD?analog=on","7038LGSR5RD"))*1</f>
        <v>#VALUE!</v>
      </c>
      <c r="B4116" s="1">
        <v>6900788</v>
      </c>
      <c r="C4116" t="s">
        <v>389</v>
      </c>
      <c r="D4116" t="s">
        <v>4318</v>
      </c>
      <c r="E4116" t="s">
        <v>10</v>
      </c>
    </row>
    <row r="4117" spans="1:5" hidden="1" outlineLevel="2">
      <c r="A4117" s="3" t="e">
        <f>(HYPERLINK("http://www.autodoc.ru/Web/price/art/7038RGSR5FD?analog=on","7038RGSR5FD"))*1</f>
        <v>#VALUE!</v>
      </c>
      <c r="B4117" s="1">
        <v>6900785</v>
      </c>
      <c r="C4117" t="s">
        <v>389</v>
      </c>
      <c r="D4117" t="s">
        <v>4319</v>
      </c>
      <c r="E4117" t="s">
        <v>10</v>
      </c>
    </row>
    <row r="4118" spans="1:5" hidden="1" outlineLevel="2">
      <c r="A4118" s="3" t="e">
        <f>(HYPERLINK("http://www.autodoc.ru/Web/price/art/7038RGSR5RD?analog=on","7038RGSR5RD"))*1</f>
        <v>#VALUE!</v>
      </c>
      <c r="B4118" s="1">
        <v>6900787</v>
      </c>
      <c r="C4118" t="s">
        <v>389</v>
      </c>
      <c r="D4118" t="s">
        <v>4320</v>
      </c>
      <c r="E4118" t="s">
        <v>10</v>
      </c>
    </row>
    <row r="4119" spans="1:5" collapsed="1">
      <c r="A4119" s="28" t="s">
        <v>4321</v>
      </c>
      <c r="B4119" s="28">
        <v>0</v>
      </c>
      <c r="C4119" s="28">
        <v>0</v>
      </c>
      <c r="D4119" s="28">
        <v>0</v>
      </c>
      <c r="E4119" s="28">
        <v>0</v>
      </c>
    </row>
    <row r="4120" spans="1:5" hidden="1" outlineLevel="1">
      <c r="A4120" s="2">
        <v>0</v>
      </c>
      <c r="B4120" s="26" t="s">
        <v>4322</v>
      </c>
      <c r="C4120" s="27">
        <v>0</v>
      </c>
      <c r="D4120" s="27">
        <v>0</v>
      </c>
      <c r="E4120" s="27">
        <v>0</v>
      </c>
    </row>
    <row r="4121" spans="1:5" hidden="1" outlineLevel="2">
      <c r="A4121" s="3" t="e">
        <f>(HYPERLINK("http://www.autodoc.ru/Web/price/art/7036AGSHMVW1B?analog=on","7036AGSHMVW1B"))*1</f>
        <v>#VALUE!</v>
      </c>
      <c r="B4121" s="1">
        <v>6962264</v>
      </c>
      <c r="C4121" t="s">
        <v>4323</v>
      </c>
      <c r="D4121" t="s">
        <v>4324</v>
      </c>
      <c r="E4121" t="s">
        <v>8</v>
      </c>
    </row>
    <row r="4122" spans="1:5" hidden="1" outlineLevel="2">
      <c r="A4122" s="3" t="e">
        <f>(HYPERLINK("http://www.autodoc.ru/Web/price/art/7036AGSHVW?analog=on","7036AGSHVW"))*1</f>
        <v>#VALUE!</v>
      </c>
      <c r="B4122" s="1">
        <v>6962263</v>
      </c>
      <c r="C4122" t="s">
        <v>4323</v>
      </c>
      <c r="D4122" t="s">
        <v>4325</v>
      </c>
      <c r="E4122" t="s">
        <v>8</v>
      </c>
    </row>
    <row r="4123" spans="1:5" hidden="1" outlineLevel="2">
      <c r="A4123" s="3" t="e">
        <f>(HYPERLINK("http://www.autodoc.ru/Web/price/art/7036AGSMVW1B?analog=on","7036AGSMVW1B"))*1</f>
        <v>#VALUE!</v>
      </c>
      <c r="B4123" s="1">
        <v>6961785</v>
      </c>
      <c r="C4123" t="s">
        <v>4323</v>
      </c>
      <c r="D4123" t="s">
        <v>4326</v>
      </c>
      <c r="E4123" t="s">
        <v>8</v>
      </c>
    </row>
    <row r="4124" spans="1:5" hidden="1" outlineLevel="2">
      <c r="A4124" s="3" t="e">
        <f>(HYPERLINK("http://www.autodoc.ru/Web/price/art/7036AGSVW?analog=on","7036AGSVW"))*1</f>
        <v>#VALUE!</v>
      </c>
      <c r="B4124" s="1">
        <v>6961784</v>
      </c>
      <c r="C4124" t="s">
        <v>4323</v>
      </c>
      <c r="D4124" t="s">
        <v>4327</v>
      </c>
      <c r="E4124" t="s">
        <v>8</v>
      </c>
    </row>
    <row r="4125" spans="1:5" hidden="1" outlineLevel="2">
      <c r="A4125" s="3" t="e">
        <f>(HYPERLINK("http://www.autodoc.ru/Web/price/art/7036LGPR5RDW?analog=on","7036LGPR5RDW"))*1</f>
        <v>#VALUE!</v>
      </c>
      <c r="B4125" s="1">
        <v>6997008</v>
      </c>
      <c r="C4125" t="s">
        <v>4323</v>
      </c>
      <c r="D4125" t="s">
        <v>4328</v>
      </c>
      <c r="E4125" t="s">
        <v>10</v>
      </c>
    </row>
    <row r="4126" spans="1:5" hidden="1" outlineLevel="2">
      <c r="A4126" s="3" t="e">
        <f>(HYPERLINK("http://www.autodoc.ru/Web/price/art/7036LGSR5FDW?analog=on","7036LGSR5FDW"))*1</f>
        <v>#VALUE!</v>
      </c>
      <c r="B4126" s="1">
        <v>6997006</v>
      </c>
      <c r="C4126" t="s">
        <v>4323</v>
      </c>
      <c r="D4126" t="s">
        <v>4329</v>
      </c>
      <c r="E4126" t="s">
        <v>10</v>
      </c>
    </row>
    <row r="4127" spans="1:5" hidden="1" outlineLevel="2">
      <c r="A4127" s="3" t="e">
        <f>(HYPERLINK("http://www.autodoc.ru/Web/price/art/7036LGSR5RDW?analog=on","7036LGSR5RDW"))*1</f>
        <v>#VALUE!</v>
      </c>
      <c r="B4127" s="1">
        <v>6997011</v>
      </c>
      <c r="C4127" t="s">
        <v>4323</v>
      </c>
      <c r="D4127" t="s">
        <v>4328</v>
      </c>
      <c r="E4127" t="s">
        <v>10</v>
      </c>
    </row>
    <row r="4128" spans="1:5" hidden="1" outlineLevel="2">
      <c r="A4128" s="3" t="e">
        <f>(HYPERLINK("http://www.autodoc.ru/Web/price/art/7036RGPR5RDW?analog=on","7036RGPR5RDW"))*1</f>
        <v>#VALUE!</v>
      </c>
      <c r="B4128" s="1">
        <v>6997012</v>
      </c>
      <c r="C4128" t="s">
        <v>4323</v>
      </c>
      <c r="D4128" t="s">
        <v>4330</v>
      </c>
      <c r="E4128" t="s">
        <v>10</v>
      </c>
    </row>
    <row r="4129" spans="1:5" hidden="1" outlineLevel="2">
      <c r="A4129" s="3" t="e">
        <f>(HYPERLINK("http://www.autodoc.ru/Web/price/art/7036RGSR5FDW?analog=on","7036RGSR5FDW"))*1</f>
        <v>#VALUE!</v>
      </c>
      <c r="B4129" s="1">
        <v>6997007</v>
      </c>
      <c r="C4129" t="s">
        <v>4323</v>
      </c>
      <c r="D4129" t="s">
        <v>4331</v>
      </c>
      <c r="E4129" t="s">
        <v>10</v>
      </c>
    </row>
    <row r="4130" spans="1:5" hidden="1" outlineLevel="2">
      <c r="A4130" s="3" t="e">
        <f>(HYPERLINK("http://www.autodoc.ru/Web/price/art/7036RGSR5RDW?analog=on","7036RGSR5RDW"))*1</f>
        <v>#VALUE!</v>
      </c>
      <c r="B4130" s="1">
        <v>6997013</v>
      </c>
      <c r="C4130" t="s">
        <v>4323</v>
      </c>
      <c r="D4130" t="s">
        <v>4332</v>
      </c>
      <c r="E4130" t="s">
        <v>10</v>
      </c>
    </row>
    <row r="4131" spans="1:5" hidden="1" outlineLevel="1">
      <c r="A4131" s="2">
        <v>0</v>
      </c>
      <c r="B4131" s="26" t="s">
        <v>4333</v>
      </c>
      <c r="C4131" s="27">
        <v>0</v>
      </c>
      <c r="D4131" s="27">
        <v>0</v>
      </c>
      <c r="E4131" s="27">
        <v>0</v>
      </c>
    </row>
    <row r="4132" spans="1:5" hidden="1" outlineLevel="2">
      <c r="A4132" s="3" t="e">
        <f>(HYPERLINK("http://www.autodoc.ru/Web/price/art/7008AGN?analog=on","7008AGN"))*1</f>
        <v>#VALUE!</v>
      </c>
      <c r="B4132" s="1">
        <v>6969915</v>
      </c>
      <c r="C4132" t="s">
        <v>4334</v>
      </c>
      <c r="D4132" t="s">
        <v>4335</v>
      </c>
      <c r="E4132" t="s">
        <v>8</v>
      </c>
    </row>
    <row r="4133" spans="1:5" hidden="1" outlineLevel="2">
      <c r="A4133" s="3" t="e">
        <f>(HYPERLINK("http://www.autodoc.ru/Web/price/art/7008LGNR5FD1J?analog=on","7008LGNR5FD1J"))*1</f>
        <v>#VALUE!</v>
      </c>
      <c r="B4133" s="1">
        <v>6999281</v>
      </c>
      <c r="C4133" t="s">
        <v>4336</v>
      </c>
      <c r="D4133" t="s">
        <v>4337</v>
      </c>
      <c r="E4133" t="s">
        <v>10</v>
      </c>
    </row>
    <row r="4134" spans="1:5" hidden="1" outlineLevel="2">
      <c r="A4134" s="3" t="e">
        <f>(HYPERLINK("http://www.autodoc.ru/Web/price/art/7008RGNR5FD1J?analog=on","7008RGNR5FD1J"))*1</f>
        <v>#VALUE!</v>
      </c>
      <c r="B4134" s="1">
        <v>6999284</v>
      </c>
      <c r="C4134" t="s">
        <v>4336</v>
      </c>
      <c r="D4134" t="s">
        <v>4338</v>
      </c>
      <c r="E4134" t="s">
        <v>10</v>
      </c>
    </row>
    <row r="4135" spans="1:5" hidden="1" outlineLevel="1">
      <c r="A4135" s="2">
        <v>0</v>
      </c>
      <c r="B4135" s="26" t="s">
        <v>4339</v>
      </c>
      <c r="C4135" s="27">
        <v>0</v>
      </c>
      <c r="D4135" s="27">
        <v>0</v>
      </c>
      <c r="E4135" s="27">
        <v>0</v>
      </c>
    </row>
    <row r="4136" spans="1:5" hidden="1" outlineLevel="2">
      <c r="A4136" s="3" t="e">
        <f>(HYPERLINK("http://www.autodoc.ru/Web/price/art/7024AGNHV?analog=on","7024AGNHV"))*1</f>
        <v>#VALUE!</v>
      </c>
      <c r="B4136" s="1">
        <v>6963708</v>
      </c>
      <c r="C4136" t="s">
        <v>2409</v>
      </c>
      <c r="D4136" t="s">
        <v>4340</v>
      </c>
      <c r="E4136" t="s">
        <v>8</v>
      </c>
    </row>
    <row r="4137" spans="1:5" hidden="1" outlineLevel="2">
      <c r="A4137" s="3" t="e">
        <f>(HYPERLINK("http://www.autodoc.ru/Web/price/art/7024AGNV?analog=on","7024AGNV"))*1</f>
        <v>#VALUE!</v>
      </c>
      <c r="B4137" s="1">
        <v>6963330</v>
      </c>
      <c r="C4137" t="s">
        <v>2409</v>
      </c>
      <c r="D4137" t="s">
        <v>4341</v>
      </c>
      <c r="E4137" t="s">
        <v>8</v>
      </c>
    </row>
    <row r="4138" spans="1:5" hidden="1" outlineLevel="2">
      <c r="A4138" s="3" t="e">
        <f>(HYPERLINK("http://www.autodoc.ru/Web/price/art/7024AGSHV1P?analog=on","7024AGSHV1P"))*1</f>
        <v>#VALUE!</v>
      </c>
      <c r="B4138" s="1">
        <v>6962166</v>
      </c>
      <c r="C4138" t="s">
        <v>2409</v>
      </c>
      <c r="D4138" t="s">
        <v>4342</v>
      </c>
      <c r="E4138" t="s">
        <v>8</v>
      </c>
    </row>
    <row r="4139" spans="1:5" hidden="1" outlineLevel="2">
      <c r="A4139" s="3" t="e">
        <f>(HYPERLINK("http://www.autodoc.ru/Web/price/art/7024AGSV1P?analog=on","7024AGSV1P"))*1</f>
        <v>#VALUE!</v>
      </c>
      <c r="B4139" s="1">
        <v>6962459</v>
      </c>
      <c r="C4139" t="s">
        <v>2409</v>
      </c>
      <c r="D4139" t="s">
        <v>4343</v>
      </c>
      <c r="E4139" t="s">
        <v>8</v>
      </c>
    </row>
    <row r="4140" spans="1:5" hidden="1" outlineLevel="2">
      <c r="A4140" s="3" t="e">
        <f>(HYPERLINK("http://www.autodoc.ru/Web/price/art/7024AKCR?analog=on","7024AKCR"))*1</f>
        <v>#VALUE!</v>
      </c>
      <c r="B4140" s="1">
        <v>6101200</v>
      </c>
      <c r="C4140" t="s">
        <v>19</v>
      </c>
      <c r="D4140" t="s">
        <v>4344</v>
      </c>
      <c r="E4140" t="s">
        <v>21</v>
      </c>
    </row>
    <row r="4141" spans="1:5" hidden="1" outlineLevel="2">
      <c r="A4141" s="3" t="e">
        <f>(HYPERLINK("http://www.autodoc.ru/Web/price/art/7024ASMRT?analog=on","7024ASMRT"))*1</f>
        <v>#VALUE!</v>
      </c>
      <c r="B4141" s="1">
        <v>6100185</v>
      </c>
      <c r="C4141" t="s">
        <v>19</v>
      </c>
      <c r="D4141" t="s">
        <v>4345</v>
      </c>
      <c r="E4141" t="s">
        <v>21</v>
      </c>
    </row>
    <row r="4142" spans="1:5" hidden="1" outlineLevel="2">
      <c r="A4142" s="3" t="e">
        <f>(HYPERLINK("http://www.autodoc.ru/Web/price/art/7024BGNRW?analog=on","7024BGNRW"))*1</f>
        <v>#VALUE!</v>
      </c>
      <c r="B4142" s="1">
        <v>6998916</v>
      </c>
      <c r="C4142" t="s">
        <v>2409</v>
      </c>
      <c r="D4142" t="s">
        <v>4346</v>
      </c>
      <c r="E4142" t="s">
        <v>23</v>
      </c>
    </row>
    <row r="4143" spans="1:5" hidden="1" outlineLevel="2">
      <c r="A4143" s="3" t="e">
        <f>(HYPERLINK("http://www.autodoc.ru/Web/price/art/7024LGNR5FDW?analog=on","7024LGNR5FDW"))*1</f>
        <v>#VALUE!</v>
      </c>
      <c r="B4143" s="1">
        <v>6995595</v>
      </c>
      <c r="C4143" t="s">
        <v>2409</v>
      </c>
      <c r="D4143" t="s">
        <v>4347</v>
      </c>
      <c r="E4143" t="s">
        <v>10</v>
      </c>
    </row>
    <row r="4144" spans="1:5" hidden="1" outlineLevel="2">
      <c r="A4144" s="3" t="e">
        <f>(HYPERLINK("http://www.autodoc.ru/Web/price/art/7024LGNR5RDW?analog=on","7024LGNR5RDW"))*1</f>
        <v>#VALUE!</v>
      </c>
      <c r="B4144" s="1">
        <v>6995596</v>
      </c>
      <c r="C4144" t="s">
        <v>2409</v>
      </c>
      <c r="D4144" t="s">
        <v>4348</v>
      </c>
      <c r="E4144" t="s">
        <v>10</v>
      </c>
    </row>
    <row r="4145" spans="1:5" hidden="1" outlineLevel="2">
      <c r="A4145" s="3" t="e">
        <f>(HYPERLINK("http://www.autodoc.ru/Web/price/art/7024LGNR5RV?analog=on","7024LGNR5RV"))*1</f>
        <v>#VALUE!</v>
      </c>
      <c r="B4145" s="1">
        <v>6995458</v>
      </c>
      <c r="C4145" t="s">
        <v>2409</v>
      </c>
      <c r="D4145" t="s">
        <v>4349</v>
      </c>
      <c r="E4145" t="s">
        <v>10</v>
      </c>
    </row>
    <row r="4146" spans="1:5" hidden="1" outlineLevel="2">
      <c r="A4146" s="3" t="e">
        <f>(HYPERLINK("http://www.autodoc.ru/Web/price/art/7024RGNR5FDW?analog=on","7024RGNR5FDW"))*1</f>
        <v>#VALUE!</v>
      </c>
      <c r="B4146" s="1">
        <v>6995599</v>
      </c>
      <c r="C4146" t="s">
        <v>2409</v>
      </c>
      <c r="D4146" t="s">
        <v>4350</v>
      </c>
      <c r="E4146" t="s">
        <v>10</v>
      </c>
    </row>
    <row r="4147" spans="1:5" hidden="1" outlineLevel="2">
      <c r="A4147" s="3" t="e">
        <f>(HYPERLINK("http://www.autodoc.ru/Web/price/art/7024RGNR5RDW?analog=on","7024RGNR5RDW"))*1</f>
        <v>#VALUE!</v>
      </c>
      <c r="B4147" s="1">
        <v>6995600</v>
      </c>
      <c r="C4147" t="s">
        <v>2409</v>
      </c>
      <c r="D4147" t="s">
        <v>4351</v>
      </c>
      <c r="E4147" t="s">
        <v>10</v>
      </c>
    </row>
    <row r="4148" spans="1:5" hidden="1" outlineLevel="2">
      <c r="A4148" s="3" t="e">
        <f>(HYPERLINK("http://www.autodoc.ru/Web/price/art/7024RGNR5RV?analog=on","7024RGNR5RV"))*1</f>
        <v>#VALUE!</v>
      </c>
      <c r="B4148" s="1">
        <v>6995459</v>
      </c>
      <c r="C4148" t="s">
        <v>2409</v>
      </c>
      <c r="D4148" t="s">
        <v>4352</v>
      </c>
      <c r="E4148" t="s">
        <v>10</v>
      </c>
    </row>
    <row r="4149" spans="1:5" hidden="1" outlineLevel="1">
      <c r="A4149" s="2">
        <v>0</v>
      </c>
      <c r="B4149" s="26" t="s">
        <v>4353</v>
      </c>
      <c r="C4149" s="27">
        <v>0</v>
      </c>
      <c r="D4149" s="27">
        <v>0</v>
      </c>
      <c r="E4149" s="27">
        <v>0</v>
      </c>
    </row>
    <row r="4150" spans="1:5" hidden="1" outlineLevel="2">
      <c r="A4150" s="3" t="e">
        <f>(HYPERLINK("http://www.autodoc.ru/Web/price/art/7033AGAGNHMV6T?analog=on","7033AGAGNHMV6T"))*1</f>
        <v>#VALUE!</v>
      </c>
      <c r="B4150" s="1">
        <v>6963024</v>
      </c>
      <c r="C4150" t="s">
        <v>997</v>
      </c>
      <c r="D4150" t="s">
        <v>4354</v>
      </c>
      <c r="E4150" t="s">
        <v>8</v>
      </c>
    </row>
    <row r="4151" spans="1:5" hidden="1" outlineLevel="2">
      <c r="A4151" s="3" t="e">
        <f>(HYPERLINK("http://www.autodoc.ru/Web/price/art/7033AGAGNHMV2U?analog=on","7033AGAGNHMV2U"))*1</f>
        <v>#VALUE!</v>
      </c>
      <c r="B4151" s="1">
        <v>6964758</v>
      </c>
      <c r="C4151" t="s">
        <v>3378</v>
      </c>
      <c r="D4151" t="s">
        <v>4355</v>
      </c>
      <c r="E4151" t="s">
        <v>8</v>
      </c>
    </row>
    <row r="4152" spans="1:5" hidden="1" outlineLevel="2">
      <c r="A4152" s="3" t="e">
        <f>(HYPERLINK("http://www.autodoc.ru/Web/price/art/7033AGSGNHMV1B?analog=on","7033AGSGNHMV1B"))*1</f>
        <v>#VALUE!</v>
      </c>
      <c r="B4152" s="1">
        <v>6962079</v>
      </c>
      <c r="C4152" t="s">
        <v>321</v>
      </c>
      <c r="D4152" t="s">
        <v>4356</v>
      </c>
      <c r="E4152" t="s">
        <v>8</v>
      </c>
    </row>
    <row r="4153" spans="1:5" hidden="1" outlineLevel="2">
      <c r="A4153" s="3" t="e">
        <f>(HYPERLINK("http://www.autodoc.ru/Web/price/art/7033AGSGNHMV6T?analog=on","7033AGSGNHMV6T"))*1</f>
        <v>#VALUE!</v>
      </c>
      <c r="B4153" s="1">
        <v>6962228</v>
      </c>
      <c r="C4153" t="s">
        <v>997</v>
      </c>
      <c r="D4153" t="s">
        <v>4357</v>
      </c>
      <c r="E4153" t="s">
        <v>8</v>
      </c>
    </row>
    <row r="4154" spans="1:5" hidden="1" outlineLevel="2">
      <c r="A4154" s="3" t="e">
        <f>(HYPERLINK("http://www.autodoc.ru/Web/price/art/7033AGSGNHV?analog=on","7033AGSGNHV"))*1</f>
        <v>#VALUE!</v>
      </c>
      <c r="B4154" s="1">
        <v>6962316</v>
      </c>
      <c r="C4154" t="s">
        <v>2753</v>
      </c>
      <c r="D4154" t="s">
        <v>4358</v>
      </c>
      <c r="E4154" t="s">
        <v>8</v>
      </c>
    </row>
    <row r="4155" spans="1:5" hidden="1" outlineLevel="2">
      <c r="A4155" s="3" t="e">
        <f>(HYPERLINK("http://www.autodoc.ru/Web/price/art/7033ASMRT?analog=on","7033ASMRT"))*1</f>
        <v>#VALUE!</v>
      </c>
      <c r="B4155" s="1">
        <v>6102376</v>
      </c>
      <c r="C4155" t="s">
        <v>19</v>
      </c>
      <c r="D4155" t="s">
        <v>4359</v>
      </c>
      <c r="E4155" t="s">
        <v>21</v>
      </c>
    </row>
    <row r="4156" spans="1:5" hidden="1" outlineLevel="2">
      <c r="A4156" s="3" t="e">
        <f>(HYPERLINK("http://www.autodoc.ru/Web/price/art/7033BGSRA?analog=on","7033BGSRA"))*1</f>
        <v>#VALUE!</v>
      </c>
      <c r="B4156" s="1">
        <v>6900528</v>
      </c>
      <c r="C4156" t="s">
        <v>2753</v>
      </c>
      <c r="D4156" t="s">
        <v>4360</v>
      </c>
      <c r="E4156" t="s">
        <v>23</v>
      </c>
    </row>
    <row r="4157" spans="1:5" hidden="1" outlineLevel="2">
      <c r="A4157" s="3" t="e">
        <f>(HYPERLINK("http://www.autodoc.ru/Web/price/art/7033BGSRA1F?analog=on","7033BGSRA1F"))*1</f>
        <v>#VALUE!</v>
      </c>
      <c r="B4157" s="1">
        <v>6900529</v>
      </c>
      <c r="C4157" t="s">
        <v>2753</v>
      </c>
      <c r="D4157" t="s">
        <v>4361</v>
      </c>
      <c r="E4157" t="s">
        <v>23</v>
      </c>
    </row>
    <row r="4158" spans="1:5" hidden="1" outlineLevel="2">
      <c r="A4158" s="3" t="e">
        <f>(HYPERLINK("http://www.autodoc.ru/Web/price/art/7033LGSR5FD?analog=on","7033LGSR5FD"))*1</f>
        <v>#VALUE!</v>
      </c>
      <c r="B4158" s="1">
        <v>6999996</v>
      </c>
      <c r="C4158" t="s">
        <v>2753</v>
      </c>
      <c r="D4158" t="s">
        <v>4362</v>
      </c>
      <c r="E4158" t="s">
        <v>10</v>
      </c>
    </row>
    <row r="4159" spans="1:5" hidden="1" outlineLevel="2">
      <c r="A4159" s="3" t="e">
        <f>(HYPERLINK("http://www.autodoc.ru/Web/price/art/7033LGSR5RD?analog=on","7033LGSR5RD"))*1</f>
        <v>#VALUE!</v>
      </c>
      <c r="B4159" s="1">
        <v>6900187</v>
      </c>
      <c r="C4159" t="s">
        <v>2753</v>
      </c>
      <c r="D4159" t="s">
        <v>4363</v>
      </c>
      <c r="E4159" t="s">
        <v>10</v>
      </c>
    </row>
    <row r="4160" spans="1:5" hidden="1" outlineLevel="2">
      <c r="A4160" s="3" t="e">
        <f>(HYPERLINK("http://www.autodoc.ru/Web/price/art/7033LGSR5RV?analog=on","7033LGSR5RV"))*1</f>
        <v>#VALUE!</v>
      </c>
      <c r="B4160" s="1">
        <v>6900302</v>
      </c>
      <c r="C4160" t="s">
        <v>2753</v>
      </c>
      <c r="D4160" t="s">
        <v>4364</v>
      </c>
      <c r="E4160" t="s">
        <v>10</v>
      </c>
    </row>
    <row r="4161" spans="1:5" hidden="1" outlineLevel="2">
      <c r="A4161" s="3" t="e">
        <f>(HYPERLINK("http://www.autodoc.ru/Web/price/art/7033RGSR5FD?analog=on","7033RGSR5FD"))*1</f>
        <v>#VALUE!</v>
      </c>
      <c r="B4161" s="1">
        <v>6900085</v>
      </c>
      <c r="C4161" t="s">
        <v>2753</v>
      </c>
      <c r="D4161" t="s">
        <v>4365</v>
      </c>
      <c r="E4161" t="s">
        <v>10</v>
      </c>
    </row>
    <row r="4162" spans="1:5" hidden="1" outlineLevel="2">
      <c r="A4162" s="3" t="e">
        <f>(HYPERLINK("http://www.autodoc.ru/Web/price/art/7033RGSR5RD?analog=on","7033RGSR5RD"))*1</f>
        <v>#VALUE!</v>
      </c>
      <c r="B4162" s="1">
        <v>6900271</v>
      </c>
      <c r="C4162" t="s">
        <v>2753</v>
      </c>
      <c r="D4162" t="s">
        <v>4366</v>
      </c>
      <c r="E4162" t="s">
        <v>10</v>
      </c>
    </row>
    <row r="4163" spans="1:5" hidden="1" outlineLevel="2">
      <c r="A4163" s="3" t="e">
        <f>(HYPERLINK("http://www.autodoc.ru/Web/price/art/7033RGSR5RV?analog=on","7033RGSR5RV"))*1</f>
        <v>#VALUE!</v>
      </c>
      <c r="B4163" s="1">
        <v>6900321</v>
      </c>
      <c r="C4163" t="s">
        <v>2753</v>
      </c>
      <c r="D4163" t="s">
        <v>4367</v>
      </c>
      <c r="E4163" t="s">
        <v>10</v>
      </c>
    </row>
    <row r="4164" spans="1:5" hidden="1" outlineLevel="1">
      <c r="A4164" s="2">
        <v>0</v>
      </c>
      <c r="B4164" s="26" t="s">
        <v>4368</v>
      </c>
      <c r="C4164" s="27">
        <v>0</v>
      </c>
      <c r="D4164" s="27">
        <v>0</v>
      </c>
      <c r="E4164" s="27">
        <v>0</v>
      </c>
    </row>
    <row r="4165" spans="1:5" hidden="1" outlineLevel="2">
      <c r="A4165" s="3" t="e">
        <f>(HYPERLINK("http://www.autodoc.ru/Web/price/art/7043ACDMVZ?analog=on","7043ACDMVZ"))*1</f>
        <v>#VALUE!</v>
      </c>
      <c r="B4165" s="1">
        <v>6965862</v>
      </c>
      <c r="C4165" t="s">
        <v>965</v>
      </c>
      <c r="D4165" t="s">
        <v>4369</v>
      </c>
      <c r="E4165" t="s">
        <v>8</v>
      </c>
    </row>
    <row r="4166" spans="1:5" collapsed="1">
      <c r="A4166" s="28" t="s">
        <v>4370</v>
      </c>
      <c r="B4166" s="28">
        <v>0</v>
      </c>
      <c r="C4166" s="28">
        <v>0</v>
      </c>
      <c r="D4166" s="28">
        <v>0</v>
      </c>
      <c r="E4166" s="28">
        <v>0</v>
      </c>
    </row>
    <row r="4167" spans="1:5" hidden="1" outlineLevel="1">
      <c r="A4167" s="2">
        <v>0</v>
      </c>
      <c r="B4167" s="26" t="s">
        <v>4371</v>
      </c>
      <c r="C4167" s="27">
        <v>0</v>
      </c>
      <c r="D4167" s="27">
        <v>0</v>
      </c>
      <c r="E4167" s="27">
        <v>0</v>
      </c>
    </row>
    <row r="4168" spans="1:5" hidden="1" outlineLevel="2">
      <c r="A4168" s="3" t="e">
        <f>(HYPERLINK("http://www.autodoc.ru/Web/price/art/8322AGNBLV?analog=on","8322AGNBLV"))*1</f>
        <v>#VALUE!</v>
      </c>
      <c r="B4168" s="1">
        <v>6962155</v>
      </c>
      <c r="C4168" t="s">
        <v>654</v>
      </c>
      <c r="D4168" t="s">
        <v>4372</v>
      </c>
      <c r="E4168" t="s">
        <v>8</v>
      </c>
    </row>
    <row r="4169" spans="1:5" hidden="1" outlineLevel="2">
      <c r="A4169" s="3" t="e">
        <f>(HYPERLINK("http://www.autodoc.ru/Web/price/art/8322ASMRT?analog=on","8322ASMRT"))*1</f>
        <v>#VALUE!</v>
      </c>
      <c r="B4169" s="1">
        <v>6102148</v>
      </c>
      <c r="C4169" t="s">
        <v>19</v>
      </c>
      <c r="D4169" t="s">
        <v>4373</v>
      </c>
      <c r="E4169" t="s">
        <v>21</v>
      </c>
    </row>
    <row r="4170" spans="1:5" hidden="1" outlineLevel="1">
      <c r="A4170" s="2">
        <v>0</v>
      </c>
      <c r="B4170" s="26" t="s">
        <v>4374</v>
      </c>
      <c r="C4170" s="27">
        <v>0</v>
      </c>
      <c r="D4170" s="27">
        <v>0</v>
      </c>
      <c r="E4170" s="27">
        <v>0</v>
      </c>
    </row>
    <row r="4171" spans="1:5" hidden="1" outlineLevel="2">
      <c r="A4171" s="3" t="e">
        <f>(HYPERLINK("http://www.autodoc.ru/Web/price/art/8354AGNGNHMV1B?analog=on","8354AGNGNHMV1B"))*1</f>
        <v>#VALUE!</v>
      </c>
      <c r="B4171" s="1">
        <v>6961807</v>
      </c>
      <c r="C4171" t="s">
        <v>755</v>
      </c>
      <c r="D4171" t="s">
        <v>4375</v>
      </c>
      <c r="E4171" t="s">
        <v>8</v>
      </c>
    </row>
    <row r="4172" spans="1:5" hidden="1" outlineLevel="2">
      <c r="A4172" s="3" t="e">
        <f>(HYPERLINK("http://www.autodoc.ru/Web/price/art/8354AGNGNV?analog=on","8354AGNGNV"))*1</f>
        <v>#VALUE!</v>
      </c>
      <c r="B4172" s="1">
        <v>6961805</v>
      </c>
      <c r="C4172" t="s">
        <v>755</v>
      </c>
      <c r="D4172" t="s">
        <v>4376</v>
      </c>
      <c r="E4172" t="s">
        <v>8</v>
      </c>
    </row>
    <row r="4173" spans="1:5" hidden="1" outlineLevel="2">
      <c r="A4173" s="3" t="e">
        <f>(HYPERLINK("http://www.autodoc.ru/Web/price/art/8354ASMR?analog=on","8354ASMR"))*1</f>
        <v>#VALUE!</v>
      </c>
      <c r="B4173" s="1">
        <v>6102149</v>
      </c>
      <c r="C4173" t="s">
        <v>19</v>
      </c>
      <c r="D4173" t="s">
        <v>4377</v>
      </c>
      <c r="E4173" t="s">
        <v>21</v>
      </c>
    </row>
    <row r="4174" spans="1:5" collapsed="1">
      <c r="A4174" s="28" t="s">
        <v>4378</v>
      </c>
      <c r="B4174" s="28">
        <v>0</v>
      </c>
      <c r="C4174" s="28">
        <v>0</v>
      </c>
      <c r="D4174" s="28">
        <v>0</v>
      </c>
      <c r="E4174" s="28">
        <v>0</v>
      </c>
    </row>
    <row r="4175" spans="1:5" hidden="1" outlineLevel="1">
      <c r="A4175" s="2">
        <v>0</v>
      </c>
      <c r="B4175" s="26" t="s">
        <v>4379</v>
      </c>
      <c r="C4175" s="27">
        <v>0</v>
      </c>
      <c r="D4175" s="27">
        <v>0</v>
      </c>
      <c r="E4175" s="27">
        <v>0</v>
      </c>
    </row>
    <row r="4176" spans="1:5" hidden="1" outlineLevel="2">
      <c r="A4176" s="3" t="e">
        <f>(HYPERLINK("http://www.autodoc.ru/Web/price/art/8307AGNBL?analog=on","8307AGNBL"))*1</f>
        <v>#VALUE!</v>
      </c>
      <c r="B4176" s="1">
        <v>6962965</v>
      </c>
      <c r="C4176" t="s">
        <v>3612</v>
      </c>
      <c r="D4176" t="s">
        <v>4380</v>
      </c>
      <c r="E4176" t="s">
        <v>8</v>
      </c>
    </row>
    <row r="4177" spans="1:5" hidden="1" outlineLevel="1">
      <c r="A4177" s="2">
        <v>0</v>
      </c>
      <c r="B4177" s="26" t="s">
        <v>4381</v>
      </c>
      <c r="C4177" s="27">
        <v>0</v>
      </c>
      <c r="D4177" s="27">
        <v>0</v>
      </c>
      <c r="E4177" s="27">
        <v>0</v>
      </c>
    </row>
    <row r="4178" spans="1:5" hidden="1" outlineLevel="2">
      <c r="A4178" s="3" t="e">
        <f>(HYPERLINK("http://www.autodoc.ru/Web/price/art/8285AGY?analog=on","8285AGY"))*1</f>
        <v>#VALUE!</v>
      </c>
      <c r="B4178" s="1">
        <v>6962219</v>
      </c>
      <c r="C4178" t="s">
        <v>1646</v>
      </c>
      <c r="D4178" t="s">
        <v>4382</v>
      </c>
      <c r="E4178" t="s">
        <v>8</v>
      </c>
    </row>
    <row r="4179" spans="1:5" hidden="1" outlineLevel="2">
      <c r="A4179" s="3" t="e">
        <f>(HYPERLINK("http://www.autodoc.ru/Web/price/art/8285AGYGY?analog=on","8285AGYGY"))*1</f>
        <v>#VALUE!</v>
      </c>
      <c r="B4179" s="1">
        <v>6962957</v>
      </c>
      <c r="C4179" t="s">
        <v>1646</v>
      </c>
      <c r="D4179" t="s">
        <v>4383</v>
      </c>
      <c r="E4179" t="s">
        <v>8</v>
      </c>
    </row>
    <row r="4180" spans="1:5" hidden="1" outlineLevel="1">
      <c r="A4180" s="2">
        <v>0</v>
      </c>
      <c r="B4180" s="26" t="s">
        <v>4384</v>
      </c>
      <c r="C4180" s="27">
        <v>0</v>
      </c>
      <c r="D4180" s="27">
        <v>0</v>
      </c>
      <c r="E4180" s="27">
        <v>0</v>
      </c>
    </row>
    <row r="4181" spans="1:5" hidden="1" outlineLevel="2">
      <c r="A4181" s="3" t="e">
        <f>(HYPERLINK("http://www.autodoc.ru/Web/price/art/8327AGNBL?analog=on","8327AGNBL"))*1</f>
        <v>#VALUE!</v>
      </c>
      <c r="B4181" s="1">
        <v>6962180</v>
      </c>
      <c r="C4181" t="s">
        <v>3984</v>
      </c>
      <c r="D4181" t="s">
        <v>4385</v>
      </c>
      <c r="E4181" t="s">
        <v>8</v>
      </c>
    </row>
    <row r="4182" spans="1:5" hidden="1" outlineLevel="1">
      <c r="A4182" s="2">
        <v>0</v>
      </c>
      <c r="B4182" s="26" t="s">
        <v>4386</v>
      </c>
      <c r="C4182" s="27">
        <v>0</v>
      </c>
      <c r="D4182" s="27">
        <v>0</v>
      </c>
      <c r="E4182" s="27">
        <v>0</v>
      </c>
    </row>
    <row r="4183" spans="1:5" hidden="1" outlineLevel="2">
      <c r="A4183" s="3" t="e">
        <f>(HYPERLINK("http://www.autodoc.ru/Web/price/art/8362AGSGNMVW1B?analog=on","8362AGSGNMVW1B"))*1</f>
        <v>#VALUE!</v>
      </c>
      <c r="B4183" s="1">
        <v>6961519</v>
      </c>
      <c r="C4183" t="s">
        <v>890</v>
      </c>
      <c r="D4183" t="s">
        <v>4387</v>
      </c>
      <c r="E4183" t="s">
        <v>8</v>
      </c>
    </row>
    <row r="4184" spans="1:5" hidden="1" outlineLevel="2">
      <c r="A4184" s="3" t="e">
        <f>(HYPERLINK("http://www.autodoc.ru/Web/price/art/8362AGSGNVW?analog=on","8362AGSGNVW"))*1</f>
        <v>#VALUE!</v>
      </c>
      <c r="B4184" s="1">
        <v>6961579</v>
      </c>
      <c r="C4184" t="s">
        <v>890</v>
      </c>
      <c r="D4184" t="s">
        <v>4388</v>
      </c>
      <c r="E4184" t="s">
        <v>8</v>
      </c>
    </row>
    <row r="4185" spans="1:5" hidden="1" outlineLevel="2">
      <c r="A4185" s="3" t="e">
        <f>(HYPERLINK("http://www.autodoc.ru/Web/price/art/8362ASMST?analog=on","8362ASMST"))*1</f>
        <v>#VALUE!</v>
      </c>
      <c r="B4185" s="1">
        <v>6102633</v>
      </c>
      <c r="C4185" t="s">
        <v>19</v>
      </c>
      <c r="D4185" t="s">
        <v>4389</v>
      </c>
      <c r="E4185" t="s">
        <v>21</v>
      </c>
    </row>
    <row r="4186" spans="1:5" hidden="1" outlineLevel="1">
      <c r="A4186" s="2">
        <v>0</v>
      </c>
      <c r="B4186" s="26" t="s">
        <v>4390</v>
      </c>
      <c r="C4186" s="27">
        <v>0</v>
      </c>
      <c r="D4186" s="27">
        <v>0</v>
      </c>
      <c r="E4186" s="27">
        <v>0</v>
      </c>
    </row>
    <row r="4187" spans="1:5" hidden="1" outlineLevel="2">
      <c r="A4187" s="3" t="e">
        <f>(HYPERLINK("http://www.autodoc.ru/Web/price/art/8309AGNH1B?analog=on","8309AGNH1B"))*1</f>
        <v>#VALUE!</v>
      </c>
      <c r="B4187" s="1">
        <v>6962696</v>
      </c>
      <c r="C4187" t="s">
        <v>1134</v>
      </c>
      <c r="D4187" t="s">
        <v>4391</v>
      </c>
      <c r="E4187" t="s">
        <v>8</v>
      </c>
    </row>
    <row r="4188" spans="1:5" hidden="1" outlineLevel="2">
      <c r="A4188" s="3" t="e">
        <f>(HYPERLINK("http://www.autodoc.ru/Web/price/art/8309AGNV?analog=on","8309AGNV"))*1</f>
        <v>#VALUE!</v>
      </c>
      <c r="B4188" s="1">
        <v>6960780</v>
      </c>
      <c r="C4188" t="s">
        <v>1134</v>
      </c>
      <c r="D4188" t="s">
        <v>4392</v>
      </c>
      <c r="E4188" t="s">
        <v>8</v>
      </c>
    </row>
    <row r="4189" spans="1:5" hidden="1" outlineLevel="2">
      <c r="A4189" s="3" t="e">
        <f>(HYPERLINK("http://www.autodoc.ru/Web/price/art/8309ASMS?analog=on","8309ASMS"))*1</f>
        <v>#VALUE!</v>
      </c>
      <c r="B4189" s="1">
        <v>6101691</v>
      </c>
      <c r="C4189" t="s">
        <v>19</v>
      </c>
      <c r="D4189" t="s">
        <v>4393</v>
      </c>
      <c r="E4189" t="s">
        <v>21</v>
      </c>
    </row>
    <row r="4190" spans="1:5" hidden="1" outlineLevel="1">
      <c r="A4190" s="2">
        <v>0</v>
      </c>
      <c r="B4190" s="26" t="s">
        <v>4394</v>
      </c>
      <c r="C4190" s="27">
        <v>0</v>
      </c>
      <c r="D4190" s="27">
        <v>0</v>
      </c>
      <c r="E4190" s="27">
        <v>0</v>
      </c>
    </row>
    <row r="4191" spans="1:5" hidden="1" outlineLevel="2">
      <c r="A4191" s="3" t="e">
        <f>(HYPERLINK("http://www.autodoc.ru/Web/price/art/8296AGYGY?analog=on","8296AGYGY"))*1</f>
        <v>#VALUE!</v>
      </c>
      <c r="B4191" s="1">
        <v>6962958</v>
      </c>
      <c r="C4191" t="s">
        <v>3866</v>
      </c>
      <c r="D4191" t="s">
        <v>4395</v>
      </c>
      <c r="E4191" t="s">
        <v>8</v>
      </c>
    </row>
    <row r="4192" spans="1:5" hidden="1" outlineLevel="1">
      <c r="A4192" s="2">
        <v>0</v>
      </c>
      <c r="B4192" s="26" t="s">
        <v>4396</v>
      </c>
      <c r="C4192" s="27">
        <v>0</v>
      </c>
      <c r="D4192" s="27">
        <v>0</v>
      </c>
      <c r="E4192" s="27">
        <v>0</v>
      </c>
    </row>
    <row r="4193" spans="1:5" hidden="1" outlineLevel="2">
      <c r="A4193" s="3" t="e">
        <f>(HYPERLINK("http://www.autodoc.ru/Web/price/art/8341AGNGNMV?analog=on","8341AGNGNMV"))*1</f>
        <v>#VALUE!</v>
      </c>
      <c r="B4193" s="1">
        <v>6963027</v>
      </c>
      <c r="C4193" t="s">
        <v>1309</v>
      </c>
      <c r="D4193" t="s">
        <v>4397</v>
      </c>
      <c r="E4193" t="s">
        <v>8</v>
      </c>
    </row>
    <row r="4194" spans="1:5" hidden="1" outlineLevel="2">
      <c r="A4194" s="3" t="e">
        <f>(HYPERLINK("http://www.autodoc.ru/Web/price/art/8341ASMRT?analog=on","8341ASMRT"))*1</f>
        <v>#VALUE!</v>
      </c>
      <c r="B4194" s="1">
        <v>6101580</v>
      </c>
      <c r="C4194" t="s">
        <v>19</v>
      </c>
      <c r="D4194" t="s">
        <v>4398</v>
      </c>
      <c r="E4194" t="s">
        <v>21</v>
      </c>
    </row>
    <row r="4195" spans="1:5" hidden="1" outlineLevel="2">
      <c r="A4195" s="3" t="e">
        <f>(HYPERLINK("http://www.autodoc.ru/Web/price/art/8341BGNRW?analog=on","8341BGNRW"))*1</f>
        <v>#VALUE!</v>
      </c>
      <c r="B4195" s="1">
        <v>6902113</v>
      </c>
      <c r="C4195" t="s">
        <v>1309</v>
      </c>
      <c r="D4195" t="s">
        <v>4399</v>
      </c>
      <c r="E4195" t="s">
        <v>23</v>
      </c>
    </row>
    <row r="4196" spans="1:5" hidden="1" outlineLevel="2">
      <c r="A4196" s="3" t="e">
        <f>(HYPERLINK("http://www.autodoc.ru/Web/price/art/8341BGNRW1J?analog=on","8341BGNRW1J"))*1</f>
        <v>#VALUE!</v>
      </c>
      <c r="B4196" s="1">
        <v>6902114</v>
      </c>
      <c r="C4196" t="s">
        <v>1309</v>
      </c>
      <c r="D4196" t="s">
        <v>4400</v>
      </c>
      <c r="E4196" t="s">
        <v>23</v>
      </c>
    </row>
    <row r="4197" spans="1:5" hidden="1" outlineLevel="1">
      <c r="A4197" s="2">
        <v>0</v>
      </c>
      <c r="B4197" s="26" t="s">
        <v>4401</v>
      </c>
      <c r="C4197" s="27">
        <v>0</v>
      </c>
      <c r="D4197" s="27">
        <v>0</v>
      </c>
      <c r="E4197" s="27">
        <v>0</v>
      </c>
    </row>
    <row r="4198" spans="1:5" hidden="1" outlineLevel="2">
      <c r="A4198" s="3" t="e">
        <f>(HYPERLINK("http://www.autodoc.ru/Web/price/art/8371AGAHMV1B?analog=on","8371AGAHMV1B"))*1</f>
        <v>#VALUE!</v>
      </c>
      <c r="B4198" s="1">
        <v>6961589</v>
      </c>
      <c r="C4198" t="s">
        <v>890</v>
      </c>
      <c r="D4198" t="s">
        <v>4402</v>
      </c>
      <c r="E4198" t="s">
        <v>8</v>
      </c>
    </row>
    <row r="4199" spans="1:5" hidden="1" outlineLevel="2">
      <c r="A4199" s="3" t="e">
        <f>(HYPERLINK("http://www.autodoc.ru/Web/price/art/8371AGAHV?analog=on","8371AGAHV"))*1</f>
        <v>#VALUE!</v>
      </c>
      <c r="B4199" s="1">
        <v>6961590</v>
      </c>
      <c r="C4199" t="s">
        <v>1053</v>
      </c>
      <c r="D4199" t="s">
        <v>4403</v>
      </c>
      <c r="E4199" t="s">
        <v>8</v>
      </c>
    </row>
    <row r="4200" spans="1:5" hidden="1" outlineLevel="1">
      <c r="A4200" s="2">
        <v>0</v>
      </c>
      <c r="B4200" s="26" t="s">
        <v>4404</v>
      </c>
      <c r="C4200" s="27">
        <v>0</v>
      </c>
      <c r="D4200" s="27">
        <v>0</v>
      </c>
      <c r="E4200" s="27">
        <v>0</v>
      </c>
    </row>
    <row r="4201" spans="1:5" hidden="1" outlineLevel="2">
      <c r="A4201" s="3" t="e">
        <f>(HYPERLINK("http://www.autodoc.ru/Web/price/art/8375AGAHMVZ?analog=on","8375AGAHMVZ"))*1</f>
        <v>#VALUE!</v>
      </c>
      <c r="B4201" s="1">
        <v>6962851</v>
      </c>
      <c r="C4201" t="s">
        <v>290</v>
      </c>
      <c r="D4201" t="s">
        <v>4405</v>
      </c>
      <c r="E4201" t="s">
        <v>8</v>
      </c>
    </row>
    <row r="4202" spans="1:5" hidden="1" outlineLevel="2">
      <c r="A4202" s="3" t="e">
        <f>(HYPERLINK("http://www.autodoc.ru/Web/price/art/8375AGNGNHMVZ?analog=on","8375AGNGNHMVZ"))*1</f>
        <v>#VALUE!</v>
      </c>
      <c r="B4202" s="1">
        <v>6962714</v>
      </c>
      <c r="C4202" t="s">
        <v>290</v>
      </c>
      <c r="D4202" t="s">
        <v>4406</v>
      </c>
      <c r="E4202" t="s">
        <v>8</v>
      </c>
    </row>
    <row r="4203" spans="1:5" collapsed="1">
      <c r="A4203" s="28" t="s">
        <v>4407</v>
      </c>
      <c r="B4203" s="28">
        <v>0</v>
      </c>
      <c r="C4203" s="28">
        <v>0</v>
      </c>
      <c r="D4203" s="28">
        <v>0</v>
      </c>
      <c r="E4203" s="28">
        <v>0</v>
      </c>
    </row>
    <row r="4204" spans="1:5" hidden="1" outlineLevel="1">
      <c r="A4204" s="2">
        <v>0</v>
      </c>
      <c r="B4204" s="26" t="s">
        <v>4408</v>
      </c>
      <c r="C4204" s="27">
        <v>0</v>
      </c>
      <c r="D4204" s="27">
        <v>0</v>
      </c>
      <c r="E4204" s="27">
        <v>0</v>
      </c>
    </row>
    <row r="4205" spans="1:5" hidden="1" outlineLevel="2">
      <c r="A4205" s="3" t="e">
        <f>(HYPERLINK("http://www.autodoc.ru/Web/price/art/9263ACL?analog=on","9263ACL"))*1</f>
        <v>#VALUE!</v>
      </c>
      <c r="B4205" s="1">
        <v>6190173</v>
      </c>
      <c r="C4205" t="s">
        <v>4409</v>
      </c>
      <c r="D4205" t="s">
        <v>4410</v>
      </c>
      <c r="E4205" t="s">
        <v>8</v>
      </c>
    </row>
    <row r="4206" spans="1:5" collapsed="1">
      <c r="A4206" s="28" t="s">
        <v>4411</v>
      </c>
      <c r="B4206" s="28">
        <v>0</v>
      </c>
      <c r="C4206" s="28">
        <v>0</v>
      </c>
      <c r="D4206" s="28">
        <v>0</v>
      </c>
      <c r="E4206" s="28">
        <v>0</v>
      </c>
    </row>
    <row r="4207" spans="1:5" hidden="1" outlineLevel="1">
      <c r="A4207" s="2">
        <v>0</v>
      </c>
      <c r="B4207" s="26" t="s">
        <v>4412</v>
      </c>
      <c r="C4207" s="27">
        <v>0</v>
      </c>
      <c r="D4207" s="27">
        <v>0</v>
      </c>
      <c r="E4207" s="27">
        <v>0</v>
      </c>
    </row>
    <row r="4208" spans="1:5" hidden="1" outlineLevel="2">
      <c r="A4208" s="3" t="e">
        <f>(HYPERLINK("http://www.autodoc.ru/Web/price/art/4904ACL?analog=on","4904ACL"))*1</f>
        <v>#VALUE!</v>
      </c>
      <c r="B4208" s="1">
        <v>6963463</v>
      </c>
      <c r="C4208" t="s">
        <v>4413</v>
      </c>
      <c r="D4208" t="s">
        <v>4414</v>
      </c>
      <c r="E4208" t="s">
        <v>8</v>
      </c>
    </row>
    <row r="4209" spans="1:5" hidden="1" outlineLevel="2">
      <c r="A4209" s="3" t="e">
        <f>(HYPERLINK("http://www.autodoc.ru/Web/price/art/4904ASRL?analog=on","4904ASRL"))*1</f>
        <v>#VALUE!</v>
      </c>
      <c r="B4209" s="1">
        <v>6101038</v>
      </c>
      <c r="C4209" t="s">
        <v>19</v>
      </c>
      <c r="D4209" t="s">
        <v>4415</v>
      </c>
      <c r="E4209" t="s">
        <v>21</v>
      </c>
    </row>
    <row r="4210" spans="1:5" hidden="1" outlineLevel="2">
      <c r="A4210" s="3" t="e">
        <f>(HYPERLINK("http://www.autodoc.ru/Web/price/art/4904FCLL2FD?analog=on","4904FCLL2FD"))*1</f>
        <v>#VALUE!</v>
      </c>
      <c r="B4210" s="1">
        <v>6996734</v>
      </c>
      <c r="C4210" t="s">
        <v>4413</v>
      </c>
      <c r="D4210" t="s">
        <v>4416</v>
      </c>
      <c r="E4210" t="s">
        <v>10</v>
      </c>
    </row>
    <row r="4211" spans="1:5" hidden="1" outlineLevel="1">
      <c r="A4211" s="2">
        <v>0</v>
      </c>
      <c r="B4211" s="26" t="s">
        <v>4417</v>
      </c>
      <c r="C4211" s="27">
        <v>0</v>
      </c>
      <c r="D4211" s="27">
        <v>0</v>
      </c>
      <c r="E4211" s="27">
        <v>0</v>
      </c>
    </row>
    <row r="4212" spans="1:5" hidden="1" outlineLevel="2">
      <c r="A4212" s="3" t="e">
        <f>(HYPERLINK("http://www.autodoc.ru/Web/price/art/4907ACL?analog=on","4907ACL"))*1</f>
        <v>#VALUE!</v>
      </c>
      <c r="B4212" s="1">
        <v>6967390</v>
      </c>
      <c r="C4212" t="s">
        <v>3020</v>
      </c>
      <c r="D4212" t="s">
        <v>4418</v>
      </c>
      <c r="E4212" t="s">
        <v>8</v>
      </c>
    </row>
    <row r="4213" spans="1:5" hidden="1" outlineLevel="2">
      <c r="A4213" s="3" t="e">
        <f>(HYPERLINK("http://www.autodoc.ru/Web/price/art/4907AGN?analog=on","4907AGN"))*1</f>
        <v>#VALUE!</v>
      </c>
      <c r="B4213" s="1">
        <v>6967391</v>
      </c>
      <c r="C4213" t="s">
        <v>3020</v>
      </c>
      <c r="D4213" t="s">
        <v>4419</v>
      </c>
      <c r="E4213" t="s">
        <v>8</v>
      </c>
    </row>
    <row r="4214" spans="1:5" hidden="1" outlineLevel="2">
      <c r="A4214" s="3" t="e">
        <f>(HYPERLINK("http://www.autodoc.ru/Web/price/art/4907AGNGN?analog=on","4907AGNGN"))*1</f>
        <v>#VALUE!</v>
      </c>
      <c r="B4214" s="1">
        <v>6967392</v>
      </c>
      <c r="C4214" t="s">
        <v>3020</v>
      </c>
      <c r="D4214" t="s">
        <v>4420</v>
      </c>
      <c r="E4214" t="s">
        <v>8</v>
      </c>
    </row>
    <row r="4215" spans="1:5" hidden="1" outlineLevel="2">
      <c r="A4215" s="3" t="e">
        <f>(HYPERLINK("http://www.autodoc.ru/Web/price/art/4907ASRL?analog=on","4907ASRL"))*1</f>
        <v>#VALUE!</v>
      </c>
      <c r="B4215" s="1">
        <v>6101258</v>
      </c>
      <c r="C4215" t="s">
        <v>19</v>
      </c>
      <c r="D4215" t="s">
        <v>4421</v>
      </c>
      <c r="E4215" t="s">
        <v>21</v>
      </c>
    </row>
    <row r="4216" spans="1:5" hidden="1" outlineLevel="2">
      <c r="A4216" s="3" t="e">
        <f>(HYPERLINK("http://www.autodoc.ru/Web/price/art/4907ASRL1H?analog=on","4907ASRL1H"))*1</f>
        <v>#VALUE!</v>
      </c>
      <c r="B4216" s="1">
        <v>6100613</v>
      </c>
      <c r="C4216" t="s">
        <v>19</v>
      </c>
      <c r="D4216" t="s">
        <v>4422</v>
      </c>
      <c r="E4216" t="s">
        <v>21</v>
      </c>
    </row>
    <row r="4217" spans="1:5" hidden="1" outlineLevel="2">
      <c r="A4217" s="3" t="e">
        <f>(HYPERLINK("http://www.autodoc.ru/Web/price/art/4907FCLL2FD?analog=on","4907FCLL2FD"))*1</f>
        <v>#VALUE!</v>
      </c>
      <c r="B4217" s="1">
        <v>6190226</v>
      </c>
      <c r="C4217" t="s">
        <v>3020</v>
      </c>
      <c r="D4217" t="s">
        <v>4423</v>
      </c>
      <c r="E4217" t="s">
        <v>10</v>
      </c>
    </row>
    <row r="4218" spans="1:5" hidden="1" outlineLevel="2">
      <c r="A4218" s="3" t="e">
        <f>(HYPERLINK("http://www.autodoc.ru/Web/price/art/4907FCLL2FV?analog=on","4907FCLL2FV"))*1</f>
        <v>#VALUE!</v>
      </c>
      <c r="B4218" s="1">
        <v>6190227</v>
      </c>
      <c r="C4218" t="s">
        <v>3020</v>
      </c>
      <c r="D4218" t="s">
        <v>4424</v>
      </c>
      <c r="E4218" t="s">
        <v>10</v>
      </c>
    </row>
    <row r="4219" spans="1:5" hidden="1" outlineLevel="1">
      <c r="A4219" s="2">
        <v>0</v>
      </c>
      <c r="B4219" s="26" t="s">
        <v>4425</v>
      </c>
      <c r="C4219" s="27">
        <v>0</v>
      </c>
      <c r="D4219" s="27">
        <v>0</v>
      </c>
      <c r="E4219" s="27">
        <v>0</v>
      </c>
    </row>
    <row r="4220" spans="1:5" hidden="1" outlineLevel="2">
      <c r="A4220" s="3" t="e">
        <f>(HYPERLINK("http://www.autodoc.ru/Web/price/art/4908ACL?analog=on","4908ACL"))*1</f>
        <v>#VALUE!</v>
      </c>
      <c r="B4220" s="1">
        <v>6963464</v>
      </c>
      <c r="C4220" t="s">
        <v>3020</v>
      </c>
      <c r="D4220" t="s">
        <v>4426</v>
      </c>
      <c r="E4220" t="s">
        <v>8</v>
      </c>
    </row>
    <row r="4221" spans="1:5" hidden="1" outlineLevel="2">
      <c r="A4221" s="3" t="e">
        <f>(HYPERLINK("http://www.autodoc.ru/Web/price/art/4908AGN?analog=on","4908AGN"))*1</f>
        <v>#VALUE!</v>
      </c>
      <c r="B4221" s="1">
        <v>6963465</v>
      </c>
      <c r="C4221" t="s">
        <v>3020</v>
      </c>
      <c r="D4221" t="s">
        <v>4427</v>
      </c>
      <c r="E4221" t="s">
        <v>8</v>
      </c>
    </row>
    <row r="4222" spans="1:5" hidden="1" outlineLevel="2">
      <c r="A4222" s="3" t="e">
        <f>(HYPERLINK("http://www.autodoc.ru/Web/price/art/4908AGNGN?analog=on","4908AGNGN"))*1</f>
        <v>#VALUE!</v>
      </c>
      <c r="B4222" s="1">
        <v>6963221</v>
      </c>
      <c r="C4222" t="s">
        <v>3020</v>
      </c>
      <c r="D4222" t="s">
        <v>4428</v>
      </c>
      <c r="E4222" t="s">
        <v>8</v>
      </c>
    </row>
    <row r="4223" spans="1:5" hidden="1" outlineLevel="2">
      <c r="A4223" s="3" t="e">
        <f>(HYPERLINK("http://www.autodoc.ru/Web/price/art/4908ASRL?analog=on","4908ASRL"))*1</f>
        <v>#VALUE!</v>
      </c>
      <c r="B4223" s="1">
        <v>6101224</v>
      </c>
      <c r="C4223" t="s">
        <v>19</v>
      </c>
      <c r="D4223" t="s">
        <v>4421</v>
      </c>
      <c r="E4223" t="s">
        <v>21</v>
      </c>
    </row>
    <row r="4224" spans="1:5" hidden="1" outlineLevel="2">
      <c r="A4224" s="3" t="e">
        <f>(HYPERLINK("http://www.autodoc.ru/Web/price/art/4908ASRL1H?analog=on","4908ASRL1H"))*1</f>
        <v>#VALUE!</v>
      </c>
      <c r="B4224" s="1">
        <v>6100614</v>
      </c>
      <c r="C4224" t="s">
        <v>19</v>
      </c>
      <c r="D4224" t="s">
        <v>4421</v>
      </c>
      <c r="E4224" t="s">
        <v>21</v>
      </c>
    </row>
    <row r="4225" spans="1:5" hidden="1" outlineLevel="2">
      <c r="A4225" s="3" t="e">
        <f>(HYPERLINK("http://www.autodoc.ru/Web/price/art/4908FCLL2FD?analog=on","4908FCLL2FD"))*1</f>
        <v>#VALUE!</v>
      </c>
      <c r="B4225" s="1">
        <v>6996736</v>
      </c>
      <c r="C4225" t="s">
        <v>3020</v>
      </c>
      <c r="D4225" t="s">
        <v>4423</v>
      </c>
      <c r="E4225" t="s">
        <v>10</v>
      </c>
    </row>
    <row r="4226" spans="1:5" hidden="1" outlineLevel="2">
      <c r="A4226" s="3" t="e">
        <f>(HYPERLINK("http://www.autodoc.ru/Web/price/art/4908FCLL2FV?analog=on","4908FCLL2FV"))*1</f>
        <v>#VALUE!</v>
      </c>
      <c r="B4226" s="1">
        <v>6994185</v>
      </c>
      <c r="C4226" t="s">
        <v>3020</v>
      </c>
      <c r="D4226" t="s">
        <v>4429</v>
      </c>
      <c r="E4226" t="s">
        <v>10</v>
      </c>
    </row>
    <row r="4227" spans="1:5" hidden="1" outlineLevel="1">
      <c r="A4227" s="2">
        <v>0</v>
      </c>
      <c r="B4227" s="26" t="s">
        <v>4430</v>
      </c>
      <c r="C4227" s="27">
        <v>0</v>
      </c>
      <c r="D4227" s="27">
        <v>0</v>
      </c>
      <c r="E4227" s="27">
        <v>0</v>
      </c>
    </row>
    <row r="4228" spans="1:5" hidden="1" outlineLevel="2">
      <c r="A4228" s="3" t="e">
        <f>(HYPERLINK("http://www.autodoc.ru/Web/price/art/4906ACL?analog=on","4906ACL"))*1</f>
        <v>#VALUE!</v>
      </c>
      <c r="B4228" s="1">
        <v>6963557</v>
      </c>
      <c r="C4228" t="s">
        <v>4431</v>
      </c>
      <c r="D4228" t="s">
        <v>4432</v>
      </c>
      <c r="E4228" t="s">
        <v>8</v>
      </c>
    </row>
    <row r="4229" spans="1:5" hidden="1" outlineLevel="1">
      <c r="A4229" s="2">
        <v>0</v>
      </c>
      <c r="B4229" s="26" t="s">
        <v>4433</v>
      </c>
      <c r="C4229" s="27">
        <v>0</v>
      </c>
      <c r="D4229" s="27">
        <v>0</v>
      </c>
      <c r="E4229" s="27">
        <v>0</v>
      </c>
    </row>
    <row r="4230" spans="1:5" hidden="1" outlineLevel="2">
      <c r="A4230" s="3" t="e">
        <f>(HYPERLINK("http://www.autodoc.ru/Web/price/art/4910ACL?analog=on","4910ACL"))*1</f>
        <v>#VALUE!</v>
      </c>
      <c r="B4230" s="1">
        <v>6960023</v>
      </c>
      <c r="C4230" t="s">
        <v>3612</v>
      </c>
      <c r="D4230" t="s">
        <v>4434</v>
      </c>
      <c r="E4230" t="s">
        <v>8</v>
      </c>
    </row>
    <row r="4231" spans="1:5" hidden="1" outlineLevel="1">
      <c r="A4231" s="2">
        <v>0</v>
      </c>
      <c r="B4231" s="26" t="s">
        <v>4435</v>
      </c>
      <c r="C4231" s="27">
        <v>0</v>
      </c>
      <c r="D4231" s="27">
        <v>0</v>
      </c>
      <c r="E4231" s="27">
        <v>0</v>
      </c>
    </row>
    <row r="4232" spans="1:5" hidden="1" outlineLevel="2">
      <c r="A4232" s="3" t="e">
        <f>(HYPERLINK("http://www.autodoc.ru/Web/price/art/4909ACL?analog=on","4909ACL"))*1</f>
        <v>#VALUE!</v>
      </c>
      <c r="B4232" s="1">
        <v>6963466</v>
      </c>
      <c r="C4232" t="s">
        <v>1646</v>
      </c>
      <c r="D4232" t="s">
        <v>4436</v>
      </c>
      <c r="E4232" t="s">
        <v>8</v>
      </c>
    </row>
    <row r="4233" spans="1:5" hidden="1" outlineLevel="2">
      <c r="A4233" s="3" t="e">
        <f>(HYPERLINK("http://www.autodoc.ru/Web/price/art/4909AGN?analog=on","4909AGN"))*1</f>
        <v>#VALUE!</v>
      </c>
      <c r="B4233" s="1">
        <v>6961043</v>
      </c>
      <c r="C4233" t="s">
        <v>1646</v>
      </c>
      <c r="D4233" t="s">
        <v>4437</v>
      </c>
      <c r="E4233" t="s">
        <v>8</v>
      </c>
    </row>
    <row r="4234" spans="1:5" hidden="1" outlineLevel="2">
      <c r="A4234" s="3" t="e">
        <f>(HYPERLINK("http://www.autodoc.ru/Web/price/art/4909AGNGN?analog=on","4909AGNGN"))*1</f>
        <v>#VALUE!</v>
      </c>
      <c r="B4234" s="1">
        <v>6963789</v>
      </c>
      <c r="C4234" t="s">
        <v>1646</v>
      </c>
      <c r="D4234" t="s">
        <v>4438</v>
      </c>
      <c r="E4234" t="s">
        <v>8</v>
      </c>
    </row>
    <row r="4235" spans="1:5" hidden="1" outlineLevel="2">
      <c r="A4235" s="3" t="e">
        <f>(HYPERLINK("http://www.autodoc.ru/Web/price/art/4909ASRL?analog=on","4909ASRL"))*1</f>
        <v>#VALUE!</v>
      </c>
      <c r="B4235" s="1">
        <v>6100111</v>
      </c>
      <c r="C4235" t="s">
        <v>19</v>
      </c>
      <c r="D4235" t="s">
        <v>4439</v>
      </c>
      <c r="E4235" t="s">
        <v>21</v>
      </c>
    </row>
    <row r="4236" spans="1:5" hidden="1" outlineLevel="2">
      <c r="A4236" s="3" t="e">
        <f>(HYPERLINK("http://www.autodoc.ru/Web/price/art/4909LCLL2FD?analog=on","4909LCLL2FD"))*1</f>
        <v>#VALUE!</v>
      </c>
      <c r="B4236" s="1">
        <v>6994122</v>
      </c>
      <c r="C4236" t="s">
        <v>1646</v>
      </c>
      <c r="D4236" t="s">
        <v>4440</v>
      </c>
      <c r="E4236" t="s">
        <v>10</v>
      </c>
    </row>
    <row r="4237" spans="1:5" hidden="1" outlineLevel="2">
      <c r="A4237" s="3" t="e">
        <f>(HYPERLINK("http://www.autodoc.ru/Web/price/art/4909LCLL2FV?analog=on","4909LCLL2FV"))*1</f>
        <v>#VALUE!</v>
      </c>
      <c r="B4237" s="1">
        <v>6994123</v>
      </c>
      <c r="C4237" t="s">
        <v>1646</v>
      </c>
      <c r="D4237" t="s">
        <v>4441</v>
      </c>
      <c r="E4237" t="s">
        <v>10</v>
      </c>
    </row>
    <row r="4238" spans="1:5" hidden="1" outlineLevel="2">
      <c r="A4238" s="3" t="e">
        <f>(HYPERLINK("http://www.autodoc.ru/Web/price/art/4909RCLL2FD?analog=on","4909RCLL2FD"))*1</f>
        <v>#VALUE!</v>
      </c>
      <c r="B4238" s="1">
        <v>6994124</v>
      </c>
      <c r="C4238" t="s">
        <v>1646</v>
      </c>
      <c r="D4238" t="s">
        <v>4442</v>
      </c>
      <c r="E4238" t="s">
        <v>10</v>
      </c>
    </row>
    <row r="4239" spans="1:5" hidden="1" outlineLevel="2">
      <c r="A4239" s="3" t="e">
        <f>(HYPERLINK("http://www.autodoc.ru/Web/price/art/4909RCLL2FV?analog=on","4909RCLL2FV"))*1</f>
        <v>#VALUE!</v>
      </c>
      <c r="B4239" s="1">
        <v>6994125</v>
      </c>
      <c r="C4239" t="s">
        <v>1646</v>
      </c>
      <c r="D4239" t="s">
        <v>4443</v>
      </c>
      <c r="E4239" t="s">
        <v>10</v>
      </c>
    </row>
    <row r="4240" spans="1:5" hidden="1" outlineLevel="1">
      <c r="A4240" s="2">
        <v>0</v>
      </c>
      <c r="B4240" s="26" t="s">
        <v>4444</v>
      </c>
      <c r="C4240" s="27">
        <v>0</v>
      </c>
      <c r="D4240" s="27">
        <v>0</v>
      </c>
      <c r="E4240" s="27">
        <v>0</v>
      </c>
    </row>
    <row r="4241" spans="1:5" hidden="1" outlineLevel="2">
      <c r="A4241" s="3" t="e">
        <f>(HYPERLINK("http://www.autodoc.ru/Web/price/art/4913AGN?analog=on","4913AGN"))*1</f>
        <v>#VALUE!</v>
      </c>
      <c r="B4241" s="1">
        <v>6961072</v>
      </c>
      <c r="C4241" t="s">
        <v>779</v>
      </c>
      <c r="D4241" t="s">
        <v>4445</v>
      </c>
      <c r="E4241" t="s">
        <v>8</v>
      </c>
    </row>
    <row r="4242" spans="1:5" hidden="1" outlineLevel="2">
      <c r="A4242" s="3" t="e">
        <f>(HYPERLINK("http://www.autodoc.ru/Web/price/art/4913AGNGN?analog=on","4913AGNGN"))*1</f>
        <v>#VALUE!</v>
      </c>
      <c r="B4242" s="1">
        <v>6961073</v>
      </c>
      <c r="C4242" t="s">
        <v>779</v>
      </c>
      <c r="D4242" t="s">
        <v>4446</v>
      </c>
      <c r="E4242" t="s">
        <v>8</v>
      </c>
    </row>
    <row r="4243" spans="1:5" hidden="1" outlineLevel="1">
      <c r="A4243" s="2">
        <v>0</v>
      </c>
      <c r="B4243" s="26" t="s">
        <v>4447</v>
      </c>
      <c r="C4243" s="27">
        <v>0</v>
      </c>
      <c r="D4243" s="27">
        <v>0</v>
      </c>
      <c r="E4243" s="27">
        <v>0</v>
      </c>
    </row>
    <row r="4244" spans="1:5" hidden="1" outlineLevel="2">
      <c r="A4244" s="3" t="e">
        <f>(HYPERLINK("http://www.autodoc.ru/Web/price/art/4911ACL?analog=on","4911ACL"))*1</f>
        <v>#VALUE!</v>
      </c>
      <c r="B4244" s="1">
        <v>6961250</v>
      </c>
      <c r="C4244" t="s">
        <v>779</v>
      </c>
      <c r="D4244" t="s">
        <v>4448</v>
      </c>
      <c r="E4244" t="s">
        <v>8</v>
      </c>
    </row>
    <row r="4245" spans="1:5" hidden="1" outlineLevel="2">
      <c r="A4245" s="3" t="e">
        <f>(HYPERLINK("http://www.autodoc.ru/Web/price/art/4911AGN?analog=on","4911AGN"))*1</f>
        <v>#VALUE!</v>
      </c>
      <c r="B4245" s="1">
        <v>6961035</v>
      </c>
      <c r="C4245" t="s">
        <v>779</v>
      </c>
      <c r="D4245" t="s">
        <v>4449</v>
      </c>
      <c r="E4245" t="s">
        <v>8</v>
      </c>
    </row>
    <row r="4246" spans="1:5" hidden="1" outlineLevel="2">
      <c r="A4246" s="3" t="e">
        <f>(HYPERLINK("http://www.autodoc.ru/Web/price/art/4911AGNGN?analog=on","4911AGNGN"))*1</f>
        <v>#VALUE!</v>
      </c>
      <c r="B4246" s="1">
        <v>6961916</v>
      </c>
      <c r="C4246" t="s">
        <v>779</v>
      </c>
      <c r="D4246" t="s">
        <v>4450</v>
      </c>
      <c r="E4246" t="s">
        <v>8</v>
      </c>
    </row>
    <row r="4247" spans="1:5" hidden="1" outlineLevel="2">
      <c r="A4247" s="3" t="e">
        <f>(HYPERLINK("http://www.autodoc.ru/Web/price/art/4911AKMLT?analog=on","4911AKMLT"))*1</f>
        <v>#VALUE!</v>
      </c>
      <c r="B4247" s="1">
        <v>6101110</v>
      </c>
      <c r="C4247" t="s">
        <v>19</v>
      </c>
      <c r="D4247" t="s">
        <v>4451</v>
      </c>
      <c r="E4247" t="s">
        <v>21</v>
      </c>
    </row>
    <row r="4248" spans="1:5" hidden="1" outlineLevel="2">
      <c r="A4248" s="3" t="e">
        <f>(HYPERLINK("http://www.autodoc.ru/Web/price/art/4912ACL?analog=on","4912ACL"))*1</f>
        <v>#VALUE!</v>
      </c>
      <c r="B4248" s="1">
        <v>6961104</v>
      </c>
      <c r="C4248" t="s">
        <v>779</v>
      </c>
      <c r="D4248" t="s">
        <v>4452</v>
      </c>
      <c r="E4248" t="s">
        <v>8</v>
      </c>
    </row>
    <row r="4249" spans="1:5" hidden="1" outlineLevel="2">
      <c r="A4249" s="3" t="e">
        <f>(HYPERLINK("http://www.autodoc.ru/Web/price/art/4912AGN?analog=on","4912AGN"))*1</f>
        <v>#VALUE!</v>
      </c>
      <c r="B4249" s="1">
        <v>6961070</v>
      </c>
      <c r="C4249" t="s">
        <v>779</v>
      </c>
      <c r="D4249" t="s">
        <v>4453</v>
      </c>
      <c r="E4249" t="s">
        <v>8</v>
      </c>
    </row>
    <row r="4250" spans="1:5" hidden="1" outlineLevel="2">
      <c r="A4250" s="3" t="e">
        <f>(HYPERLINK("http://www.autodoc.ru/Web/price/art/4912AGNGN?analog=on","4912AGNGN"))*1</f>
        <v>#VALUE!</v>
      </c>
      <c r="B4250" s="1">
        <v>6961071</v>
      </c>
      <c r="C4250" t="s">
        <v>779</v>
      </c>
      <c r="D4250" t="s">
        <v>4454</v>
      </c>
      <c r="E4250" t="s">
        <v>8</v>
      </c>
    </row>
    <row r="4251" spans="1:5" hidden="1" outlineLevel="2">
      <c r="A4251" s="3" t="e">
        <f>(HYPERLINK("http://www.autodoc.ru/Web/price/art/4911LCLL2FD?analog=on","4911LCLL2FD"))*1</f>
        <v>#VALUE!</v>
      </c>
      <c r="B4251" s="1">
        <v>6999974</v>
      </c>
      <c r="C4251" t="s">
        <v>779</v>
      </c>
      <c r="D4251" t="s">
        <v>4455</v>
      </c>
      <c r="E4251" t="s">
        <v>10</v>
      </c>
    </row>
    <row r="4252" spans="1:5" hidden="1" outlineLevel="2">
      <c r="A4252" s="3" t="e">
        <f>(HYPERLINK("http://www.autodoc.ru/Web/price/art/4911LGNL2FD?analog=on","4911LGNL2FD"))*1</f>
        <v>#VALUE!</v>
      </c>
      <c r="B4252" s="1">
        <v>6999975</v>
      </c>
      <c r="C4252" t="s">
        <v>779</v>
      </c>
      <c r="D4252" t="s">
        <v>4456</v>
      </c>
      <c r="E4252" t="s">
        <v>10</v>
      </c>
    </row>
    <row r="4253" spans="1:5" hidden="1" outlineLevel="2">
      <c r="A4253" s="3" t="e">
        <f>(HYPERLINK("http://www.autodoc.ru/Web/price/art/4911RCLL2FD?analog=on","4911RCLL2FD"))*1</f>
        <v>#VALUE!</v>
      </c>
      <c r="B4253" s="1">
        <v>6900062</v>
      </c>
      <c r="C4253" t="s">
        <v>779</v>
      </c>
      <c r="D4253" t="s">
        <v>4457</v>
      </c>
      <c r="E4253" t="s">
        <v>10</v>
      </c>
    </row>
    <row r="4254" spans="1:5" hidden="1" outlineLevel="2">
      <c r="A4254" s="3" t="e">
        <f>(HYPERLINK("http://www.autodoc.ru/Web/price/art/4911RGNL2FD?analog=on","4911RGNL2FD"))*1</f>
        <v>#VALUE!</v>
      </c>
      <c r="B4254" s="1">
        <v>6900063</v>
      </c>
      <c r="C4254" t="s">
        <v>779</v>
      </c>
      <c r="D4254" t="s">
        <v>4458</v>
      </c>
      <c r="E4254" t="s">
        <v>10</v>
      </c>
    </row>
    <row r="4255" spans="1:5" collapsed="1">
      <c r="A4255" s="28" t="s">
        <v>4459</v>
      </c>
      <c r="B4255" s="28">
        <v>0</v>
      </c>
      <c r="C4255" s="28">
        <v>0</v>
      </c>
      <c r="D4255" s="28">
        <v>0</v>
      </c>
      <c r="E4255" s="28">
        <v>0</v>
      </c>
    </row>
    <row r="4256" spans="1:5" hidden="1" outlineLevel="1">
      <c r="A4256" s="2">
        <v>0</v>
      </c>
      <c r="B4256" s="26" t="s">
        <v>4460</v>
      </c>
      <c r="C4256" s="27">
        <v>0</v>
      </c>
      <c r="D4256" s="27">
        <v>0</v>
      </c>
      <c r="E4256" s="27">
        <v>0</v>
      </c>
    </row>
    <row r="4257" spans="1:5" hidden="1" outlineLevel="2">
      <c r="A4257" s="3" t="e">
        <f>(HYPERLINK("http://www.autodoc.ru/Web/price/art/9302ACL?analog=on","9302ACL"))*1</f>
        <v>#VALUE!</v>
      </c>
      <c r="B4257" s="1">
        <v>6190516</v>
      </c>
      <c r="C4257" t="s">
        <v>4461</v>
      </c>
      <c r="D4257" t="s">
        <v>4462</v>
      </c>
      <c r="E4257" t="s">
        <v>8</v>
      </c>
    </row>
    <row r="4258" spans="1:5" collapsed="1">
      <c r="A4258" s="28" t="s">
        <v>4463</v>
      </c>
      <c r="B4258" s="28">
        <v>0</v>
      </c>
      <c r="C4258" s="28">
        <v>0</v>
      </c>
      <c r="D4258" s="28">
        <v>0</v>
      </c>
      <c r="E4258" s="28">
        <v>0</v>
      </c>
    </row>
    <row r="4259" spans="1:5" hidden="1" outlineLevel="1">
      <c r="A4259" s="2">
        <v>0</v>
      </c>
      <c r="B4259" s="26" t="s">
        <v>4464</v>
      </c>
      <c r="C4259" s="27">
        <v>0</v>
      </c>
      <c r="D4259" s="27">
        <v>0</v>
      </c>
      <c r="E4259" s="27">
        <v>0</v>
      </c>
    </row>
    <row r="4260" spans="1:5" hidden="1" outlineLevel="2">
      <c r="A4260" s="3" t="e">
        <f>(HYPERLINK("http://www.autodoc.ru/Web/price/art/5165AGNBLW?analog=on","5165AGNBLW"))*1</f>
        <v>#VALUE!</v>
      </c>
      <c r="B4260" s="1">
        <v>6961996</v>
      </c>
      <c r="C4260" t="s">
        <v>896</v>
      </c>
      <c r="D4260" t="s">
        <v>4465</v>
      </c>
      <c r="E4260" t="s">
        <v>8</v>
      </c>
    </row>
    <row r="4261" spans="1:5" hidden="1" outlineLevel="2">
      <c r="A4261" s="3" t="e">
        <f>(HYPERLINK("http://www.autodoc.ru/Web/price/art/5165AGNVW?analog=on","5165AGNVW"))*1</f>
        <v>#VALUE!</v>
      </c>
      <c r="B4261" s="1">
        <v>6962249</v>
      </c>
      <c r="C4261" t="s">
        <v>896</v>
      </c>
      <c r="D4261" t="s">
        <v>4466</v>
      </c>
      <c r="E4261" t="s">
        <v>8</v>
      </c>
    </row>
    <row r="4262" spans="1:5" hidden="1" outlineLevel="2">
      <c r="A4262" s="3" t="e">
        <f>(HYPERLINK("http://www.autodoc.ru/Web/price/art/5165AGNW?analog=on","5165AGNW"))*1</f>
        <v>#VALUE!</v>
      </c>
      <c r="B4262" s="1">
        <v>6961095</v>
      </c>
      <c r="C4262" t="s">
        <v>896</v>
      </c>
      <c r="D4262" t="s">
        <v>4467</v>
      </c>
      <c r="E4262" t="s">
        <v>8</v>
      </c>
    </row>
    <row r="4263" spans="1:5" hidden="1" outlineLevel="2">
      <c r="A4263" s="3" t="e">
        <f>(HYPERLINK("http://www.autodoc.ru/Web/price/art/5165ASMH?analog=on","5165ASMH"))*1</f>
        <v>#VALUE!</v>
      </c>
      <c r="B4263" s="1">
        <v>6102346</v>
      </c>
      <c r="C4263" t="s">
        <v>19</v>
      </c>
      <c r="D4263" t="s">
        <v>4468</v>
      </c>
      <c r="E4263" t="s">
        <v>21</v>
      </c>
    </row>
    <row r="4264" spans="1:5" hidden="1" outlineLevel="2">
      <c r="A4264" s="3" t="e">
        <f>(HYPERLINK("http://www.autodoc.ru/Web/price/art/5165ASMV?analog=on","5165ASMV"))*1</f>
        <v>#VALUE!</v>
      </c>
      <c r="B4264" s="1">
        <v>6102100</v>
      </c>
      <c r="C4264" t="s">
        <v>19</v>
      </c>
      <c r="D4264" t="s">
        <v>4469</v>
      </c>
      <c r="E4264" t="s">
        <v>21</v>
      </c>
    </row>
    <row r="4265" spans="1:5" hidden="1" outlineLevel="2">
      <c r="A4265" s="3" t="e">
        <f>(HYPERLINK("http://www.autodoc.ru/Web/price/art/5165BGNVW?analog=on","5165BGNVW"))*1</f>
        <v>#VALUE!</v>
      </c>
      <c r="B4265" s="1">
        <v>6993974</v>
      </c>
      <c r="C4265" t="s">
        <v>896</v>
      </c>
      <c r="D4265" t="s">
        <v>4470</v>
      </c>
      <c r="E4265" t="s">
        <v>23</v>
      </c>
    </row>
    <row r="4266" spans="1:5" hidden="1" outlineLevel="2">
      <c r="A4266" s="3" t="e">
        <f>(HYPERLINK("http://www.autodoc.ru/Web/price/art/5165LGNV5FD?analog=on","5165LGNV5FD"))*1</f>
        <v>#VALUE!</v>
      </c>
      <c r="B4266" s="1">
        <v>6995904</v>
      </c>
      <c r="C4266" t="s">
        <v>896</v>
      </c>
      <c r="D4266" t="s">
        <v>4471</v>
      </c>
      <c r="E4266" t="s">
        <v>10</v>
      </c>
    </row>
    <row r="4267" spans="1:5" hidden="1" outlineLevel="2">
      <c r="A4267" s="3" t="e">
        <f>(HYPERLINK("http://www.autodoc.ru/Web/price/art/5165LGNV5RD?analog=on","5165LGNV5RD"))*1</f>
        <v>#VALUE!</v>
      </c>
      <c r="B4267" s="1">
        <v>6900173</v>
      </c>
      <c r="C4267" t="s">
        <v>896</v>
      </c>
      <c r="D4267" t="s">
        <v>4472</v>
      </c>
      <c r="E4267" t="s">
        <v>10</v>
      </c>
    </row>
    <row r="4268" spans="1:5" hidden="1" outlineLevel="2">
      <c r="A4268" s="3" t="e">
        <f>(HYPERLINK("http://www.autodoc.ru/Web/price/art/5165LGNV5RV?analog=on","5165LGNV5RV"))*1</f>
        <v>#VALUE!</v>
      </c>
      <c r="B4268" s="1">
        <v>6997020</v>
      </c>
      <c r="C4268" t="s">
        <v>896</v>
      </c>
      <c r="D4268" t="s">
        <v>4473</v>
      </c>
      <c r="E4268" t="s">
        <v>10</v>
      </c>
    </row>
    <row r="4269" spans="1:5" hidden="1" outlineLevel="2">
      <c r="A4269" s="3" t="e">
        <f>(HYPERLINK("http://www.autodoc.ru/Web/price/art/5165RGNV5FD?analog=on","5165RGNV5FD"))*1</f>
        <v>#VALUE!</v>
      </c>
      <c r="B4269" s="1">
        <v>6995905</v>
      </c>
      <c r="C4269" t="s">
        <v>896</v>
      </c>
      <c r="D4269" t="s">
        <v>4474</v>
      </c>
      <c r="E4269" t="s">
        <v>10</v>
      </c>
    </row>
    <row r="4270" spans="1:5" hidden="1" outlineLevel="2">
      <c r="A4270" s="3" t="e">
        <f>(HYPERLINK("http://www.autodoc.ru/Web/price/art/5165RGNV5RD?analog=on","5165RGNV5RD"))*1</f>
        <v>#VALUE!</v>
      </c>
      <c r="B4270" s="1">
        <v>6900255</v>
      </c>
      <c r="C4270" t="s">
        <v>896</v>
      </c>
      <c r="D4270" t="s">
        <v>4475</v>
      </c>
      <c r="E4270" t="s">
        <v>10</v>
      </c>
    </row>
    <row r="4271" spans="1:5" hidden="1" outlineLevel="2">
      <c r="A4271" s="3" t="e">
        <f>(HYPERLINK("http://www.autodoc.ru/Web/price/art/5165RGNV5RV?analog=on","5165RGNV5RV"))*1</f>
        <v>#VALUE!</v>
      </c>
      <c r="B4271" s="1">
        <v>6997021</v>
      </c>
      <c r="C4271" t="s">
        <v>896</v>
      </c>
      <c r="D4271" t="s">
        <v>4476</v>
      </c>
      <c r="E4271" t="s">
        <v>10</v>
      </c>
    </row>
    <row r="4272" spans="1:5" hidden="1" outlineLevel="1">
      <c r="A4272" s="2">
        <v>0</v>
      </c>
      <c r="B4272" s="26" t="s">
        <v>4477</v>
      </c>
      <c r="C4272" s="27">
        <v>0</v>
      </c>
      <c r="D4272" s="27">
        <v>0</v>
      </c>
      <c r="E4272" s="27">
        <v>0</v>
      </c>
    </row>
    <row r="4273" spans="1:5" hidden="1" outlineLevel="2">
      <c r="A4273" s="3" t="e">
        <f>(HYPERLINK("http://www.autodoc.ru/Web/price/art/5173AGNW?analog=on","5173AGNW"))*1</f>
        <v>#VALUE!</v>
      </c>
      <c r="B4273" s="1">
        <v>6962816</v>
      </c>
      <c r="C4273" t="s">
        <v>290</v>
      </c>
      <c r="D4273" t="s">
        <v>4478</v>
      </c>
      <c r="E4273" t="s">
        <v>8</v>
      </c>
    </row>
    <row r="4274" spans="1:5" hidden="1" outlineLevel="2">
      <c r="A4274" s="3" t="e">
        <f>(HYPERLINK("http://www.autodoc.ru/Web/price/art/5173LGNH5FD?analog=on","5173LGNH5FD"))*1</f>
        <v>#VALUE!</v>
      </c>
      <c r="B4274" s="1">
        <v>6900826</v>
      </c>
      <c r="C4274" t="s">
        <v>290</v>
      </c>
      <c r="D4274" t="s">
        <v>4479</v>
      </c>
      <c r="E4274" t="s">
        <v>10</v>
      </c>
    </row>
    <row r="4275" spans="1:5" hidden="1" outlineLevel="2">
      <c r="A4275" s="3" t="e">
        <f>(HYPERLINK("http://www.autodoc.ru/Web/price/art/5173LGNH5RD?analog=on","5173LGNH5RD"))*1</f>
        <v>#VALUE!</v>
      </c>
      <c r="B4275" s="1">
        <v>6900827</v>
      </c>
      <c r="C4275" t="s">
        <v>290</v>
      </c>
      <c r="D4275" t="s">
        <v>4480</v>
      </c>
      <c r="E4275" t="s">
        <v>10</v>
      </c>
    </row>
    <row r="4276" spans="1:5" hidden="1" outlineLevel="2">
      <c r="A4276" s="3" t="e">
        <f>(HYPERLINK("http://www.autodoc.ru/Web/price/art/5173RGNH5FD?analog=on","5173RGNH5FD"))*1</f>
        <v>#VALUE!</v>
      </c>
      <c r="B4276" s="1">
        <v>6900790</v>
      </c>
      <c r="C4276" t="s">
        <v>290</v>
      </c>
      <c r="D4276" t="s">
        <v>4481</v>
      </c>
      <c r="E4276" t="s">
        <v>10</v>
      </c>
    </row>
    <row r="4277" spans="1:5" hidden="1" outlineLevel="2">
      <c r="A4277" s="3" t="e">
        <f>(HYPERLINK("http://www.autodoc.ru/Web/price/art/5173RGNH5RD?analog=on","5173RGNH5RD"))*1</f>
        <v>#VALUE!</v>
      </c>
      <c r="B4277" s="1">
        <v>6900828</v>
      </c>
      <c r="C4277" t="s">
        <v>290</v>
      </c>
      <c r="D4277" t="s">
        <v>4482</v>
      </c>
      <c r="E4277" t="s">
        <v>10</v>
      </c>
    </row>
    <row r="4278" spans="1:5" hidden="1" outlineLevel="1">
      <c r="A4278" s="2">
        <v>0</v>
      </c>
      <c r="B4278" s="26" t="s">
        <v>4483</v>
      </c>
      <c r="C4278" s="27">
        <v>0</v>
      </c>
      <c r="D4278" s="27">
        <v>0</v>
      </c>
      <c r="E4278" s="27">
        <v>0</v>
      </c>
    </row>
    <row r="4279" spans="1:5" hidden="1" outlineLevel="2">
      <c r="A4279" s="3" t="e">
        <f>(HYPERLINK("http://www.autodoc.ru/Web/price/art/5166AGNW?analog=on","5166AGNW"))*1</f>
        <v>#VALUE!</v>
      </c>
      <c r="B4279" s="1">
        <v>6961023</v>
      </c>
      <c r="C4279" t="s">
        <v>879</v>
      </c>
      <c r="D4279" t="s">
        <v>4484</v>
      </c>
      <c r="E4279" t="s">
        <v>8</v>
      </c>
    </row>
    <row r="4280" spans="1:5" hidden="1" outlineLevel="2">
      <c r="A4280" s="3" t="e">
        <f>(HYPERLINK("http://www.autodoc.ru/Web/price/art/5166AGNBLW?analog=on","5166AGNBLW"))*1</f>
        <v>#VALUE!</v>
      </c>
      <c r="B4280" s="1">
        <v>6961997</v>
      </c>
      <c r="C4280" t="s">
        <v>879</v>
      </c>
      <c r="D4280" t="s">
        <v>4485</v>
      </c>
      <c r="E4280" t="s">
        <v>8</v>
      </c>
    </row>
    <row r="4281" spans="1:5" hidden="1" outlineLevel="2">
      <c r="A4281" s="3" t="e">
        <f>(HYPERLINK("http://www.autodoc.ru/Web/price/art/5166AGNW2B?analog=on","5166AGNW2B"))*1</f>
        <v>#VALUE!</v>
      </c>
      <c r="B4281" s="1">
        <v>6964856</v>
      </c>
      <c r="C4281" t="s">
        <v>3341</v>
      </c>
      <c r="D4281" t="s">
        <v>4486</v>
      </c>
      <c r="E4281" t="s">
        <v>8</v>
      </c>
    </row>
    <row r="4282" spans="1:5" hidden="1" outlineLevel="2">
      <c r="A4282" s="3" t="e">
        <f>(HYPERLINK("http://www.autodoc.ru/Web/price/art/5166AGNBLW2B?analog=on","5166AGNBLW2B"))*1</f>
        <v>#VALUE!</v>
      </c>
      <c r="B4282" s="1">
        <v>6964844</v>
      </c>
      <c r="C4282" t="s">
        <v>3341</v>
      </c>
      <c r="D4282" t="s">
        <v>4487</v>
      </c>
      <c r="E4282" t="s">
        <v>8</v>
      </c>
    </row>
    <row r="4283" spans="1:5" hidden="1" outlineLevel="2">
      <c r="A4283" s="3" t="e">
        <f>(HYPERLINK("http://www.autodoc.ru/Web/price/art/5166AGNM1B?analog=on","5166AGNM1B"))*1</f>
        <v>#VALUE!</v>
      </c>
      <c r="B4283" s="1">
        <v>6962271</v>
      </c>
      <c r="C4283" t="s">
        <v>1309</v>
      </c>
      <c r="D4283" t="s">
        <v>4488</v>
      </c>
      <c r="E4283" t="s">
        <v>8</v>
      </c>
    </row>
    <row r="4284" spans="1:5" hidden="1" outlineLevel="2">
      <c r="A4284" s="3" t="e">
        <f>(HYPERLINK("http://www.autodoc.ru/Web/price/art/5166AGNMW1B?analog=on","5166AGNMW1B"))*1</f>
        <v>#VALUE!</v>
      </c>
      <c r="B4284" s="1">
        <v>6961251</v>
      </c>
      <c r="C4284" t="s">
        <v>1309</v>
      </c>
      <c r="D4284" t="s">
        <v>4489</v>
      </c>
      <c r="E4284" t="s">
        <v>8</v>
      </c>
    </row>
    <row r="4285" spans="1:5" hidden="1" outlineLevel="2">
      <c r="A4285" s="3" t="e">
        <f>(HYPERLINK("http://www.autodoc.ru/Web/price/art/5166AGNMW3B?analog=on","5166AGNMW3B"))*1</f>
        <v>#VALUE!</v>
      </c>
      <c r="B4285" s="1">
        <v>6962640</v>
      </c>
      <c r="C4285" t="s">
        <v>3341</v>
      </c>
      <c r="D4285" t="s">
        <v>4490</v>
      </c>
      <c r="E4285" t="s">
        <v>8</v>
      </c>
    </row>
    <row r="4286" spans="1:5" hidden="1" outlineLevel="2">
      <c r="A4286" s="3" t="e">
        <f>(HYPERLINK("http://www.autodoc.ru/Web/price/art/5166AGNW1V?analog=on","5166AGNW1V"))*1</f>
        <v>#VALUE!</v>
      </c>
      <c r="B4286" s="1">
        <v>6962247</v>
      </c>
      <c r="C4286" t="s">
        <v>3341</v>
      </c>
      <c r="D4286" t="s">
        <v>4491</v>
      </c>
      <c r="E4286" t="s">
        <v>8</v>
      </c>
    </row>
    <row r="4287" spans="1:5" hidden="1" outlineLevel="2">
      <c r="A4287" s="3" t="e">
        <f>(HYPERLINK("http://www.autodoc.ru/Web/price/art/5166ASMH?analog=on","5166ASMH"))*1</f>
        <v>#VALUE!</v>
      </c>
      <c r="B4287" s="1">
        <v>6101651</v>
      </c>
      <c r="C4287" t="s">
        <v>19</v>
      </c>
      <c r="D4287" t="s">
        <v>4492</v>
      </c>
      <c r="E4287" t="s">
        <v>21</v>
      </c>
    </row>
    <row r="4288" spans="1:5" hidden="1" outlineLevel="2">
      <c r="A4288" s="3" t="e">
        <f>(HYPERLINK("http://www.autodoc.ru/Web/price/art/5166BGNH?analog=on","5166BGNH"))*1</f>
        <v>#VALUE!</v>
      </c>
      <c r="B4288" s="1">
        <v>6999906</v>
      </c>
      <c r="C4288" t="s">
        <v>1309</v>
      </c>
      <c r="D4288" t="s">
        <v>4493</v>
      </c>
      <c r="E4288" t="s">
        <v>23</v>
      </c>
    </row>
    <row r="4289" spans="1:5" hidden="1" outlineLevel="2">
      <c r="A4289" s="3" t="e">
        <f>(HYPERLINK("http://www.autodoc.ru/Web/price/art/5166BGNSW?analog=on","5166BGNSW"))*1</f>
        <v>#VALUE!</v>
      </c>
      <c r="B4289" s="1">
        <v>6993659</v>
      </c>
      <c r="C4289" t="s">
        <v>1309</v>
      </c>
      <c r="D4289" t="s">
        <v>4494</v>
      </c>
      <c r="E4289" t="s">
        <v>23</v>
      </c>
    </row>
    <row r="4290" spans="1:5" hidden="1" outlineLevel="2">
      <c r="A4290" s="3" t="e">
        <f>(HYPERLINK("http://www.autodoc.ru/Web/price/art/5166LGNH5FD?analog=on","5166LGNH5FD"))*1</f>
        <v>#VALUE!</v>
      </c>
      <c r="B4290" s="1">
        <v>6993660</v>
      </c>
      <c r="C4290" t="s">
        <v>1309</v>
      </c>
      <c r="D4290" t="s">
        <v>4495</v>
      </c>
      <c r="E4290" t="s">
        <v>10</v>
      </c>
    </row>
    <row r="4291" spans="1:5" hidden="1" outlineLevel="2">
      <c r="A4291" s="3" t="e">
        <f>(HYPERLINK("http://www.autodoc.ru/Web/price/art/5166LGNH5RD?analog=on","5166LGNH5RD"))*1</f>
        <v>#VALUE!</v>
      </c>
      <c r="B4291" s="1">
        <v>6999069</v>
      </c>
      <c r="C4291" t="s">
        <v>1309</v>
      </c>
      <c r="D4291" t="s">
        <v>4496</v>
      </c>
      <c r="E4291" t="s">
        <v>10</v>
      </c>
    </row>
    <row r="4292" spans="1:5" hidden="1" outlineLevel="2">
      <c r="A4292" s="3" t="e">
        <f>(HYPERLINK("http://www.autodoc.ru/Web/price/art/5166LGNH5RQZ?analog=on","5166LGNH5RQZ"))*1</f>
        <v>#VALUE!</v>
      </c>
      <c r="B4292" s="1">
        <v>6900336</v>
      </c>
      <c r="C4292" t="s">
        <v>1309</v>
      </c>
      <c r="D4292" t="s">
        <v>4497</v>
      </c>
      <c r="E4292" t="s">
        <v>10</v>
      </c>
    </row>
    <row r="4293" spans="1:5" hidden="1" outlineLevel="2">
      <c r="A4293" s="3" t="e">
        <f>(HYPERLINK("http://www.autodoc.ru/Web/price/art/5166LGNS4RD?analog=on","5166LGNS4RD"))*1</f>
        <v>#VALUE!</v>
      </c>
      <c r="B4293" s="1">
        <v>6993661</v>
      </c>
      <c r="C4293" t="s">
        <v>1309</v>
      </c>
      <c r="D4293" t="s">
        <v>4498</v>
      </c>
      <c r="E4293" t="s">
        <v>10</v>
      </c>
    </row>
    <row r="4294" spans="1:5" hidden="1" outlineLevel="2">
      <c r="A4294" s="3" t="e">
        <f>(HYPERLINK("http://www.autodoc.ru/Web/price/art/5166LGNS4RV?analog=on","5166LGNS4RV"))*1</f>
        <v>#VALUE!</v>
      </c>
      <c r="B4294" s="1">
        <v>6993662</v>
      </c>
      <c r="C4294" t="s">
        <v>1309</v>
      </c>
      <c r="D4294" t="s">
        <v>4499</v>
      </c>
      <c r="E4294" t="s">
        <v>10</v>
      </c>
    </row>
    <row r="4295" spans="1:5" hidden="1" outlineLevel="2">
      <c r="A4295" s="3" t="e">
        <f>(HYPERLINK("http://www.autodoc.ru/Web/price/art/5166RGNH5FD?analog=on","5166RGNH5FD"))*1</f>
        <v>#VALUE!</v>
      </c>
      <c r="B4295" s="1">
        <v>6993663</v>
      </c>
      <c r="C4295" t="s">
        <v>1309</v>
      </c>
      <c r="D4295" t="s">
        <v>4500</v>
      </c>
      <c r="E4295" t="s">
        <v>10</v>
      </c>
    </row>
    <row r="4296" spans="1:5" hidden="1" outlineLevel="2">
      <c r="A4296" s="3" t="e">
        <f>(HYPERLINK("http://www.autodoc.ru/Web/price/art/5166RGNH5RD?analog=on","5166RGNH5RD"))*1</f>
        <v>#VALUE!</v>
      </c>
      <c r="B4296" s="1">
        <v>6999070</v>
      </c>
      <c r="C4296" t="s">
        <v>1309</v>
      </c>
      <c r="D4296" t="s">
        <v>4501</v>
      </c>
      <c r="E4296" t="s">
        <v>10</v>
      </c>
    </row>
    <row r="4297" spans="1:5" hidden="1" outlineLevel="2">
      <c r="A4297" s="3" t="e">
        <f>(HYPERLINK("http://www.autodoc.ru/Web/price/art/5166RGNH5RQZ?analog=on","5166RGNH5RQZ"))*1</f>
        <v>#VALUE!</v>
      </c>
      <c r="B4297" s="1">
        <v>6900350</v>
      </c>
      <c r="C4297" t="s">
        <v>1309</v>
      </c>
      <c r="D4297" t="s">
        <v>4502</v>
      </c>
      <c r="E4297" t="s">
        <v>10</v>
      </c>
    </row>
    <row r="4298" spans="1:5" hidden="1" outlineLevel="2">
      <c r="A4298" s="3" t="e">
        <f>(HYPERLINK("http://www.autodoc.ru/Web/price/art/5166RGNS4RD?analog=on","5166RGNS4RD"))*1</f>
        <v>#VALUE!</v>
      </c>
      <c r="B4298" s="1">
        <v>6993664</v>
      </c>
      <c r="C4298" t="s">
        <v>1309</v>
      </c>
      <c r="D4298" t="s">
        <v>4503</v>
      </c>
      <c r="E4298" t="s">
        <v>10</v>
      </c>
    </row>
    <row r="4299" spans="1:5" hidden="1" outlineLevel="2">
      <c r="A4299" s="3" t="e">
        <f>(HYPERLINK("http://www.autodoc.ru/Web/price/art/5166RGNS4RV?analog=on","5166RGNS4RV"))*1</f>
        <v>#VALUE!</v>
      </c>
      <c r="B4299" s="1">
        <v>6993665</v>
      </c>
      <c r="C4299" t="s">
        <v>1309</v>
      </c>
      <c r="D4299" t="s">
        <v>4504</v>
      </c>
      <c r="E4299" t="s">
        <v>10</v>
      </c>
    </row>
    <row r="4300" spans="1:5" hidden="1" outlineLevel="1">
      <c r="A4300" s="2">
        <v>0</v>
      </c>
      <c r="B4300" s="26" t="s">
        <v>4505</v>
      </c>
      <c r="C4300" s="27">
        <v>0</v>
      </c>
      <c r="D4300" s="27">
        <v>0</v>
      </c>
      <c r="E4300" s="27">
        <v>0</v>
      </c>
    </row>
    <row r="4301" spans="1:5" hidden="1" outlineLevel="2">
      <c r="A4301" s="3" t="e">
        <f>(HYPERLINK("http://www.autodoc.ru/Web/price/art/5175AGNW?analog=on","5175AGNW"))*1</f>
        <v>#VALUE!</v>
      </c>
      <c r="B4301" s="1">
        <v>6964952</v>
      </c>
      <c r="C4301" t="s">
        <v>211</v>
      </c>
      <c r="D4301" t="s">
        <v>4506</v>
      </c>
      <c r="E4301" t="s">
        <v>8</v>
      </c>
    </row>
    <row r="4302" spans="1:5" hidden="1" outlineLevel="2">
      <c r="A4302" s="3" t="e">
        <f>(HYPERLINK("http://www.autodoc.ru/Web/price/art/5175AGNMW1B?analog=on","5175AGNMW1B"))*1</f>
        <v>#VALUE!</v>
      </c>
      <c r="B4302" s="1">
        <v>6964909</v>
      </c>
      <c r="C4302" t="s">
        <v>211</v>
      </c>
      <c r="D4302" t="s">
        <v>4507</v>
      </c>
      <c r="E4302" t="s">
        <v>8</v>
      </c>
    </row>
    <row r="4303" spans="1:5" hidden="1" outlineLevel="2">
      <c r="A4303" s="3" t="e">
        <f>(HYPERLINK("http://www.autodoc.ru/Web/price/art/5175LGNH5FD?analog=on","5175LGNH5FD"))*1</f>
        <v>#VALUE!</v>
      </c>
      <c r="B4303" s="1">
        <v>6901444</v>
      </c>
      <c r="C4303" t="s">
        <v>211</v>
      </c>
      <c r="D4303" t="s">
        <v>4508</v>
      </c>
      <c r="E4303" t="s">
        <v>10</v>
      </c>
    </row>
    <row r="4304" spans="1:5" hidden="1" outlineLevel="2">
      <c r="A4304" s="3" t="e">
        <f>(HYPERLINK("http://www.autodoc.ru/Web/price/art/5175LGNH5RD?analog=on","5175LGNH5RD"))*1</f>
        <v>#VALUE!</v>
      </c>
      <c r="B4304" s="1">
        <v>6901266</v>
      </c>
      <c r="C4304" t="s">
        <v>211</v>
      </c>
      <c r="D4304" t="s">
        <v>4509</v>
      </c>
      <c r="E4304" t="s">
        <v>10</v>
      </c>
    </row>
    <row r="4305" spans="1:5" hidden="1" outlineLevel="2">
      <c r="A4305" s="3" t="e">
        <f>(HYPERLINK("http://www.autodoc.ru/Web/price/art/5175LGNH5RV?analog=on","5175LGNH5RV"))*1</f>
        <v>#VALUE!</v>
      </c>
      <c r="B4305" s="1">
        <v>6901554</v>
      </c>
      <c r="C4305" t="s">
        <v>211</v>
      </c>
      <c r="D4305" t="s">
        <v>4510</v>
      </c>
      <c r="E4305" t="s">
        <v>10</v>
      </c>
    </row>
    <row r="4306" spans="1:5" hidden="1" outlineLevel="2">
      <c r="A4306" s="3" t="e">
        <f>(HYPERLINK("http://www.autodoc.ru/Web/price/art/5175LGNS4RD?analog=on","5175LGNS4RD"))*1</f>
        <v>#VALUE!</v>
      </c>
      <c r="B4306" s="1">
        <v>6901270</v>
      </c>
      <c r="C4306" t="s">
        <v>211</v>
      </c>
      <c r="D4306" t="s">
        <v>4511</v>
      </c>
      <c r="E4306" t="s">
        <v>10</v>
      </c>
    </row>
    <row r="4307" spans="1:5" hidden="1" outlineLevel="2">
      <c r="A4307" s="3" t="e">
        <f>(HYPERLINK("http://www.autodoc.ru/Web/price/art/5175LGNS4RV?analog=on","5175LGNS4RV"))*1</f>
        <v>#VALUE!</v>
      </c>
      <c r="B4307" s="1">
        <v>6901274</v>
      </c>
      <c r="C4307" t="s">
        <v>211</v>
      </c>
      <c r="D4307" t="s">
        <v>4512</v>
      </c>
      <c r="E4307" t="s">
        <v>10</v>
      </c>
    </row>
    <row r="4308" spans="1:5" hidden="1" outlineLevel="2">
      <c r="A4308" s="3" t="e">
        <f>(HYPERLINK("http://www.autodoc.ru/Web/price/art/5175LYPH5RD?analog=on","5175LYPH5RD"))*1</f>
        <v>#VALUE!</v>
      </c>
      <c r="B4308" s="1">
        <v>6901268</v>
      </c>
      <c r="C4308" t="s">
        <v>211</v>
      </c>
      <c r="D4308" t="s">
        <v>4513</v>
      </c>
      <c r="E4308" t="s">
        <v>10</v>
      </c>
    </row>
    <row r="4309" spans="1:5" hidden="1" outlineLevel="2">
      <c r="A4309" s="3" t="e">
        <f>(HYPERLINK("http://www.autodoc.ru/Web/price/art/5175LYPH5RV?analog=on","5175LYPH5RV"))*1</f>
        <v>#VALUE!</v>
      </c>
      <c r="B4309" s="1">
        <v>6901556</v>
      </c>
      <c r="C4309" t="s">
        <v>211</v>
      </c>
      <c r="D4309" t="s">
        <v>4514</v>
      </c>
      <c r="E4309" t="s">
        <v>10</v>
      </c>
    </row>
    <row r="4310" spans="1:5" hidden="1" outlineLevel="2">
      <c r="A4310" s="3" t="e">
        <f>(HYPERLINK("http://www.autodoc.ru/Web/price/art/5175LYPS4RD?analog=on","5175LYPS4RD"))*1</f>
        <v>#VALUE!</v>
      </c>
      <c r="B4310" s="1">
        <v>6901272</v>
      </c>
      <c r="C4310" t="s">
        <v>211</v>
      </c>
      <c r="D4310" t="s">
        <v>4515</v>
      </c>
      <c r="E4310" t="s">
        <v>10</v>
      </c>
    </row>
    <row r="4311" spans="1:5" hidden="1" outlineLevel="2">
      <c r="A4311" s="3" t="e">
        <f>(HYPERLINK("http://www.autodoc.ru/Web/price/art/5175LYPS4RV?analog=on","5175LYPS4RV"))*1</f>
        <v>#VALUE!</v>
      </c>
      <c r="B4311" s="1">
        <v>6901276</v>
      </c>
      <c r="C4311" t="s">
        <v>211</v>
      </c>
      <c r="D4311" t="s">
        <v>4516</v>
      </c>
      <c r="E4311" t="s">
        <v>10</v>
      </c>
    </row>
    <row r="4312" spans="1:5" hidden="1" outlineLevel="2">
      <c r="A4312" s="3" t="e">
        <f>(HYPERLINK("http://www.autodoc.ru/Web/price/art/5175RGNH5FD?analog=on","5175RGNH5FD"))*1</f>
        <v>#VALUE!</v>
      </c>
      <c r="B4312" s="1">
        <v>6901443</v>
      </c>
      <c r="C4312" t="s">
        <v>211</v>
      </c>
      <c r="D4312" t="s">
        <v>4517</v>
      </c>
      <c r="E4312" t="s">
        <v>10</v>
      </c>
    </row>
    <row r="4313" spans="1:5" hidden="1" outlineLevel="2">
      <c r="A4313" s="3" t="e">
        <f>(HYPERLINK("http://www.autodoc.ru/Web/price/art/5175RGNH5RD?analog=on","5175RGNH5RD"))*1</f>
        <v>#VALUE!</v>
      </c>
      <c r="B4313" s="1">
        <v>6901265</v>
      </c>
      <c r="C4313" t="s">
        <v>211</v>
      </c>
      <c r="D4313" t="s">
        <v>4518</v>
      </c>
      <c r="E4313" t="s">
        <v>10</v>
      </c>
    </row>
    <row r="4314" spans="1:5" hidden="1" outlineLevel="2">
      <c r="A4314" s="3" t="e">
        <f>(HYPERLINK("http://www.autodoc.ru/Web/price/art/5175RGNH5RV?analog=on","5175RGNH5RV"))*1</f>
        <v>#VALUE!</v>
      </c>
      <c r="B4314" s="1">
        <v>6901555</v>
      </c>
      <c r="C4314" t="s">
        <v>211</v>
      </c>
      <c r="D4314" t="s">
        <v>4519</v>
      </c>
      <c r="E4314" t="s">
        <v>10</v>
      </c>
    </row>
    <row r="4315" spans="1:5" hidden="1" outlineLevel="2">
      <c r="A4315" s="3" t="e">
        <f>(HYPERLINK("http://www.autodoc.ru/Web/price/art/5175RGNS4RD?analog=on","5175RGNS4RD"))*1</f>
        <v>#VALUE!</v>
      </c>
      <c r="B4315" s="1">
        <v>6901269</v>
      </c>
      <c r="C4315" t="s">
        <v>211</v>
      </c>
      <c r="D4315" t="s">
        <v>4520</v>
      </c>
      <c r="E4315" t="s">
        <v>10</v>
      </c>
    </row>
    <row r="4316" spans="1:5" hidden="1" outlineLevel="2">
      <c r="A4316" s="3" t="e">
        <f>(HYPERLINK("http://www.autodoc.ru/Web/price/art/5175RGNS4RV?analog=on","5175RGNS4RV"))*1</f>
        <v>#VALUE!</v>
      </c>
      <c r="B4316" s="1">
        <v>6901273</v>
      </c>
      <c r="C4316" t="s">
        <v>211</v>
      </c>
      <c r="D4316" t="s">
        <v>4521</v>
      </c>
      <c r="E4316" t="s">
        <v>10</v>
      </c>
    </row>
    <row r="4317" spans="1:5" hidden="1" outlineLevel="2">
      <c r="A4317" s="3" t="e">
        <f>(HYPERLINK("http://www.autodoc.ru/Web/price/art/5175RYPH5RD?analog=on","5175RYPH5RD"))*1</f>
        <v>#VALUE!</v>
      </c>
      <c r="B4317" s="1">
        <v>6901267</v>
      </c>
      <c r="C4317" t="s">
        <v>211</v>
      </c>
      <c r="D4317" t="s">
        <v>4522</v>
      </c>
      <c r="E4317" t="s">
        <v>10</v>
      </c>
    </row>
    <row r="4318" spans="1:5" hidden="1" outlineLevel="2">
      <c r="A4318" s="3" t="e">
        <f>(HYPERLINK("http://www.autodoc.ru/Web/price/art/5175RYPH5RV?analog=on","5175RYPH5RV"))*1</f>
        <v>#VALUE!</v>
      </c>
      <c r="B4318" s="1">
        <v>6901553</v>
      </c>
      <c r="C4318" t="s">
        <v>211</v>
      </c>
      <c r="D4318" t="s">
        <v>4523</v>
      </c>
      <c r="E4318" t="s">
        <v>10</v>
      </c>
    </row>
    <row r="4319" spans="1:5" hidden="1" outlineLevel="2">
      <c r="A4319" s="3" t="e">
        <f>(HYPERLINK("http://www.autodoc.ru/Web/price/art/5175RYPS4RD?analog=on","5175RYPS4RD"))*1</f>
        <v>#VALUE!</v>
      </c>
      <c r="B4319" s="1">
        <v>6901271</v>
      </c>
      <c r="C4319" t="s">
        <v>211</v>
      </c>
      <c r="D4319" t="s">
        <v>4524</v>
      </c>
      <c r="E4319" t="s">
        <v>10</v>
      </c>
    </row>
    <row r="4320" spans="1:5" hidden="1" outlineLevel="2">
      <c r="A4320" s="3" t="e">
        <f>(HYPERLINK("http://www.autodoc.ru/Web/price/art/5175RYPS4RV?analog=on","5175RYPS4RV"))*1</f>
        <v>#VALUE!</v>
      </c>
      <c r="B4320" s="1">
        <v>6901275</v>
      </c>
      <c r="C4320" t="s">
        <v>211</v>
      </c>
      <c r="D4320" t="s">
        <v>4525</v>
      </c>
      <c r="E4320" t="s">
        <v>10</v>
      </c>
    </row>
    <row r="4321" spans="1:5" hidden="1" outlineLevel="1">
      <c r="A4321" s="2">
        <v>0</v>
      </c>
      <c r="B4321" s="26" t="s">
        <v>4526</v>
      </c>
      <c r="C4321" s="27">
        <v>0</v>
      </c>
      <c r="D4321" s="27">
        <v>0</v>
      </c>
      <c r="E4321" s="27">
        <v>0</v>
      </c>
    </row>
    <row r="4322" spans="1:5" hidden="1" outlineLevel="2">
      <c r="A4322" s="3" t="e">
        <f>(HYPERLINK("http://www.autodoc.ru/Web/price/art/5168AGN?analog=on","5168AGN"))*1</f>
        <v>#VALUE!</v>
      </c>
      <c r="B4322" s="1">
        <v>6961471</v>
      </c>
      <c r="C4322" t="s">
        <v>904</v>
      </c>
      <c r="D4322" t="s">
        <v>4527</v>
      </c>
      <c r="E4322" t="s">
        <v>8</v>
      </c>
    </row>
    <row r="4323" spans="1:5" hidden="1" outlineLevel="2">
      <c r="A4323" s="3" t="e">
        <f>(HYPERLINK("http://www.autodoc.ru/Web/price/art/5168AGNM1B?analog=on","5168AGNM1B"))*1</f>
        <v>#VALUE!</v>
      </c>
      <c r="B4323" s="1">
        <v>6961472</v>
      </c>
      <c r="C4323" t="s">
        <v>904</v>
      </c>
      <c r="D4323" t="s">
        <v>4528</v>
      </c>
      <c r="E4323" t="s">
        <v>8</v>
      </c>
    </row>
    <row r="4324" spans="1:5" hidden="1" outlineLevel="2">
      <c r="A4324" s="3" t="e">
        <f>(HYPERLINK("http://www.autodoc.ru/Web/price/art/5168BGDV?analog=on","5168BGDV"))*1</f>
        <v>#VALUE!</v>
      </c>
      <c r="B4324" s="1">
        <v>6900734</v>
      </c>
      <c r="C4324" t="s">
        <v>904</v>
      </c>
      <c r="D4324" t="s">
        <v>4529</v>
      </c>
      <c r="E4324" t="s">
        <v>23</v>
      </c>
    </row>
    <row r="4325" spans="1:5" hidden="1" outlineLevel="2">
      <c r="A4325" s="3" t="e">
        <f>(HYPERLINK("http://www.autodoc.ru/Web/price/art/5168BGNV?analog=on","5168BGNV"))*1</f>
        <v>#VALUE!</v>
      </c>
      <c r="B4325" s="1">
        <v>6900735</v>
      </c>
      <c r="C4325" t="s">
        <v>904</v>
      </c>
      <c r="D4325" t="s">
        <v>4530</v>
      </c>
      <c r="E4325" t="s">
        <v>23</v>
      </c>
    </row>
    <row r="4326" spans="1:5" hidden="1" outlineLevel="2">
      <c r="A4326" s="3" t="e">
        <f>(HYPERLINK("http://www.autodoc.ru/Web/price/art/5168LGNV5FD?analog=on","5168LGNV5FD"))*1</f>
        <v>#VALUE!</v>
      </c>
      <c r="B4326" s="1">
        <v>6999985</v>
      </c>
      <c r="C4326" t="s">
        <v>904</v>
      </c>
      <c r="D4326" t="s">
        <v>4531</v>
      </c>
      <c r="E4326" t="s">
        <v>10</v>
      </c>
    </row>
    <row r="4327" spans="1:5" hidden="1" outlineLevel="2">
      <c r="A4327" s="3" t="e">
        <f>(HYPERLINK("http://www.autodoc.ru/Web/price/art/5168LGNV5FV?analog=on","5168LGNV5FV"))*1</f>
        <v>#VALUE!</v>
      </c>
      <c r="B4327" s="1">
        <v>6900736</v>
      </c>
      <c r="C4327" t="s">
        <v>904</v>
      </c>
      <c r="D4327" t="s">
        <v>4532</v>
      </c>
      <c r="E4327" t="s">
        <v>10</v>
      </c>
    </row>
    <row r="4328" spans="1:5" hidden="1" outlineLevel="2">
      <c r="A4328" s="3" t="e">
        <f>(HYPERLINK("http://www.autodoc.ru/Web/price/art/5168LGNV5RD?analog=on","5168LGNV5RD"))*1</f>
        <v>#VALUE!</v>
      </c>
      <c r="B4328" s="1">
        <v>6900175</v>
      </c>
      <c r="C4328" t="s">
        <v>904</v>
      </c>
      <c r="D4328" t="s">
        <v>4533</v>
      </c>
      <c r="E4328" t="s">
        <v>10</v>
      </c>
    </row>
    <row r="4329" spans="1:5" hidden="1" outlineLevel="2">
      <c r="A4329" s="3" t="e">
        <f>(HYPERLINK("http://www.autodoc.ru/Web/price/art/5168RGNV5FD?analog=on","5168RGNV5FD"))*1</f>
        <v>#VALUE!</v>
      </c>
      <c r="B4329" s="1">
        <v>6900072</v>
      </c>
      <c r="C4329" t="s">
        <v>904</v>
      </c>
      <c r="D4329" t="s">
        <v>4534</v>
      </c>
      <c r="E4329" t="s">
        <v>10</v>
      </c>
    </row>
    <row r="4330" spans="1:5" hidden="1" outlineLevel="2">
      <c r="A4330" s="3" t="e">
        <f>(HYPERLINK("http://www.autodoc.ru/Web/price/art/5168RGNV5RD?analog=on","5168RGNV5RD"))*1</f>
        <v>#VALUE!</v>
      </c>
      <c r="B4330" s="1">
        <v>6900256</v>
      </c>
      <c r="C4330" t="s">
        <v>904</v>
      </c>
      <c r="D4330" t="s">
        <v>4535</v>
      </c>
      <c r="E4330" t="s">
        <v>10</v>
      </c>
    </row>
    <row r="4331" spans="1:5" hidden="1" outlineLevel="1">
      <c r="A4331" s="2">
        <v>0</v>
      </c>
      <c r="B4331" s="26" t="s">
        <v>4536</v>
      </c>
      <c r="C4331" s="27">
        <v>0</v>
      </c>
      <c r="D4331" s="27">
        <v>0</v>
      </c>
      <c r="E4331" s="27">
        <v>0</v>
      </c>
    </row>
    <row r="4332" spans="1:5" hidden="1" outlineLevel="2">
      <c r="A4332" s="3" t="e">
        <f>(HYPERLINK("http://www.autodoc.ru/Web/price/art/5164AGNBLW?analog=on","5164AGNBLW"))*1</f>
        <v>#VALUE!</v>
      </c>
      <c r="B4332" s="1">
        <v>6950103</v>
      </c>
      <c r="C4332" t="s">
        <v>1436</v>
      </c>
      <c r="D4332" t="s">
        <v>4537</v>
      </c>
      <c r="E4332" t="s">
        <v>8</v>
      </c>
    </row>
    <row r="4333" spans="1:5" hidden="1" outlineLevel="2">
      <c r="A4333" s="3" t="e">
        <f>(HYPERLINK("http://www.autodoc.ru/Web/price/art/5164AGNBLW1P?analog=on","5164AGNBLW1P"))*1</f>
        <v>#VALUE!</v>
      </c>
      <c r="B4333" s="1">
        <v>6961999</v>
      </c>
      <c r="C4333" t="s">
        <v>3367</v>
      </c>
      <c r="D4333" t="s">
        <v>4538</v>
      </c>
      <c r="E4333" t="s">
        <v>8</v>
      </c>
    </row>
    <row r="4334" spans="1:5" hidden="1" outlineLevel="2">
      <c r="A4334" s="3" t="e">
        <f>(HYPERLINK("http://www.autodoc.ru/Web/price/art/5164AGNMW1P?analog=on","5164AGNMW1P"))*1</f>
        <v>#VALUE!</v>
      </c>
      <c r="B4334" s="1">
        <v>6962853</v>
      </c>
      <c r="C4334" t="s">
        <v>3367</v>
      </c>
      <c r="D4334" t="s">
        <v>4539</v>
      </c>
      <c r="E4334" t="s">
        <v>8</v>
      </c>
    </row>
    <row r="4335" spans="1:5" hidden="1" outlineLevel="2">
      <c r="A4335" s="3" t="e">
        <f>(HYPERLINK("http://www.autodoc.ru/Web/price/art/5164AGNBLMW1P?analog=on","5164AGNBLMW1P"))*1</f>
        <v>#VALUE!</v>
      </c>
      <c r="B4335" s="1">
        <v>6964826</v>
      </c>
      <c r="C4335" t="s">
        <v>3367</v>
      </c>
      <c r="D4335" t="s">
        <v>4540</v>
      </c>
      <c r="E4335" t="s">
        <v>8</v>
      </c>
    </row>
    <row r="4336" spans="1:5" hidden="1" outlineLevel="2">
      <c r="A4336" s="3" t="e">
        <f>(HYPERLINK("http://www.autodoc.ru/Web/price/art/5164AGNW?analog=on","5164AGNW"))*1</f>
        <v>#VALUE!</v>
      </c>
      <c r="B4336" s="1">
        <v>6950104</v>
      </c>
      <c r="C4336" t="s">
        <v>3367</v>
      </c>
      <c r="D4336" t="s">
        <v>4541</v>
      </c>
      <c r="E4336" t="s">
        <v>8</v>
      </c>
    </row>
    <row r="4337" spans="1:5" hidden="1" outlineLevel="2">
      <c r="A4337" s="3" t="e">
        <f>(HYPERLINK("http://www.autodoc.ru/Web/price/art/5164AGNW1P?analog=on","5164AGNW1P"))*1</f>
        <v>#VALUE!</v>
      </c>
      <c r="B4337" s="1">
        <v>6962000</v>
      </c>
      <c r="C4337" t="s">
        <v>3367</v>
      </c>
      <c r="D4337" t="s">
        <v>4541</v>
      </c>
      <c r="E4337" t="s">
        <v>8</v>
      </c>
    </row>
    <row r="4338" spans="1:5" hidden="1" outlineLevel="2">
      <c r="A4338" s="3" t="e">
        <f>(HYPERLINK("http://www.autodoc.ru/Web/price/art/5164AGNW2P?analog=on","5164AGNW2P"))*1</f>
        <v>#VALUE!</v>
      </c>
      <c r="B4338" s="1">
        <v>6963103</v>
      </c>
      <c r="C4338" t="s">
        <v>3367</v>
      </c>
      <c r="D4338" t="s">
        <v>4542</v>
      </c>
      <c r="E4338" t="s">
        <v>8</v>
      </c>
    </row>
    <row r="4339" spans="1:5" hidden="1" outlineLevel="2">
      <c r="A4339" s="3" t="e">
        <f>(HYPERLINK("http://www.autodoc.ru/Web/price/art/5164ASMS?analog=on","5164ASMS"))*1</f>
        <v>#VALUE!</v>
      </c>
      <c r="B4339" s="1">
        <v>6101587</v>
      </c>
      <c r="C4339" t="s">
        <v>19</v>
      </c>
      <c r="D4339" t="s">
        <v>4543</v>
      </c>
      <c r="E4339" t="s">
        <v>21</v>
      </c>
    </row>
    <row r="4340" spans="1:5" hidden="1" outlineLevel="2">
      <c r="A4340" s="3" t="e">
        <f>(HYPERLINK("http://www.autodoc.ru/Web/price/art/5164BGNEBW?analog=on","5164BGNEBW"))*1</f>
        <v>#VALUE!</v>
      </c>
      <c r="B4340" s="1">
        <v>6993975</v>
      </c>
      <c r="C4340" t="s">
        <v>1436</v>
      </c>
      <c r="D4340" t="s">
        <v>4544</v>
      </c>
      <c r="E4340" t="s">
        <v>23</v>
      </c>
    </row>
    <row r="4341" spans="1:5" hidden="1" outlineLevel="2">
      <c r="A4341" s="3" t="e">
        <f>(HYPERLINK("http://www.autodoc.ru/Web/price/art/5164BGNHAW?analog=on","5164BGNHAW"))*1</f>
        <v>#VALUE!</v>
      </c>
      <c r="B4341" s="1">
        <v>6997561</v>
      </c>
      <c r="C4341" t="s">
        <v>1436</v>
      </c>
      <c r="D4341" t="s">
        <v>4545</v>
      </c>
      <c r="E4341" t="s">
        <v>23</v>
      </c>
    </row>
    <row r="4342" spans="1:5" hidden="1" outlineLevel="2">
      <c r="A4342" s="3" t="e">
        <f>(HYPERLINK("http://www.autodoc.ru/Web/price/art/5164BGNSZ?analog=on","5164BGNSZ"))*1</f>
        <v>#VALUE!</v>
      </c>
      <c r="B4342" s="1">
        <v>6997560</v>
      </c>
      <c r="C4342" t="s">
        <v>1436</v>
      </c>
      <c r="D4342" t="s">
        <v>4546</v>
      </c>
      <c r="E4342" t="s">
        <v>23</v>
      </c>
    </row>
    <row r="4343" spans="1:5" hidden="1" outlineLevel="2">
      <c r="A4343" s="3" t="e">
        <f>(HYPERLINK("http://www.autodoc.ru/Web/price/art/5164LGNE5RD?analog=on","5164LGNE5RD"))*1</f>
        <v>#VALUE!</v>
      </c>
      <c r="B4343" s="1">
        <v>6997621</v>
      </c>
      <c r="C4343" t="s">
        <v>1436</v>
      </c>
      <c r="D4343" t="s">
        <v>4547</v>
      </c>
      <c r="E4343" t="s">
        <v>10</v>
      </c>
    </row>
    <row r="4344" spans="1:5" hidden="1" outlineLevel="2">
      <c r="A4344" s="3" t="e">
        <f>(HYPERLINK("http://www.autodoc.ru/Web/price/art/5164LGNE5RV?analog=on","5164LGNE5RV"))*1</f>
        <v>#VALUE!</v>
      </c>
      <c r="B4344" s="1">
        <v>6900300</v>
      </c>
      <c r="C4344" t="s">
        <v>1436</v>
      </c>
      <c r="D4344" t="s">
        <v>4548</v>
      </c>
      <c r="E4344" t="s">
        <v>10</v>
      </c>
    </row>
    <row r="4345" spans="1:5" hidden="1" outlineLevel="2">
      <c r="A4345" s="3" t="e">
        <f>(HYPERLINK("http://www.autodoc.ru/Web/price/art/5164LGNH5FD?analog=on","5164LGNH5FD"))*1</f>
        <v>#VALUE!</v>
      </c>
      <c r="B4345" s="1">
        <v>6993244</v>
      </c>
      <c r="C4345" t="s">
        <v>1436</v>
      </c>
      <c r="D4345" t="s">
        <v>4549</v>
      </c>
      <c r="E4345" t="s">
        <v>10</v>
      </c>
    </row>
    <row r="4346" spans="1:5" hidden="1" outlineLevel="2">
      <c r="A4346" s="3" t="e">
        <f>(HYPERLINK("http://www.autodoc.ru/Web/price/art/5164LGNH5RD?analog=on","5164LGNH5RD"))*1</f>
        <v>#VALUE!</v>
      </c>
      <c r="B4346" s="1">
        <v>6995912</v>
      </c>
      <c r="C4346" t="s">
        <v>1436</v>
      </c>
      <c r="D4346" t="s">
        <v>4550</v>
      </c>
      <c r="E4346" t="s">
        <v>10</v>
      </c>
    </row>
    <row r="4347" spans="1:5" hidden="1" outlineLevel="2">
      <c r="A4347" s="3" t="e">
        <f>(HYPERLINK("http://www.autodoc.ru/Web/price/art/5164LGNH5RV?analog=on","5164LGNH5RV"))*1</f>
        <v>#VALUE!</v>
      </c>
      <c r="B4347" s="1">
        <v>6980110</v>
      </c>
      <c r="C4347" t="s">
        <v>1436</v>
      </c>
      <c r="D4347" t="s">
        <v>4551</v>
      </c>
      <c r="E4347" t="s">
        <v>10</v>
      </c>
    </row>
    <row r="4348" spans="1:5" hidden="1" outlineLevel="2">
      <c r="A4348" s="3" t="e">
        <f>(HYPERLINK("http://www.autodoc.ru/Web/price/art/5164LGNS4RD?analog=on","5164LGNS4RD"))*1</f>
        <v>#VALUE!</v>
      </c>
      <c r="B4348" s="1">
        <v>6995906</v>
      </c>
      <c r="C4348" t="s">
        <v>1436</v>
      </c>
      <c r="D4348" t="s">
        <v>4552</v>
      </c>
      <c r="E4348" t="s">
        <v>10</v>
      </c>
    </row>
    <row r="4349" spans="1:5" hidden="1" outlineLevel="2">
      <c r="A4349" s="3" t="e">
        <f>(HYPERLINK("http://www.autodoc.ru/Web/price/art/5164LGNS4RV?analog=on","5164LGNS4RV"))*1</f>
        <v>#VALUE!</v>
      </c>
      <c r="B4349" s="1">
        <v>6995908</v>
      </c>
      <c r="C4349" t="s">
        <v>1436</v>
      </c>
      <c r="D4349" t="s">
        <v>4553</v>
      </c>
      <c r="E4349" t="s">
        <v>10</v>
      </c>
    </row>
    <row r="4350" spans="1:5" hidden="1" outlineLevel="2">
      <c r="A4350" s="3" t="e">
        <f>(HYPERLINK("http://www.autodoc.ru/Web/price/art/5164RGNE5RD?analog=on","5164RGNE5RD"))*1</f>
        <v>#VALUE!</v>
      </c>
      <c r="B4350" s="1">
        <v>6997622</v>
      </c>
      <c r="C4350" t="s">
        <v>1436</v>
      </c>
      <c r="D4350" t="s">
        <v>4554</v>
      </c>
      <c r="E4350" t="s">
        <v>10</v>
      </c>
    </row>
    <row r="4351" spans="1:5" hidden="1" outlineLevel="2">
      <c r="A4351" s="3" t="e">
        <f>(HYPERLINK("http://www.autodoc.ru/Web/price/art/5164RGNE5RV?analog=on","5164RGNE5RV"))*1</f>
        <v>#VALUE!</v>
      </c>
      <c r="B4351" s="1">
        <v>6900317</v>
      </c>
      <c r="C4351" t="s">
        <v>1436</v>
      </c>
      <c r="D4351" t="s">
        <v>4555</v>
      </c>
      <c r="E4351" t="s">
        <v>10</v>
      </c>
    </row>
    <row r="4352" spans="1:5" hidden="1" outlineLevel="2">
      <c r="A4352" s="3" t="e">
        <f>(HYPERLINK("http://www.autodoc.ru/Web/price/art/5164RGNH5FD?analog=on","5164RGNH5FD"))*1</f>
        <v>#VALUE!</v>
      </c>
      <c r="B4352" s="1">
        <v>6993245</v>
      </c>
      <c r="C4352" t="s">
        <v>1436</v>
      </c>
      <c r="D4352" t="s">
        <v>4556</v>
      </c>
      <c r="E4352" t="s">
        <v>10</v>
      </c>
    </row>
    <row r="4353" spans="1:5" hidden="1" outlineLevel="2">
      <c r="A4353" s="3" t="e">
        <f>(HYPERLINK("http://www.autodoc.ru/Web/price/art/5164RGNH5RD?analog=on","5164RGNH5RD"))*1</f>
        <v>#VALUE!</v>
      </c>
      <c r="B4353" s="1">
        <v>6995913</v>
      </c>
      <c r="C4353" t="s">
        <v>1436</v>
      </c>
      <c r="D4353" t="s">
        <v>4557</v>
      </c>
      <c r="E4353" t="s">
        <v>10</v>
      </c>
    </row>
    <row r="4354" spans="1:5" hidden="1" outlineLevel="2">
      <c r="A4354" s="3" t="e">
        <f>(HYPERLINK("http://www.autodoc.ru/Web/price/art/5164RGNH5RV?analog=on","5164RGNH5RV"))*1</f>
        <v>#VALUE!</v>
      </c>
      <c r="B4354" s="1">
        <v>6980111</v>
      </c>
      <c r="C4354" t="s">
        <v>1436</v>
      </c>
      <c r="D4354" t="s">
        <v>4558</v>
      </c>
      <c r="E4354" t="s">
        <v>10</v>
      </c>
    </row>
    <row r="4355" spans="1:5" hidden="1" outlineLevel="2">
      <c r="A4355" s="3" t="e">
        <f>(HYPERLINK("http://www.autodoc.ru/Web/price/art/5164RGNS4RD?analog=on","5164RGNS4RD"))*1</f>
        <v>#VALUE!</v>
      </c>
      <c r="B4355" s="1">
        <v>6995907</v>
      </c>
      <c r="C4355" t="s">
        <v>1436</v>
      </c>
      <c r="D4355" t="s">
        <v>4559</v>
      </c>
      <c r="E4355" t="s">
        <v>10</v>
      </c>
    </row>
    <row r="4356" spans="1:5" hidden="1" outlineLevel="2">
      <c r="A4356" s="3" t="e">
        <f>(HYPERLINK("http://www.autodoc.ru/Web/price/art/5164RGNS4RV?analog=on","5164RGNS4RV"))*1</f>
        <v>#VALUE!</v>
      </c>
      <c r="B4356" s="1">
        <v>6995909</v>
      </c>
      <c r="C4356" t="s">
        <v>1436</v>
      </c>
      <c r="D4356" t="s">
        <v>4560</v>
      </c>
      <c r="E4356" t="s">
        <v>10</v>
      </c>
    </row>
    <row r="4357" spans="1:5" hidden="1" outlineLevel="1">
      <c r="A4357" s="2">
        <v>0</v>
      </c>
      <c r="B4357" s="26" t="s">
        <v>4561</v>
      </c>
      <c r="C4357" s="27">
        <v>0</v>
      </c>
      <c r="D4357" s="27">
        <v>0</v>
      </c>
      <c r="E4357" s="27">
        <v>0</v>
      </c>
    </row>
    <row r="4358" spans="1:5" hidden="1" outlineLevel="2">
      <c r="A4358" s="3" t="e">
        <f>(HYPERLINK("http://www.autodoc.ru/Web/price/art/5174AGNW?analog=on","5174AGNW"))*1</f>
        <v>#VALUE!</v>
      </c>
      <c r="B4358" s="1">
        <v>6963064</v>
      </c>
      <c r="C4358" t="s">
        <v>256</v>
      </c>
      <c r="D4358" t="s">
        <v>4562</v>
      </c>
      <c r="E4358" t="s">
        <v>8</v>
      </c>
    </row>
    <row r="4359" spans="1:5" hidden="1" outlineLevel="2">
      <c r="A4359" s="3" t="e">
        <f>(HYPERLINK("http://www.autodoc.ru/Web/price/art/5174AGAMW1B?analog=on","5174AGAMW1B"))*1</f>
        <v>#VALUE!</v>
      </c>
      <c r="B4359" s="1">
        <v>6963063</v>
      </c>
      <c r="C4359" t="s">
        <v>256</v>
      </c>
      <c r="D4359" t="s">
        <v>4563</v>
      </c>
      <c r="E4359" t="s">
        <v>8</v>
      </c>
    </row>
    <row r="4360" spans="1:5" hidden="1" outlineLevel="2">
      <c r="A4360" s="3" t="e">
        <f>(HYPERLINK("http://www.autodoc.ru/Web/price/art/5174AGNMW1B?analog=on","5174AGNMW1B"))*1</f>
        <v>#VALUE!</v>
      </c>
      <c r="B4360" s="1">
        <v>6963170</v>
      </c>
      <c r="C4360" t="s">
        <v>256</v>
      </c>
      <c r="D4360" t="s">
        <v>4564</v>
      </c>
      <c r="E4360" t="s">
        <v>8</v>
      </c>
    </row>
    <row r="4361" spans="1:5" hidden="1" outlineLevel="2">
      <c r="A4361" s="3" t="e">
        <f>(HYPERLINK("http://www.autodoc.ru/Web/price/art/5174ASMS?analog=on","5174ASMS"))*1</f>
        <v>#VALUE!</v>
      </c>
      <c r="B4361" s="1">
        <v>6102631</v>
      </c>
      <c r="C4361" t="s">
        <v>19</v>
      </c>
      <c r="D4361" t="s">
        <v>4565</v>
      </c>
      <c r="E4361" t="s">
        <v>21</v>
      </c>
    </row>
    <row r="4362" spans="1:5" hidden="1" outlineLevel="2">
      <c r="A4362" s="3" t="e">
        <f>(HYPERLINK("http://www.autodoc.ru/Web/price/art/5174LGNS4FD?analog=on","5174LGNS4FD"))*1</f>
        <v>#VALUE!</v>
      </c>
      <c r="B4362" s="1">
        <v>6900829</v>
      </c>
      <c r="C4362" t="s">
        <v>256</v>
      </c>
      <c r="D4362" t="s">
        <v>4566</v>
      </c>
      <c r="E4362" t="s">
        <v>10</v>
      </c>
    </row>
    <row r="4363" spans="1:5" hidden="1" outlineLevel="2">
      <c r="A4363" s="3" t="e">
        <f>(HYPERLINK("http://www.autodoc.ru/Web/price/art/5174LGNS4RD?analog=on","5174LGNS4RD"))*1</f>
        <v>#VALUE!</v>
      </c>
      <c r="B4363" s="1">
        <v>6900831</v>
      </c>
      <c r="C4363" t="s">
        <v>256</v>
      </c>
      <c r="D4363" t="s">
        <v>4567</v>
      </c>
      <c r="E4363" t="s">
        <v>10</v>
      </c>
    </row>
    <row r="4364" spans="1:5" hidden="1" outlineLevel="2">
      <c r="A4364" s="3" t="e">
        <f>(HYPERLINK("http://www.autodoc.ru/Web/price/art/5174RGNS4FD?analog=on","5174RGNS4FD"))*1</f>
        <v>#VALUE!</v>
      </c>
      <c r="B4364" s="1">
        <v>6900830</v>
      </c>
      <c r="C4364" t="s">
        <v>256</v>
      </c>
      <c r="D4364" t="s">
        <v>4568</v>
      </c>
      <c r="E4364" t="s">
        <v>10</v>
      </c>
    </row>
    <row r="4365" spans="1:5" hidden="1" outlineLevel="2">
      <c r="A4365" s="3" t="e">
        <f>(HYPERLINK("http://www.autodoc.ru/Web/price/art/5174RGNS4RD?analog=on","5174RGNS4RD"))*1</f>
        <v>#VALUE!</v>
      </c>
      <c r="B4365" s="1">
        <v>6900832</v>
      </c>
      <c r="C4365" t="s">
        <v>256</v>
      </c>
      <c r="D4365" t="s">
        <v>4569</v>
      </c>
      <c r="E4365" t="s">
        <v>10</v>
      </c>
    </row>
    <row r="4366" spans="1:5" hidden="1" outlineLevel="1">
      <c r="A4366" s="2">
        <v>0</v>
      </c>
      <c r="B4366" s="26" t="s">
        <v>4570</v>
      </c>
      <c r="C4366" s="27">
        <v>0</v>
      </c>
      <c r="D4366" s="27">
        <v>0</v>
      </c>
      <c r="E4366" s="27">
        <v>0</v>
      </c>
    </row>
    <row r="4367" spans="1:5" hidden="1" outlineLevel="2">
      <c r="A4367" s="3" t="e">
        <f>(HYPERLINK("http://www.autodoc.ru/Web/price/art/5130ABL?analog=on","5130ABL"))*1</f>
        <v>#VALUE!</v>
      </c>
      <c r="B4367" s="1">
        <v>6964245</v>
      </c>
      <c r="C4367" t="s">
        <v>3206</v>
      </c>
      <c r="D4367" t="s">
        <v>4571</v>
      </c>
      <c r="E4367" t="s">
        <v>8</v>
      </c>
    </row>
    <row r="4368" spans="1:5" hidden="1" outlineLevel="1">
      <c r="A4368" s="2">
        <v>0</v>
      </c>
      <c r="B4368" s="26" t="s">
        <v>4572</v>
      </c>
      <c r="C4368" s="27">
        <v>0</v>
      </c>
      <c r="D4368" s="27">
        <v>0</v>
      </c>
      <c r="E4368" s="27">
        <v>0</v>
      </c>
    </row>
    <row r="4369" spans="1:5" hidden="1" outlineLevel="2">
      <c r="A4369" s="3" t="e">
        <f>(HYPERLINK("http://www.autodoc.ru/Web/price/art/5139ABL?analog=on","5139ABL"))*1</f>
        <v>#VALUE!</v>
      </c>
      <c r="B4369" s="1">
        <v>6963638</v>
      </c>
      <c r="C4369" t="s">
        <v>1109</v>
      </c>
      <c r="D4369" t="s">
        <v>4573</v>
      </c>
      <c r="E4369" t="s">
        <v>8</v>
      </c>
    </row>
    <row r="4370" spans="1:5" hidden="1" outlineLevel="2">
      <c r="A4370" s="3" t="e">
        <f>(HYPERLINK("http://www.autodoc.ru/Web/price/art/5139AKMS?analog=on","5139AKMS"))*1</f>
        <v>#VALUE!</v>
      </c>
      <c r="B4370" s="1">
        <v>6101187</v>
      </c>
      <c r="C4370" t="s">
        <v>19</v>
      </c>
      <c r="D4370" t="s">
        <v>4574</v>
      </c>
      <c r="E4370" t="s">
        <v>21</v>
      </c>
    </row>
    <row r="4371" spans="1:5" hidden="1" outlineLevel="2">
      <c r="A4371" s="3" t="e">
        <f>(HYPERLINK("http://www.autodoc.ru/Web/price/art/5139LBLS4FD?analog=on","5139LBLS4FD"))*1</f>
        <v>#VALUE!</v>
      </c>
      <c r="B4371" s="1">
        <v>6995377</v>
      </c>
      <c r="C4371" t="s">
        <v>1109</v>
      </c>
      <c r="D4371" t="s">
        <v>4575</v>
      </c>
      <c r="E4371" t="s">
        <v>10</v>
      </c>
    </row>
    <row r="4372" spans="1:5" hidden="1" outlineLevel="2">
      <c r="A4372" s="3" t="e">
        <f>(HYPERLINK("http://www.autodoc.ru/Web/price/art/5139RBLS4RD?analog=on","5139RBLS4RD"))*1</f>
        <v>#VALUE!</v>
      </c>
      <c r="B4372" s="1">
        <v>6995724</v>
      </c>
      <c r="C4372" t="s">
        <v>1109</v>
      </c>
      <c r="D4372" t="s">
        <v>4576</v>
      </c>
      <c r="E4372" t="s">
        <v>10</v>
      </c>
    </row>
    <row r="4373" spans="1:5" hidden="1" outlineLevel="1">
      <c r="A4373" s="2">
        <v>0</v>
      </c>
      <c r="B4373" s="26" t="s">
        <v>4577</v>
      </c>
      <c r="C4373" s="27">
        <v>0</v>
      </c>
      <c r="D4373" s="27">
        <v>0</v>
      </c>
      <c r="E4373" s="27">
        <v>0</v>
      </c>
    </row>
    <row r="4374" spans="1:5" hidden="1" outlineLevel="2">
      <c r="A4374" s="3" t="e">
        <f>(HYPERLINK("http://www.autodoc.ru/Web/price/art/5151ACL?analog=on","5151ACL"))*1</f>
        <v>#VALUE!</v>
      </c>
      <c r="B4374" s="1">
        <v>6190159</v>
      </c>
      <c r="C4374" t="s">
        <v>3800</v>
      </c>
      <c r="D4374" t="s">
        <v>4578</v>
      </c>
      <c r="E4374" t="s">
        <v>8</v>
      </c>
    </row>
    <row r="4375" spans="1:5" hidden="1" outlineLevel="2">
      <c r="A4375" s="3" t="e">
        <f>(HYPERLINK("http://www.autodoc.ru/Web/price/art/5151ACL1B?analog=on","5151ACL1B"))*1</f>
        <v>#VALUE!</v>
      </c>
      <c r="B4375" s="1">
        <v>6190839</v>
      </c>
      <c r="C4375" t="s">
        <v>2598</v>
      </c>
      <c r="D4375" t="s">
        <v>4579</v>
      </c>
      <c r="E4375" t="s">
        <v>8</v>
      </c>
    </row>
    <row r="4376" spans="1:5" hidden="1" outlineLevel="2">
      <c r="A4376" s="3" t="e">
        <f>(HYPERLINK("http://www.autodoc.ru/Web/price/art/5151AGN?analog=on","5151AGN"))*1</f>
        <v>#VALUE!</v>
      </c>
      <c r="B4376" s="1">
        <v>6190160</v>
      </c>
      <c r="C4376" t="s">
        <v>3800</v>
      </c>
      <c r="D4376" t="s">
        <v>4580</v>
      </c>
      <c r="E4376" t="s">
        <v>8</v>
      </c>
    </row>
    <row r="4377" spans="1:5" hidden="1" outlineLevel="2">
      <c r="A4377" s="3" t="e">
        <f>(HYPERLINK("http://www.autodoc.ru/Web/price/art/5151AGN1B?analog=on","5151AGN1B"))*1</f>
        <v>#VALUE!</v>
      </c>
      <c r="B4377" s="1">
        <v>6190840</v>
      </c>
      <c r="C4377" t="s">
        <v>2598</v>
      </c>
      <c r="D4377" t="s">
        <v>4581</v>
      </c>
      <c r="E4377" t="s">
        <v>8</v>
      </c>
    </row>
    <row r="4378" spans="1:5" hidden="1" outlineLevel="2">
      <c r="A4378" s="3" t="e">
        <f>(HYPERLINK("http://www.autodoc.ru/Web/price/art/5151AGNBL?analog=on","5151AGNBL"))*1</f>
        <v>#VALUE!</v>
      </c>
      <c r="B4378" s="1">
        <v>6190161</v>
      </c>
      <c r="C4378" t="s">
        <v>3800</v>
      </c>
      <c r="D4378" t="s">
        <v>4582</v>
      </c>
      <c r="E4378" t="s">
        <v>8</v>
      </c>
    </row>
    <row r="4379" spans="1:5" hidden="1" outlineLevel="2">
      <c r="A4379" s="3" t="e">
        <f>(HYPERLINK("http://www.autodoc.ru/Web/price/art/5151AGNBL1B?analog=on","5151AGNBL1B"))*1</f>
        <v>#VALUE!</v>
      </c>
      <c r="B4379" s="1">
        <v>6190841</v>
      </c>
      <c r="C4379" t="s">
        <v>2598</v>
      </c>
      <c r="D4379" t="s">
        <v>4583</v>
      </c>
      <c r="E4379" t="s">
        <v>8</v>
      </c>
    </row>
    <row r="4380" spans="1:5" hidden="1" outlineLevel="2">
      <c r="A4380" s="3" t="e">
        <f>(HYPERLINK("http://www.autodoc.ru/Web/price/art/5151AGNGN?analog=on","5151AGNGN"))*1</f>
        <v>#VALUE!</v>
      </c>
      <c r="B4380" s="1">
        <v>6190162</v>
      </c>
      <c r="C4380" t="s">
        <v>3800</v>
      </c>
      <c r="D4380" t="s">
        <v>4584</v>
      </c>
      <c r="E4380" t="s">
        <v>8</v>
      </c>
    </row>
    <row r="4381" spans="1:5" hidden="1" outlineLevel="2">
      <c r="A4381" s="3" t="e">
        <f>(HYPERLINK("http://www.autodoc.ru/Web/price/art/5151AGNH?analog=on","5151AGNH"))*1</f>
        <v>#VALUE!</v>
      </c>
      <c r="B4381" s="1">
        <v>6190163</v>
      </c>
      <c r="C4381" t="s">
        <v>3800</v>
      </c>
      <c r="D4381" t="s">
        <v>4585</v>
      </c>
      <c r="E4381" t="s">
        <v>8</v>
      </c>
    </row>
    <row r="4382" spans="1:5" hidden="1" outlineLevel="2">
      <c r="A4382" s="3" t="e">
        <f>(HYPERLINK("http://www.autodoc.ru/Web/price/art/5151ASMH?analog=on","5151ASMH"))*1</f>
        <v>#VALUE!</v>
      </c>
      <c r="B4382" s="1">
        <v>6190164</v>
      </c>
      <c r="C4382" t="s">
        <v>19</v>
      </c>
      <c r="D4382" t="s">
        <v>4586</v>
      </c>
      <c r="E4382" t="s">
        <v>21</v>
      </c>
    </row>
    <row r="4383" spans="1:5" hidden="1" outlineLevel="2">
      <c r="A4383" s="3" t="e">
        <f>(HYPERLINK("http://www.autodoc.ru/Web/price/art/5151BCLH?analog=on","5151BCLH"))*1</f>
        <v>#VALUE!</v>
      </c>
      <c r="B4383" s="1">
        <v>6190165</v>
      </c>
      <c r="C4383" t="s">
        <v>3800</v>
      </c>
      <c r="D4383" t="s">
        <v>4587</v>
      </c>
      <c r="E4383" t="s">
        <v>23</v>
      </c>
    </row>
    <row r="4384" spans="1:5" hidden="1" outlineLevel="2">
      <c r="A4384" s="3" t="e">
        <f>(HYPERLINK("http://www.autodoc.ru/Web/price/art/5151BGNH?analog=on","5151BGNH"))*1</f>
        <v>#VALUE!</v>
      </c>
      <c r="B4384" s="1">
        <v>6190166</v>
      </c>
      <c r="C4384" t="s">
        <v>3800</v>
      </c>
      <c r="D4384" t="s">
        <v>4588</v>
      </c>
      <c r="E4384" t="s">
        <v>23</v>
      </c>
    </row>
    <row r="4385" spans="1:5" hidden="1" outlineLevel="1">
      <c r="A4385" s="2">
        <v>0</v>
      </c>
      <c r="B4385" s="26" t="s">
        <v>4589</v>
      </c>
      <c r="C4385" s="27">
        <v>0</v>
      </c>
      <c r="D4385" s="27">
        <v>0</v>
      </c>
      <c r="E4385" s="27">
        <v>0</v>
      </c>
    </row>
    <row r="4386" spans="1:5" hidden="1" outlineLevel="2">
      <c r="A4386" s="3" t="e">
        <f>(HYPERLINK("http://www.autodoc.ru/Web/price/art/5116ABL?analog=on","5116ABL"))*1</f>
        <v>#VALUE!</v>
      </c>
      <c r="B4386" s="1">
        <v>6963467</v>
      </c>
      <c r="C4386" t="s">
        <v>4590</v>
      </c>
      <c r="D4386" t="s">
        <v>4591</v>
      </c>
      <c r="E4386" t="s">
        <v>8</v>
      </c>
    </row>
    <row r="4387" spans="1:5" hidden="1" outlineLevel="2">
      <c r="A4387" s="3" t="e">
        <f>(HYPERLINK("http://www.autodoc.ru/Web/price/art/5116ACL?analog=on","5116ACL"))*1</f>
        <v>#VALUE!</v>
      </c>
      <c r="B4387" s="1">
        <v>6964140</v>
      </c>
      <c r="C4387" t="s">
        <v>4590</v>
      </c>
      <c r="D4387" t="s">
        <v>4592</v>
      </c>
      <c r="E4387" t="s">
        <v>8</v>
      </c>
    </row>
    <row r="4388" spans="1:5" hidden="1" outlineLevel="1">
      <c r="A4388" s="2">
        <v>0</v>
      </c>
      <c r="B4388" s="26" t="s">
        <v>4593</v>
      </c>
      <c r="C4388" s="27">
        <v>0</v>
      </c>
      <c r="D4388" s="27">
        <v>0</v>
      </c>
      <c r="E4388" s="27">
        <v>0</v>
      </c>
    </row>
    <row r="4389" spans="1:5" hidden="1" outlineLevel="2">
      <c r="A4389" s="3" t="e">
        <f>(HYPERLINK("http://www.autodoc.ru/Web/price/art/5125ABL?analog=on","5125ABL"))*1</f>
        <v>#VALUE!</v>
      </c>
      <c r="B4389" s="1">
        <v>6969264</v>
      </c>
      <c r="C4389" t="s">
        <v>3815</v>
      </c>
      <c r="D4389" t="s">
        <v>4594</v>
      </c>
      <c r="E4389" t="s">
        <v>8</v>
      </c>
    </row>
    <row r="4390" spans="1:5" hidden="1" outlineLevel="2">
      <c r="A4390" s="3" t="e">
        <f>(HYPERLINK("http://www.autodoc.ru/Web/price/art/5125AKCH?analog=on","5125AKCH"))*1</f>
        <v>#VALUE!</v>
      </c>
      <c r="B4390" s="1">
        <v>6100488</v>
      </c>
      <c r="C4390" t="s">
        <v>19</v>
      </c>
      <c r="D4390" t="s">
        <v>4595</v>
      </c>
      <c r="E4390" t="s">
        <v>21</v>
      </c>
    </row>
    <row r="4391" spans="1:5" hidden="1" outlineLevel="2">
      <c r="A4391" s="3" t="e">
        <f>(HYPERLINK("http://www.autodoc.ru/Web/price/art/5125BBLH?analog=on","5125BBLH"))*1</f>
        <v>#VALUE!</v>
      </c>
      <c r="B4391" s="1">
        <v>6998950</v>
      </c>
      <c r="C4391" t="s">
        <v>3815</v>
      </c>
      <c r="D4391" t="s">
        <v>4596</v>
      </c>
      <c r="E4391" t="s">
        <v>23</v>
      </c>
    </row>
    <row r="4392" spans="1:5" hidden="1" outlineLevel="2">
      <c r="A4392" s="3" t="e">
        <f>(HYPERLINK("http://www.autodoc.ru/Web/price/art/5125LBLH5FD?analog=on","5125LBLH5FD"))*1</f>
        <v>#VALUE!</v>
      </c>
      <c r="B4392" s="1">
        <v>6995321</v>
      </c>
      <c r="C4392" t="s">
        <v>3815</v>
      </c>
      <c r="D4392" t="s">
        <v>4597</v>
      </c>
      <c r="E4392" t="s">
        <v>10</v>
      </c>
    </row>
    <row r="4393" spans="1:5" hidden="1" outlineLevel="2">
      <c r="A4393" s="3" t="e">
        <f>(HYPERLINK("http://www.autodoc.ru/Web/price/art/5125LBLH5RV?analog=on","5125LBLH5RV"))*1</f>
        <v>#VALUE!</v>
      </c>
      <c r="B4393" s="1">
        <v>6995713</v>
      </c>
      <c r="C4393" t="s">
        <v>3815</v>
      </c>
      <c r="D4393" t="s">
        <v>4598</v>
      </c>
      <c r="E4393" t="s">
        <v>10</v>
      </c>
    </row>
    <row r="4394" spans="1:5" hidden="1" outlineLevel="2">
      <c r="A4394" s="3" t="e">
        <f>(HYPERLINK("http://www.autodoc.ru/Web/price/art/5125RBLH3FD?analog=on","5125RBLH3FD"))*1</f>
        <v>#VALUE!</v>
      </c>
      <c r="B4394" s="1">
        <v>6996738</v>
      </c>
      <c r="C4394" t="s">
        <v>3815</v>
      </c>
      <c r="D4394" t="s">
        <v>4599</v>
      </c>
      <c r="E4394" t="s">
        <v>10</v>
      </c>
    </row>
    <row r="4395" spans="1:5" hidden="1" outlineLevel="2">
      <c r="A4395" s="3" t="e">
        <f>(HYPERLINK("http://www.autodoc.ru/Web/price/art/5125RBLH5FD?analog=on","5125RBLH5FD"))*1</f>
        <v>#VALUE!</v>
      </c>
      <c r="B4395" s="1">
        <v>6995322</v>
      </c>
      <c r="C4395" t="s">
        <v>3815</v>
      </c>
      <c r="D4395" t="s">
        <v>4600</v>
      </c>
      <c r="E4395" t="s">
        <v>10</v>
      </c>
    </row>
    <row r="4396" spans="1:5" hidden="1" outlineLevel="2">
      <c r="A4396" s="3" t="e">
        <f>(HYPERLINK("http://www.autodoc.ru/Web/price/art/5125RBLH5RV?analog=on","5125RBLH5RV"))*1</f>
        <v>#VALUE!</v>
      </c>
      <c r="B4396" s="1">
        <v>6995714</v>
      </c>
      <c r="C4396" t="s">
        <v>3815</v>
      </c>
      <c r="D4396" t="s">
        <v>4601</v>
      </c>
      <c r="E4396" t="s">
        <v>10</v>
      </c>
    </row>
    <row r="4397" spans="1:5" hidden="1" outlineLevel="1">
      <c r="A4397" s="2">
        <v>0</v>
      </c>
      <c r="B4397" s="26" t="s">
        <v>4602</v>
      </c>
      <c r="C4397" s="27">
        <v>0</v>
      </c>
      <c r="D4397" s="27">
        <v>0</v>
      </c>
      <c r="E4397" s="27">
        <v>0</v>
      </c>
    </row>
    <row r="4398" spans="1:5" hidden="1" outlineLevel="2">
      <c r="A4398" s="3" t="e">
        <f>(HYPERLINK("http://www.autodoc.ru/Web/price/art/5134ABL?analog=on","5134ABL"))*1</f>
        <v>#VALUE!</v>
      </c>
      <c r="B4398" s="1">
        <v>6969252</v>
      </c>
      <c r="C4398" t="s">
        <v>1141</v>
      </c>
      <c r="D4398" t="s">
        <v>4603</v>
      </c>
      <c r="E4398" t="s">
        <v>8</v>
      </c>
    </row>
    <row r="4399" spans="1:5" hidden="1" outlineLevel="2">
      <c r="A4399" s="3" t="e">
        <f>(HYPERLINK("http://www.autodoc.ru/Web/price/art/5134AGNBL?analog=on","5134AGNBL"))*1</f>
        <v>#VALUE!</v>
      </c>
      <c r="B4399" s="1">
        <v>6964517</v>
      </c>
      <c r="C4399" t="s">
        <v>1141</v>
      </c>
      <c r="D4399" t="s">
        <v>4604</v>
      </c>
      <c r="E4399" t="s">
        <v>8</v>
      </c>
    </row>
    <row r="4400" spans="1:5" hidden="1" outlineLevel="2">
      <c r="A4400" s="3" t="e">
        <f>(HYPERLINK("http://www.autodoc.ru/Web/price/art/5134ASMHT?analog=on","5134ASMHT"))*1</f>
        <v>#VALUE!</v>
      </c>
      <c r="B4400" s="1">
        <v>6101170</v>
      </c>
      <c r="C4400" t="s">
        <v>19</v>
      </c>
      <c r="D4400" t="s">
        <v>4605</v>
      </c>
      <c r="E4400" t="s">
        <v>21</v>
      </c>
    </row>
    <row r="4401" spans="1:5" hidden="1" outlineLevel="2">
      <c r="A4401" s="3" t="e">
        <f>(HYPERLINK("http://www.autodoc.ru/Web/price/art/5134BBLH?analog=on","5134BBLH"))*1</f>
        <v>#VALUE!</v>
      </c>
      <c r="B4401" s="1">
        <v>6998951</v>
      </c>
      <c r="C4401" t="s">
        <v>1141</v>
      </c>
      <c r="D4401" t="s">
        <v>4606</v>
      </c>
      <c r="E4401" t="s">
        <v>23</v>
      </c>
    </row>
    <row r="4402" spans="1:5" hidden="1" outlineLevel="2">
      <c r="A4402" s="3" t="e">
        <f>(HYPERLINK("http://www.autodoc.ru/Web/price/art/5134LBLH3FD?analog=on","5134LBLH3FD"))*1</f>
        <v>#VALUE!</v>
      </c>
      <c r="B4402" s="1">
        <v>6996746</v>
      </c>
      <c r="C4402" t="s">
        <v>1141</v>
      </c>
      <c r="D4402" t="s">
        <v>4607</v>
      </c>
      <c r="E4402" t="s">
        <v>10</v>
      </c>
    </row>
    <row r="4403" spans="1:5" hidden="1" outlineLevel="2">
      <c r="A4403" s="3" t="e">
        <f>(HYPERLINK("http://www.autodoc.ru/Web/price/art/5134LBLH3RQO?analog=on","5134LBLH3RQO"))*1</f>
        <v>#VALUE!</v>
      </c>
      <c r="B4403" s="1">
        <v>6996747</v>
      </c>
      <c r="C4403" t="s">
        <v>1141</v>
      </c>
      <c r="D4403" t="s">
        <v>4608</v>
      </c>
      <c r="E4403" t="s">
        <v>10</v>
      </c>
    </row>
    <row r="4404" spans="1:5" hidden="1" outlineLevel="2">
      <c r="A4404" s="3" t="e">
        <f>(HYPERLINK("http://www.autodoc.ru/Web/price/art/5134RBLH3FD?analog=on","5134RBLH3FD"))*1</f>
        <v>#VALUE!</v>
      </c>
      <c r="B4404" s="1">
        <v>6996748</v>
      </c>
      <c r="C4404" t="s">
        <v>1141</v>
      </c>
      <c r="D4404" t="s">
        <v>4609</v>
      </c>
      <c r="E4404" t="s">
        <v>10</v>
      </c>
    </row>
    <row r="4405" spans="1:5" hidden="1" outlineLevel="2">
      <c r="A4405" s="3" t="e">
        <f>(HYPERLINK("http://www.autodoc.ru/Web/price/art/5134RBLH3RQO?analog=on","5134RBLH3RQO"))*1</f>
        <v>#VALUE!</v>
      </c>
      <c r="B4405" s="1">
        <v>6996749</v>
      </c>
      <c r="C4405" t="s">
        <v>1141</v>
      </c>
      <c r="D4405" t="s">
        <v>4610</v>
      </c>
      <c r="E4405" t="s">
        <v>10</v>
      </c>
    </row>
    <row r="4406" spans="1:5" hidden="1" outlineLevel="1">
      <c r="A4406" s="2">
        <v>0</v>
      </c>
      <c r="B4406" s="26" t="s">
        <v>4611</v>
      </c>
      <c r="C4406" s="27">
        <v>0</v>
      </c>
      <c r="D4406" s="27">
        <v>0</v>
      </c>
      <c r="E4406" s="27">
        <v>0</v>
      </c>
    </row>
    <row r="4407" spans="1:5" hidden="1" outlineLevel="2">
      <c r="A4407" s="3" t="e">
        <f>(HYPERLINK("http://www.autodoc.ru/Web/price/art/5135ABL?analog=on","5135ABL"))*1</f>
        <v>#VALUE!</v>
      </c>
      <c r="B4407" s="1">
        <v>6963384</v>
      </c>
      <c r="C4407" t="s">
        <v>1141</v>
      </c>
      <c r="D4407" t="s">
        <v>4612</v>
      </c>
      <c r="E4407" t="s">
        <v>8</v>
      </c>
    </row>
    <row r="4408" spans="1:5" hidden="1" outlineLevel="2">
      <c r="A4408" s="3" t="e">
        <f>(HYPERLINK("http://www.autodoc.ru/Web/price/art/5135ABLBL?analog=on","5135ABLBL"))*1</f>
        <v>#VALUE!</v>
      </c>
      <c r="B4408" s="1">
        <v>6963385</v>
      </c>
      <c r="C4408" t="s">
        <v>1141</v>
      </c>
      <c r="D4408" t="s">
        <v>4613</v>
      </c>
      <c r="E4408" t="s">
        <v>8</v>
      </c>
    </row>
    <row r="4409" spans="1:5" hidden="1" outlineLevel="2">
      <c r="A4409" s="3" t="e">
        <f>(HYPERLINK("http://www.autodoc.ru/Web/price/art/5135ASMST?analog=on","5135ASMST"))*1</f>
        <v>#VALUE!</v>
      </c>
      <c r="B4409" s="1">
        <v>6101154</v>
      </c>
      <c r="C4409" t="s">
        <v>19</v>
      </c>
      <c r="D4409" t="s">
        <v>4614</v>
      </c>
      <c r="E4409" t="s">
        <v>21</v>
      </c>
    </row>
    <row r="4410" spans="1:5" hidden="1" outlineLevel="2">
      <c r="A4410" s="3" t="e">
        <f>(HYPERLINK("http://www.autodoc.ru/Web/price/art/5135BBLS?analog=on","5135BBLS"))*1</f>
        <v>#VALUE!</v>
      </c>
      <c r="B4410" s="1">
        <v>6998952</v>
      </c>
      <c r="C4410" t="s">
        <v>1141</v>
      </c>
      <c r="D4410" t="s">
        <v>4615</v>
      </c>
      <c r="E4410" t="s">
        <v>23</v>
      </c>
    </row>
    <row r="4411" spans="1:5" hidden="1" outlineLevel="2">
      <c r="A4411" s="3" t="e">
        <f>(HYPERLINK("http://www.autodoc.ru/Web/price/art/5135LBLS4FD?analog=on","5135LBLS4FD"))*1</f>
        <v>#VALUE!</v>
      </c>
      <c r="B4411" s="1">
        <v>6995373</v>
      </c>
      <c r="C4411" t="s">
        <v>1141</v>
      </c>
      <c r="D4411" t="s">
        <v>4616</v>
      </c>
      <c r="E4411" t="s">
        <v>10</v>
      </c>
    </row>
    <row r="4412" spans="1:5" hidden="1" outlineLevel="2">
      <c r="A4412" s="3" t="e">
        <f>(HYPERLINK("http://www.autodoc.ru/Web/price/art/5135RBLS4FD?analog=on","5135RBLS4FD"))*1</f>
        <v>#VALUE!</v>
      </c>
      <c r="B4412" s="1">
        <v>6995375</v>
      </c>
      <c r="C4412" t="s">
        <v>1141</v>
      </c>
      <c r="D4412" t="s">
        <v>4617</v>
      </c>
      <c r="E4412" t="s">
        <v>10</v>
      </c>
    </row>
    <row r="4413" spans="1:5" hidden="1" outlineLevel="2">
      <c r="A4413" s="3" t="e">
        <f>(HYPERLINK("http://www.autodoc.ru/Web/price/art/5135RBLS4RV?analog=on","5135RBLS4RV"))*1</f>
        <v>#VALUE!</v>
      </c>
      <c r="B4413" s="1">
        <v>6995376</v>
      </c>
      <c r="C4413" t="s">
        <v>1141</v>
      </c>
      <c r="D4413" t="s">
        <v>4618</v>
      </c>
      <c r="E4413" t="s">
        <v>10</v>
      </c>
    </row>
    <row r="4414" spans="1:5" hidden="1" outlineLevel="1">
      <c r="A4414" s="2">
        <v>0</v>
      </c>
      <c r="B4414" s="26" t="s">
        <v>4619</v>
      </c>
      <c r="C4414" s="27">
        <v>0</v>
      </c>
      <c r="D4414" s="27">
        <v>0</v>
      </c>
      <c r="E4414" s="27">
        <v>0</v>
      </c>
    </row>
    <row r="4415" spans="1:5" hidden="1" outlineLevel="2">
      <c r="A4415" s="3" t="e">
        <f>(HYPERLINK("http://www.autodoc.ru/Web/price/art/5136ABL?analog=on","5136ABL"))*1</f>
        <v>#VALUE!</v>
      </c>
      <c r="B4415" s="1">
        <v>6969265</v>
      </c>
      <c r="C4415" t="s">
        <v>1141</v>
      </c>
      <c r="D4415" t="s">
        <v>4620</v>
      </c>
      <c r="E4415" t="s">
        <v>8</v>
      </c>
    </row>
    <row r="4416" spans="1:5" hidden="1" outlineLevel="2">
      <c r="A4416" s="3" t="e">
        <f>(HYPERLINK("http://www.autodoc.ru/Web/price/art/5136ABLBL?analog=on","5136ABLBL"))*1</f>
        <v>#VALUE!</v>
      </c>
      <c r="B4416" s="1">
        <v>6969270</v>
      </c>
      <c r="C4416" t="s">
        <v>1141</v>
      </c>
      <c r="D4416" t="s">
        <v>4621</v>
      </c>
      <c r="E4416" t="s">
        <v>8</v>
      </c>
    </row>
    <row r="4417" spans="1:5" hidden="1" outlineLevel="2">
      <c r="A4417" s="3" t="e">
        <f>(HYPERLINK("http://www.autodoc.ru/Web/price/art/5136AKSH?analog=on","5136AKSH"))*1</f>
        <v>#VALUE!</v>
      </c>
      <c r="B4417" s="1">
        <v>6100490</v>
      </c>
      <c r="C4417" t="s">
        <v>19</v>
      </c>
      <c r="D4417" t="s">
        <v>4622</v>
      </c>
      <c r="E4417" t="s">
        <v>21</v>
      </c>
    </row>
    <row r="4418" spans="1:5" hidden="1" outlineLevel="2">
      <c r="A4418" s="3" t="e">
        <f>(HYPERLINK("http://www.autodoc.ru/Web/price/art/5136ASMHT?analog=on","5136ASMHT"))*1</f>
        <v>#VALUE!</v>
      </c>
      <c r="B4418" s="1">
        <v>6101217</v>
      </c>
      <c r="C4418" t="s">
        <v>19</v>
      </c>
      <c r="D4418" t="s">
        <v>4623</v>
      </c>
      <c r="E4418" t="s">
        <v>21</v>
      </c>
    </row>
    <row r="4419" spans="1:5" hidden="1" outlineLevel="2">
      <c r="A4419" s="3" t="e">
        <f>(HYPERLINK("http://www.autodoc.ru/Web/price/art/5136LBLH5FD?analog=on","5136LBLH5FD"))*1</f>
        <v>#VALUE!</v>
      </c>
      <c r="B4419" s="1">
        <v>6995715</v>
      </c>
      <c r="C4419" t="s">
        <v>1141</v>
      </c>
      <c r="D4419" t="s">
        <v>4624</v>
      </c>
      <c r="E4419" t="s">
        <v>10</v>
      </c>
    </row>
    <row r="4420" spans="1:5" hidden="1" outlineLevel="2">
      <c r="A4420" s="3" t="e">
        <f>(HYPERLINK("http://www.autodoc.ru/Web/price/art/5136RBLH5FD?analog=on","5136RBLH5FD"))*1</f>
        <v>#VALUE!</v>
      </c>
      <c r="B4420" s="1">
        <v>6995717</v>
      </c>
      <c r="C4420" t="s">
        <v>1141</v>
      </c>
      <c r="D4420" t="s">
        <v>4625</v>
      </c>
      <c r="E4420" t="s">
        <v>10</v>
      </c>
    </row>
    <row r="4421" spans="1:5" hidden="1" outlineLevel="2">
      <c r="A4421" s="3" t="e">
        <f>(HYPERLINK("http://www.autodoc.ru/Web/price/art/5136RBLH5RD?analog=on","5136RBLH5RD"))*1</f>
        <v>#VALUE!</v>
      </c>
      <c r="B4421" s="1">
        <v>6995718</v>
      </c>
      <c r="C4421" t="s">
        <v>1141</v>
      </c>
      <c r="D4421" t="s">
        <v>4626</v>
      </c>
      <c r="E4421" t="s">
        <v>10</v>
      </c>
    </row>
    <row r="4422" spans="1:5" hidden="1" outlineLevel="1">
      <c r="A4422" s="2">
        <v>0</v>
      </c>
      <c r="B4422" s="26" t="s">
        <v>4627</v>
      </c>
      <c r="C4422" s="27">
        <v>0</v>
      </c>
      <c r="D4422" s="27">
        <v>0</v>
      </c>
      <c r="E4422" s="27">
        <v>0</v>
      </c>
    </row>
    <row r="4423" spans="1:5" hidden="1" outlineLevel="2">
      <c r="A4423" s="3" t="e">
        <f>(HYPERLINK("http://www.autodoc.ru/Web/price/art/5150ABL?analog=on","5150ABL"))*1</f>
        <v>#VALUE!</v>
      </c>
      <c r="B4423" s="1">
        <v>6963387</v>
      </c>
      <c r="C4423" t="s">
        <v>354</v>
      </c>
      <c r="D4423" t="s">
        <v>4628</v>
      </c>
      <c r="E4423" t="s">
        <v>8</v>
      </c>
    </row>
    <row r="4424" spans="1:5" hidden="1" outlineLevel="2">
      <c r="A4424" s="3" t="e">
        <f>(HYPERLINK("http://www.autodoc.ru/Web/price/art/5150ABLBL?analog=on","5150ABLBL"))*1</f>
        <v>#VALUE!</v>
      </c>
      <c r="B4424" s="1">
        <v>6963223</v>
      </c>
      <c r="C4424" t="s">
        <v>354</v>
      </c>
      <c r="D4424" t="s">
        <v>4629</v>
      </c>
      <c r="E4424" t="s">
        <v>8</v>
      </c>
    </row>
    <row r="4425" spans="1:5" hidden="1" outlineLevel="2">
      <c r="A4425" s="3" t="e">
        <f>(HYPERLINK("http://www.autodoc.ru/Web/price/art/5150AGN?analog=on","5150AGN"))*1</f>
        <v>#VALUE!</v>
      </c>
      <c r="B4425" s="1">
        <v>6963388</v>
      </c>
      <c r="C4425" t="s">
        <v>354</v>
      </c>
      <c r="D4425" t="s">
        <v>4630</v>
      </c>
      <c r="E4425" t="s">
        <v>8</v>
      </c>
    </row>
    <row r="4426" spans="1:5" hidden="1" outlineLevel="2">
      <c r="A4426" s="3" t="e">
        <f>(HYPERLINK("http://www.autodoc.ru/Web/price/art/5150AGNBL?analog=on","5150AGNBL"))*1</f>
        <v>#VALUE!</v>
      </c>
      <c r="B4426" s="1">
        <v>6964147</v>
      </c>
      <c r="C4426" t="s">
        <v>354</v>
      </c>
      <c r="D4426" t="s">
        <v>4631</v>
      </c>
      <c r="E4426" t="s">
        <v>8</v>
      </c>
    </row>
    <row r="4427" spans="1:5" hidden="1" outlineLevel="2">
      <c r="A4427" s="3" t="e">
        <f>(HYPERLINK("http://www.autodoc.ru/Web/price/art/5150ASMH?analog=on","5150ASMH"))*1</f>
        <v>#VALUE!</v>
      </c>
      <c r="B4427" s="1">
        <v>6101137</v>
      </c>
      <c r="C4427" t="s">
        <v>19</v>
      </c>
      <c r="D4427" t="s">
        <v>4632</v>
      </c>
      <c r="E4427" t="s">
        <v>21</v>
      </c>
    </row>
    <row r="4428" spans="1:5" hidden="1" outlineLevel="2">
      <c r="A4428" s="3" t="e">
        <f>(HYPERLINK("http://www.autodoc.ru/Web/price/art/5150BBLS?analog=on","5150BBLS"))*1</f>
        <v>#VALUE!</v>
      </c>
      <c r="B4428" s="1">
        <v>6998081</v>
      </c>
      <c r="C4428" t="s">
        <v>354</v>
      </c>
      <c r="D4428" t="s">
        <v>4633</v>
      </c>
      <c r="E4428" t="s">
        <v>23</v>
      </c>
    </row>
    <row r="4429" spans="1:5" hidden="1" outlineLevel="2">
      <c r="A4429" s="3" t="e">
        <f>(HYPERLINK("http://www.autodoc.ru/Web/price/art/5150BGNS?analog=on","5150BGNS"))*1</f>
        <v>#VALUE!</v>
      </c>
      <c r="B4429" s="1">
        <v>6998082</v>
      </c>
      <c r="C4429" t="s">
        <v>354</v>
      </c>
      <c r="D4429" t="s">
        <v>4634</v>
      </c>
      <c r="E4429" t="s">
        <v>23</v>
      </c>
    </row>
    <row r="4430" spans="1:5" hidden="1" outlineLevel="2">
      <c r="A4430" s="3" t="e">
        <f>(HYPERLINK("http://www.autodoc.ru/Web/price/art/5150LBLS4FD?analog=on","5150LBLS4FD"))*1</f>
        <v>#VALUE!</v>
      </c>
      <c r="B4430" s="1">
        <v>6996995</v>
      </c>
      <c r="C4430" t="s">
        <v>354</v>
      </c>
      <c r="D4430" t="s">
        <v>4635</v>
      </c>
      <c r="E4430" t="s">
        <v>10</v>
      </c>
    </row>
    <row r="4431" spans="1:5" hidden="1" outlineLevel="2">
      <c r="A4431" s="3" t="e">
        <f>(HYPERLINK("http://www.autodoc.ru/Web/price/art/5150LGNS4FD?analog=on","5150LGNS4FD"))*1</f>
        <v>#VALUE!</v>
      </c>
      <c r="B4431" s="1">
        <v>6996999</v>
      </c>
      <c r="C4431" t="s">
        <v>354</v>
      </c>
      <c r="D4431" t="s">
        <v>4636</v>
      </c>
      <c r="E4431" t="s">
        <v>10</v>
      </c>
    </row>
    <row r="4432" spans="1:5" hidden="1" outlineLevel="2">
      <c r="A4432" s="3" t="e">
        <f>(HYPERLINK("http://www.autodoc.ru/Web/price/art/5150RBLS4FD?analog=on","5150RBLS4FD"))*1</f>
        <v>#VALUE!</v>
      </c>
      <c r="B4432" s="1">
        <v>6996997</v>
      </c>
      <c r="C4432" t="s">
        <v>354</v>
      </c>
      <c r="D4432" t="s">
        <v>4637</v>
      </c>
      <c r="E4432" t="s">
        <v>10</v>
      </c>
    </row>
    <row r="4433" spans="1:5" hidden="1" outlineLevel="2">
      <c r="A4433" s="3" t="e">
        <f>(HYPERLINK("http://www.autodoc.ru/Web/price/art/5150RGNH3FD?analog=on","5150RGNH3FD"))*1</f>
        <v>#VALUE!</v>
      </c>
      <c r="B4433" s="1">
        <v>6993232</v>
      </c>
      <c r="C4433" t="s">
        <v>4063</v>
      </c>
      <c r="D4433" t="s">
        <v>4638</v>
      </c>
      <c r="E4433" t="s">
        <v>10</v>
      </c>
    </row>
    <row r="4434" spans="1:5" hidden="1" outlineLevel="2">
      <c r="A4434" s="3" t="e">
        <f>(HYPERLINK("http://www.autodoc.ru/Web/price/art/5150RGNS4FD?analog=on","5150RGNS4FD"))*1</f>
        <v>#VALUE!</v>
      </c>
      <c r="B4434" s="1">
        <v>6999107</v>
      </c>
      <c r="C4434" t="s">
        <v>354</v>
      </c>
      <c r="D4434" t="s">
        <v>4639</v>
      </c>
      <c r="E4434" t="s">
        <v>10</v>
      </c>
    </row>
    <row r="4435" spans="1:5" hidden="1" outlineLevel="2">
      <c r="A4435" s="3" t="e">
        <f>(HYPERLINK("http://www.autodoc.ru/Web/price/art/5150RGNS4RD?analog=on","5150RGNS4RD"))*1</f>
        <v>#VALUE!</v>
      </c>
      <c r="B4435" s="1">
        <v>6999108</v>
      </c>
      <c r="C4435" t="s">
        <v>354</v>
      </c>
      <c r="D4435" t="s">
        <v>4640</v>
      </c>
      <c r="E4435" t="s">
        <v>10</v>
      </c>
    </row>
    <row r="4436" spans="1:5" hidden="1" outlineLevel="1">
      <c r="A4436" s="2">
        <v>0</v>
      </c>
      <c r="B4436" s="26" t="s">
        <v>4641</v>
      </c>
      <c r="C4436" s="27">
        <v>0</v>
      </c>
      <c r="D4436" s="27">
        <v>0</v>
      </c>
      <c r="E4436" s="27">
        <v>0</v>
      </c>
    </row>
    <row r="4437" spans="1:5" hidden="1" outlineLevel="2">
      <c r="A4437" s="3" t="e">
        <f>(HYPERLINK("http://www.autodoc.ru/Web/price/art/5149ABL?analog=on","5149ABL"))*1</f>
        <v>#VALUE!</v>
      </c>
      <c r="B4437" s="1">
        <v>6963386</v>
      </c>
      <c r="C4437" t="s">
        <v>354</v>
      </c>
      <c r="D4437" t="s">
        <v>4642</v>
      </c>
      <c r="E4437" t="s">
        <v>8</v>
      </c>
    </row>
    <row r="4438" spans="1:5" hidden="1" outlineLevel="2">
      <c r="A4438" s="3" t="e">
        <f>(HYPERLINK("http://www.autodoc.ru/Web/price/art/5149ABLBL?analog=on","5149ABLBL"))*1</f>
        <v>#VALUE!</v>
      </c>
      <c r="B4438" s="1">
        <v>6963222</v>
      </c>
      <c r="C4438" t="s">
        <v>354</v>
      </c>
      <c r="D4438" t="s">
        <v>4643</v>
      </c>
      <c r="E4438" t="s">
        <v>8</v>
      </c>
    </row>
    <row r="4439" spans="1:5" hidden="1" outlineLevel="2">
      <c r="A4439" s="3" t="e">
        <f>(HYPERLINK("http://www.autodoc.ru/Web/price/art/5149AGN?analog=on","5149AGN"))*1</f>
        <v>#VALUE!</v>
      </c>
      <c r="B4439" s="1">
        <v>6969218</v>
      </c>
      <c r="C4439" t="s">
        <v>354</v>
      </c>
      <c r="D4439" t="s">
        <v>4644</v>
      </c>
      <c r="E4439" t="s">
        <v>8</v>
      </c>
    </row>
    <row r="4440" spans="1:5" hidden="1" outlineLevel="2">
      <c r="A4440" s="3" t="e">
        <f>(HYPERLINK("http://www.autodoc.ru/Web/price/art/5149AGNBL?analog=on","5149AGNBL"))*1</f>
        <v>#VALUE!</v>
      </c>
      <c r="B4440" s="1">
        <v>6961995</v>
      </c>
      <c r="C4440" t="s">
        <v>354</v>
      </c>
      <c r="D4440" t="s">
        <v>4645</v>
      </c>
      <c r="E4440" t="s">
        <v>8</v>
      </c>
    </row>
    <row r="4441" spans="1:5" hidden="1" outlineLevel="2">
      <c r="A4441" s="3" t="e">
        <f>(HYPERLINK("http://www.autodoc.ru/Web/price/art/5149AKCH?analog=on","5149AKCH"))*1</f>
        <v>#VALUE!</v>
      </c>
      <c r="B4441" s="1">
        <v>6102347</v>
      </c>
      <c r="C4441" t="s">
        <v>19</v>
      </c>
      <c r="D4441" t="s">
        <v>4646</v>
      </c>
      <c r="E4441" t="s">
        <v>21</v>
      </c>
    </row>
    <row r="4442" spans="1:5" hidden="1" outlineLevel="2">
      <c r="A4442" s="3" t="e">
        <f>(HYPERLINK("http://www.autodoc.ru/Web/price/art/5149ASMHT?analog=on","5149ASMHT"))*1</f>
        <v>#VALUE!</v>
      </c>
      <c r="B4442" s="1">
        <v>6100114</v>
      </c>
      <c r="C4442" t="s">
        <v>19</v>
      </c>
      <c r="D4442" t="s">
        <v>4647</v>
      </c>
      <c r="E4442" t="s">
        <v>21</v>
      </c>
    </row>
    <row r="4443" spans="1:5" hidden="1" outlineLevel="2">
      <c r="A4443" s="3" t="e">
        <f>(HYPERLINK("http://www.autodoc.ru/Web/price/art/5149BGNH?analog=on","5149BGNH"))*1</f>
        <v>#VALUE!</v>
      </c>
      <c r="B4443" s="1">
        <v>6980326</v>
      </c>
      <c r="C4443" t="s">
        <v>354</v>
      </c>
      <c r="D4443" t="s">
        <v>4648</v>
      </c>
      <c r="E4443" t="s">
        <v>23</v>
      </c>
    </row>
    <row r="4444" spans="1:5" hidden="1" outlineLevel="2">
      <c r="A4444" s="3" t="e">
        <f>(HYPERLINK("http://www.autodoc.ru/Web/price/art/5149LBLH5FD?analog=on","5149LBLH5FD"))*1</f>
        <v>#VALUE!</v>
      </c>
      <c r="B4444" s="1">
        <v>6994126</v>
      </c>
      <c r="C4444" t="s">
        <v>354</v>
      </c>
      <c r="D4444" t="s">
        <v>4649</v>
      </c>
      <c r="E4444" t="s">
        <v>10</v>
      </c>
    </row>
    <row r="4445" spans="1:5" hidden="1" outlineLevel="2">
      <c r="A4445" s="3" t="e">
        <f>(HYPERLINK("http://www.autodoc.ru/Web/price/art/5149LBLH5RD?analog=on","5149LBLH5RD"))*1</f>
        <v>#VALUE!</v>
      </c>
      <c r="B4445" s="1">
        <v>6994138</v>
      </c>
      <c r="C4445" t="s">
        <v>354</v>
      </c>
      <c r="D4445" t="s">
        <v>4650</v>
      </c>
      <c r="E4445" t="s">
        <v>10</v>
      </c>
    </row>
    <row r="4446" spans="1:5" hidden="1" outlineLevel="2">
      <c r="A4446" s="3" t="e">
        <f>(HYPERLINK("http://www.autodoc.ru/Web/price/art/5149LGNH5FDW?analog=on","5149LGNH5FDW"))*1</f>
        <v>#VALUE!</v>
      </c>
      <c r="B4446" s="1">
        <v>6995393</v>
      </c>
      <c r="C4446" t="s">
        <v>354</v>
      </c>
      <c r="D4446" t="s">
        <v>4651</v>
      </c>
      <c r="E4446" t="s">
        <v>10</v>
      </c>
    </row>
    <row r="4447" spans="1:5" hidden="1" outlineLevel="2">
      <c r="A4447" s="3" t="e">
        <f>(HYPERLINK("http://www.autodoc.ru/Web/price/art/5149LGNH5RDW?analog=on","5149LGNH5RDW"))*1</f>
        <v>#VALUE!</v>
      </c>
      <c r="B4447" s="1">
        <v>6995394</v>
      </c>
      <c r="C4447" t="s">
        <v>354</v>
      </c>
      <c r="D4447" t="s">
        <v>4652</v>
      </c>
      <c r="E4447" t="s">
        <v>10</v>
      </c>
    </row>
    <row r="4448" spans="1:5" hidden="1" outlineLevel="2">
      <c r="A4448" s="3" t="e">
        <f>(HYPERLINK("http://www.autodoc.ru/Web/price/art/5149RBLH5FD?analog=on","5149RBLH5FD"))*1</f>
        <v>#VALUE!</v>
      </c>
      <c r="B4448" s="1">
        <v>6994127</v>
      </c>
      <c r="C4448" t="s">
        <v>354</v>
      </c>
      <c r="D4448" t="s">
        <v>4653</v>
      </c>
      <c r="E4448" t="s">
        <v>10</v>
      </c>
    </row>
    <row r="4449" spans="1:5" hidden="1" outlineLevel="2">
      <c r="A4449" s="3" t="e">
        <f>(HYPERLINK("http://www.autodoc.ru/Web/price/art/5149RGNH5FDW?analog=on","5149RGNH5FDW"))*1</f>
        <v>#VALUE!</v>
      </c>
      <c r="B4449" s="1">
        <v>6995395</v>
      </c>
      <c r="C4449" t="s">
        <v>354</v>
      </c>
      <c r="D4449" t="s">
        <v>4654</v>
      </c>
      <c r="E4449" t="s">
        <v>10</v>
      </c>
    </row>
    <row r="4450" spans="1:5" hidden="1" outlineLevel="1">
      <c r="A4450" s="2">
        <v>0</v>
      </c>
      <c r="B4450" s="26" t="s">
        <v>4655</v>
      </c>
      <c r="C4450" s="27">
        <v>0</v>
      </c>
      <c r="D4450" s="27">
        <v>0</v>
      </c>
      <c r="E4450" s="27">
        <v>0</v>
      </c>
    </row>
    <row r="4451" spans="1:5" hidden="1" outlineLevel="2">
      <c r="A4451" s="3" t="e">
        <f>(HYPERLINK("http://www.autodoc.ru/Web/price/art/5155AGN?analog=on","5155AGN"))*1</f>
        <v>#VALUE!</v>
      </c>
      <c r="B4451" s="1">
        <v>6965211</v>
      </c>
      <c r="C4451" t="s">
        <v>359</v>
      </c>
      <c r="D4451" t="s">
        <v>4656</v>
      </c>
      <c r="E4451" t="s">
        <v>8</v>
      </c>
    </row>
    <row r="4452" spans="1:5" hidden="1" outlineLevel="2">
      <c r="A4452" s="3" t="e">
        <f>(HYPERLINK("http://www.autodoc.ru/Web/price/art/5155AGNBL?analog=on","5155AGNBL"))*1</f>
        <v>#VALUE!</v>
      </c>
      <c r="B4452" s="1">
        <v>6960999</v>
      </c>
      <c r="C4452" t="s">
        <v>359</v>
      </c>
      <c r="D4452" t="s">
        <v>4657</v>
      </c>
      <c r="E4452" t="s">
        <v>8</v>
      </c>
    </row>
    <row r="4453" spans="1:5" hidden="1" outlineLevel="2">
      <c r="A4453" s="3" t="e">
        <f>(HYPERLINK("http://www.autodoc.ru/Web/price/art/5155AGNGN?analog=on","5155AGNGN"))*1</f>
        <v>#VALUE!</v>
      </c>
      <c r="B4453" s="1">
        <v>6963210</v>
      </c>
      <c r="C4453" t="s">
        <v>359</v>
      </c>
      <c r="D4453" t="s">
        <v>4658</v>
      </c>
      <c r="E4453" t="s">
        <v>8</v>
      </c>
    </row>
    <row r="4454" spans="1:5" hidden="1" outlineLevel="2">
      <c r="A4454" s="3" t="e">
        <f>(HYPERLINK("http://www.autodoc.ru/Web/price/art/5155ASMH?analog=on","5155ASMH"))*1</f>
        <v>#VALUE!</v>
      </c>
      <c r="B4454" s="1">
        <v>6100116</v>
      </c>
      <c r="C4454" t="s">
        <v>19</v>
      </c>
      <c r="D4454" t="s">
        <v>4659</v>
      </c>
      <c r="E4454" t="s">
        <v>21</v>
      </c>
    </row>
    <row r="4455" spans="1:5" hidden="1" outlineLevel="2">
      <c r="A4455" s="3" t="e">
        <f>(HYPERLINK("http://www.autodoc.ru/Web/price/art/5155BGNH?analog=on","5155BGNH"))*1</f>
        <v>#VALUE!</v>
      </c>
      <c r="B4455" s="1">
        <v>6992419</v>
      </c>
      <c r="C4455" t="s">
        <v>359</v>
      </c>
      <c r="D4455" t="s">
        <v>4660</v>
      </c>
      <c r="E4455" t="s">
        <v>23</v>
      </c>
    </row>
    <row r="4456" spans="1:5" hidden="1" outlineLevel="2">
      <c r="A4456" s="3" t="e">
        <f>(HYPERLINK("http://www.autodoc.ru/Web/price/art/5155BGNS?analog=on","5155BGNS"))*1</f>
        <v>#VALUE!</v>
      </c>
      <c r="B4456" s="1">
        <v>6992489</v>
      </c>
      <c r="C4456" t="s">
        <v>359</v>
      </c>
      <c r="D4456" t="s">
        <v>4661</v>
      </c>
      <c r="E4456" t="s">
        <v>23</v>
      </c>
    </row>
    <row r="4457" spans="1:5" hidden="1" outlineLevel="2">
      <c r="A4457" s="3" t="e">
        <f>(HYPERLINK("http://www.autodoc.ru/Web/price/art/5155LGNH5FD?analog=on","5155LGNH5FD"))*1</f>
        <v>#VALUE!</v>
      </c>
      <c r="B4457" s="1">
        <v>6992492</v>
      </c>
      <c r="C4457" t="s">
        <v>359</v>
      </c>
      <c r="D4457" t="s">
        <v>4662</v>
      </c>
      <c r="E4457" t="s">
        <v>10</v>
      </c>
    </row>
    <row r="4458" spans="1:5" hidden="1" outlineLevel="2">
      <c r="A4458" s="3" t="e">
        <f>(HYPERLINK("http://www.autodoc.ru/Web/price/art/5155LGNH5RDW?analog=on","5155LGNH5RDW"))*1</f>
        <v>#VALUE!</v>
      </c>
      <c r="B4458" s="1">
        <v>6900174</v>
      </c>
      <c r="C4458" t="s">
        <v>359</v>
      </c>
      <c r="D4458" t="s">
        <v>4663</v>
      </c>
      <c r="E4458" t="s">
        <v>10</v>
      </c>
    </row>
    <row r="4459" spans="1:5" hidden="1" outlineLevel="2">
      <c r="A4459" s="3" t="e">
        <f>(HYPERLINK("http://www.autodoc.ru/Web/price/art/5155LGNH5RV?analog=on","5155LGNH5RV"))*1</f>
        <v>#VALUE!</v>
      </c>
      <c r="B4459" s="1">
        <v>6992420</v>
      </c>
      <c r="C4459" t="s">
        <v>359</v>
      </c>
      <c r="D4459" t="s">
        <v>4664</v>
      </c>
      <c r="E4459" t="s">
        <v>10</v>
      </c>
    </row>
    <row r="4460" spans="1:5" hidden="1" outlineLevel="2">
      <c r="A4460" s="3" t="e">
        <f>(HYPERLINK("http://www.autodoc.ru/Web/price/art/5155LGNS4RV?analog=on","5155LGNS4RV"))*1</f>
        <v>#VALUE!</v>
      </c>
      <c r="B4460" s="1">
        <v>6992490</v>
      </c>
      <c r="C4460" t="s">
        <v>359</v>
      </c>
      <c r="D4460" t="s">
        <v>4665</v>
      </c>
      <c r="E4460" t="s">
        <v>10</v>
      </c>
    </row>
    <row r="4461" spans="1:5" hidden="1" outlineLevel="2">
      <c r="A4461" s="3" t="e">
        <f>(HYPERLINK("http://www.autodoc.ru/Web/price/art/5155RGNH5FD?analog=on","5155RGNH5FD"))*1</f>
        <v>#VALUE!</v>
      </c>
      <c r="B4461" s="1">
        <v>6992493</v>
      </c>
      <c r="C4461" t="s">
        <v>359</v>
      </c>
      <c r="D4461" t="s">
        <v>4666</v>
      </c>
      <c r="E4461" t="s">
        <v>10</v>
      </c>
    </row>
    <row r="4462" spans="1:5" hidden="1" outlineLevel="2">
      <c r="A4462" s="3" t="e">
        <f>(HYPERLINK("http://www.autodoc.ru/Web/price/art/5155RGNH5RV?analog=on","5155RGNH5RV"))*1</f>
        <v>#VALUE!</v>
      </c>
      <c r="B4462" s="1">
        <v>6992421</v>
      </c>
      <c r="C4462" t="s">
        <v>359</v>
      </c>
      <c r="D4462" t="s">
        <v>4667</v>
      </c>
      <c r="E4462" t="s">
        <v>10</v>
      </c>
    </row>
    <row r="4463" spans="1:5" hidden="1" outlineLevel="2">
      <c r="A4463" s="3" t="e">
        <f>(HYPERLINK("http://www.autodoc.ru/Web/price/art/5155RGNS4RV?analog=on","5155RGNS4RV"))*1</f>
        <v>#VALUE!</v>
      </c>
      <c r="B4463" s="1">
        <v>6992491</v>
      </c>
      <c r="C4463" t="s">
        <v>359</v>
      </c>
      <c r="D4463" t="s">
        <v>4668</v>
      </c>
      <c r="E4463" t="s">
        <v>10</v>
      </c>
    </row>
    <row r="4464" spans="1:5" hidden="1" outlineLevel="1">
      <c r="A4464" s="2">
        <v>0</v>
      </c>
      <c r="B4464" s="26" t="s">
        <v>4669</v>
      </c>
      <c r="C4464" s="27">
        <v>0</v>
      </c>
      <c r="D4464" s="27">
        <v>0</v>
      </c>
      <c r="E4464" s="27">
        <v>0</v>
      </c>
    </row>
    <row r="4465" spans="1:5" hidden="1" outlineLevel="2">
      <c r="A4465" s="3" t="e">
        <f>(HYPERLINK("http://www.autodoc.ru/Web/price/art/5122ABL?analog=on","5122ABL"))*1</f>
        <v>#VALUE!</v>
      </c>
      <c r="B4465" s="1">
        <v>6963468</v>
      </c>
      <c r="C4465" t="s">
        <v>2357</v>
      </c>
      <c r="D4465" t="s">
        <v>4670</v>
      </c>
      <c r="E4465" t="s">
        <v>8</v>
      </c>
    </row>
    <row r="4466" spans="1:5" hidden="1" outlineLevel="1">
      <c r="A4466" s="2">
        <v>0</v>
      </c>
      <c r="B4466" s="26" t="s">
        <v>4671</v>
      </c>
      <c r="C4466" s="27">
        <v>0</v>
      </c>
      <c r="D4466" s="27">
        <v>0</v>
      </c>
      <c r="E4466" s="27">
        <v>0</v>
      </c>
    </row>
    <row r="4467" spans="1:5" hidden="1" outlineLevel="2">
      <c r="A4467" s="3" t="e">
        <f>(HYPERLINK("http://www.autodoc.ru/Web/price/art/5123ABL?analog=on","5123ABL"))*1</f>
        <v>#VALUE!</v>
      </c>
      <c r="B4467" s="1">
        <v>6963469</v>
      </c>
      <c r="C4467" t="s">
        <v>2357</v>
      </c>
      <c r="D4467" t="s">
        <v>4672</v>
      </c>
      <c r="E4467" t="s">
        <v>8</v>
      </c>
    </row>
    <row r="4468" spans="1:5" hidden="1" outlineLevel="2">
      <c r="A4468" s="3" t="e">
        <f>(HYPERLINK("http://www.autodoc.ru/Web/price/art/5123BBLS?analog=on","5123BBLS"))*1</f>
        <v>#VALUE!</v>
      </c>
      <c r="B4468" s="1">
        <v>6998078</v>
      </c>
      <c r="C4468" t="s">
        <v>2357</v>
      </c>
      <c r="D4468" t="s">
        <v>4673</v>
      </c>
      <c r="E4468" t="s">
        <v>23</v>
      </c>
    </row>
    <row r="4469" spans="1:5" hidden="1" outlineLevel="1">
      <c r="A4469" s="2">
        <v>0</v>
      </c>
      <c r="B4469" s="26" t="s">
        <v>4674</v>
      </c>
      <c r="C4469" s="27">
        <v>0</v>
      </c>
      <c r="D4469" s="27">
        <v>0</v>
      </c>
      <c r="E4469" s="27">
        <v>0</v>
      </c>
    </row>
    <row r="4470" spans="1:5" hidden="1" outlineLevel="2">
      <c r="A4470" s="3" t="e">
        <f>(HYPERLINK("http://www.autodoc.ru/Web/price/art/5129ABL?analog=on","5129ABL"))*1</f>
        <v>#VALUE!</v>
      </c>
      <c r="B4470" s="1">
        <v>6969260</v>
      </c>
      <c r="C4470" t="s">
        <v>3473</v>
      </c>
      <c r="D4470" t="s">
        <v>4675</v>
      </c>
      <c r="E4470" t="s">
        <v>8</v>
      </c>
    </row>
    <row r="4471" spans="1:5" hidden="1" outlineLevel="2">
      <c r="A4471" s="3" t="e">
        <f>(HYPERLINK("http://www.autodoc.ru/Web/price/art/5129ABLBL?analog=on","5129ABLBL"))*1</f>
        <v>#VALUE!</v>
      </c>
      <c r="B4471" s="1">
        <v>6969268</v>
      </c>
      <c r="C4471" t="s">
        <v>3473</v>
      </c>
      <c r="D4471" t="s">
        <v>4676</v>
      </c>
      <c r="E4471" t="s">
        <v>8</v>
      </c>
    </row>
    <row r="4472" spans="1:5" hidden="1" outlineLevel="2">
      <c r="A4472" s="3" t="e">
        <f>(HYPERLINK("http://www.autodoc.ru/Web/price/art/5129ASMS?analog=on","5129ASMS"))*1</f>
        <v>#VALUE!</v>
      </c>
      <c r="B4472" s="1">
        <v>6100489</v>
      </c>
      <c r="C4472" t="s">
        <v>19</v>
      </c>
      <c r="D4472" t="s">
        <v>4677</v>
      </c>
      <c r="E4472" t="s">
        <v>21</v>
      </c>
    </row>
    <row r="4473" spans="1:5" hidden="1" outlineLevel="2">
      <c r="A4473" s="3" t="e">
        <f>(HYPERLINK("http://www.autodoc.ru/Web/price/art/5129BBLS?analog=on","5129BBLS"))*1</f>
        <v>#VALUE!</v>
      </c>
      <c r="B4473" s="1">
        <v>6995204</v>
      </c>
      <c r="C4473" t="s">
        <v>3473</v>
      </c>
      <c r="D4473" t="s">
        <v>4678</v>
      </c>
      <c r="E4473" t="s">
        <v>23</v>
      </c>
    </row>
    <row r="4474" spans="1:5" hidden="1" outlineLevel="2">
      <c r="A4474" s="3" t="e">
        <f>(HYPERLINK("http://www.autodoc.ru/Web/price/art/5129LBLS4FD?analog=on","5129LBLS4FD"))*1</f>
        <v>#VALUE!</v>
      </c>
      <c r="B4474" s="1">
        <v>6995202</v>
      </c>
      <c r="C4474" t="s">
        <v>3473</v>
      </c>
      <c r="D4474" t="s">
        <v>4679</v>
      </c>
      <c r="E4474" t="s">
        <v>10</v>
      </c>
    </row>
    <row r="4475" spans="1:5" hidden="1" outlineLevel="2">
      <c r="A4475" s="3" t="e">
        <f>(HYPERLINK("http://www.autodoc.ru/Web/price/art/5129LBLS4RD?analog=on","5129LBLS4RD"))*1</f>
        <v>#VALUE!</v>
      </c>
      <c r="B4475" s="1">
        <v>6996739</v>
      </c>
      <c r="C4475" t="s">
        <v>3473</v>
      </c>
      <c r="D4475" t="s">
        <v>4680</v>
      </c>
      <c r="E4475" t="s">
        <v>10</v>
      </c>
    </row>
    <row r="4476" spans="1:5" hidden="1" outlineLevel="2">
      <c r="A4476" s="3" t="e">
        <f>(HYPERLINK("http://www.autodoc.ru/Web/price/art/5129RBLS4FD?analog=on","5129RBLS4FD"))*1</f>
        <v>#VALUE!</v>
      </c>
      <c r="B4476" s="1">
        <v>6995203</v>
      </c>
      <c r="C4476" t="s">
        <v>3473</v>
      </c>
      <c r="D4476" t="s">
        <v>4681</v>
      </c>
      <c r="E4476" t="s">
        <v>10</v>
      </c>
    </row>
    <row r="4477" spans="1:5" hidden="1" outlineLevel="1">
      <c r="A4477" s="2">
        <v>0</v>
      </c>
      <c r="B4477" s="26" t="s">
        <v>4682</v>
      </c>
      <c r="C4477" s="27">
        <v>0</v>
      </c>
      <c r="D4477" s="27">
        <v>0</v>
      </c>
      <c r="E4477" s="27">
        <v>0</v>
      </c>
    </row>
    <row r="4478" spans="1:5" hidden="1" outlineLevel="2">
      <c r="A4478" s="3" t="e">
        <f>(HYPERLINK("http://www.autodoc.ru/Web/price/art/5133ABL?analog=on","5133ABL"))*1</f>
        <v>#VALUE!</v>
      </c>
      <c r="B4478" s="1">
        <v>6969276</v>
      </c>
      <c r="C4478" t="s">
        <v>3215</v>
      </c>
      <c r="D4478" t="s">
        <v>4683</v>
      </c>
      <c r="E4478" t="s">
        <v>8</v>
      </c>
    </row>
    <row r="4479" spans="1:5" hidden="1" outlineLevel="2">
      <c r="A4479" s="3" t="e">
        <f>(HYPERLINK("http://www.autodoc.ru/Web/price/art/5133ABLBL?analog=on","5133ABLBL"))*1</f>
        <v>#VALUE!</v>
      </c>
      <c r="B4479" s="1">
        <v>6969277</v>
      </c>
      <c r="C4479" t="s">
        <v>3215</v>
      </c>
      <c r="D4479" t="s">
        <v>4684</v>
      </c>
      <c r="E4479" t="s">
        <v>8</v>
      </c>
    </row>
    <row r="4480" spans="1:5" hidden="1" outlineLevel="2">
      <c r="A4480" s="3" t="e">
        <f>(HYPERLINK("http://www.autodoc.ru/Web/price/art/5133ASMH?analog=on","5133ASMH"))*1</f>
        <v>#VALUE!</v>
      </c>
      <c r="B4480" s="1">
        <v>6100397</v>
      </c>
      <c r="C4480" t="s">
        <v>19</v>
      </c>
      <c r="D4480" t="s">
        <v>4685</v>
      </c>
      <c r="E4480" t="s">
        <v>21</v>
      </c>
    </row>
    <row r="4481" spans="1:5" hidden="1" outlineLevel="2">
      <c r="A4481" s="3" t="e">
        <f>(HYPERLINK("http://www.autodoc.ru/Web/price/art/5133ASMHC?analog=on","5133ASMHC"))*1</f>
        <v>#VALUE!</v>
      </c>
      <c r="B4481" s="1">
        <v>6101514</v>
      </c>
      <c r="C4481" t="s">
        <v>19</v>
      </c>
      <c r="D4481" t="s">
        <v>4686</v>
      </c>
      <c r="E4481" t="s">
        <v>21</v>
      </c>
    </row>
    <row r="4482" spans="1:5" hidden="1" outlineLevel="2">
      <c r="A4482" s="3" t="e">
        <f>(HYPERLINK("http://www.autodoc.ru/Web/price/art/5133LBLH5FD?analog=on","5133LBLH5FD"))*1</f>
        <v>#VALUE!</v>
      </c>
      <c r="B4482" s="1">
        <v>6995200</v>
      </c>
      <c r="C4482" t="s">
        <v>3215</v>
      </c>
      <c r="D4482" t="s">
        <v>4687</v>
      </c>
      <c r="E4482" t="s">
        <v>10</v>
      </c>
    </row>
    <row r="4483" spans="1:5" hidden="1" outlineLevel="2">
      <c r="A4483" s="3" t="e">
        <f>(HYPERLINK("http://www.autodoc.ru/Web/price/art/5133LBLH5RD?analog=on","5133LBLH5RD"))*1</f>
        <v>#VALUE!</v>
      </c>
      <c r="B4483" s="1">
        <v>6996744</v>
      </c>
      <c r="C4483" t="s">
        <v>3215</v>
      </c>
      <c r="D4483" t="s">
        <v>4688</v>
      </c>
      <c r="E4483" t="s">
        <v>10</v>
      </c>
    </row>
    <row r="4484" spans="1:5" hidden="1" outlineLevel="2">
      <c r="A4484" s="3" t="e">
        <f>(HYPERLINK("http://www.autodoc.ru/Web/price/art/5133RBLH5FD?analog=on","5133RBLH5FD"))*1</f>
        <v>#VALUE!</v>
      </c>
      <c r="B4484" s="1">
        <v>6995201</v>
      </c>
      <c r="C4484" t="s">
        <v>3215</v>
      </c>
      <c r="D4484" t="s">
        <v>4689</v>
      </c>
      <c r="E4484" t="s">
        <v>10</v>
      </c>
    </row>
    <row r="4485" spans="1:5" hidden="1" outlineLevel="2">
      <c r="A4485" s="3" t="e">
        <f>(HYPERLINK("http://www.autodoc.ru/Web/price/art/5133RBLH5RD?analog=on","5133RBLH5RD"))*1</f>
        <v>#VALUE!</v>
      </c>
      <c r="B4485" s="1">
        <v>6996745</v>
      </c>
      <c r="C4485" t="s">
        <v>3215</v>
      </c>
      <c r="D4485" t="s">
        <v>4690</v>
      </c>
      <c r="E4485" t="s">
        <v>10</v>
      </c>
    </row>
    <row r="4486" spans="1:5" hidden="1" outlineLevel="1">
      <c r="A4486" s="2">
        <v>0</v>
      </c>
      <c r="B4486" s="26" t="s">
        <v>4691</v>
      </c>
      <c r="C4486" s="27">
        <v>0</v>
      </c>
      <c r="D4486" s="27">
        <v>0</v>
      </c>
      <c r="E4486" s="27">
        <v>0</v>
      </c>
    </row>
    <row r="4487" spans="1:5" hidden="1" outlineLevel="2">
      <c r="A4487" s="3" t="e">
        <f>(HYPERLINK("http://www.autodoc.ru/Web/price/art/5141ABL?analog=on","5141ABL"))*1</f>
        <v>#VALUE!</v>
      </c>
      <c r="B4487" s="1">
        <v>6969257</v>
      </c>
      <c r="C4487" t="s">
        <v>3480</v>
      </c>
      <c r="D4487" t="s">
        <v>4692</v>
      </c>
      <c r="E4487" t="s">
        <v>8</v>
      </c>
    </row>
    <row r="4488" spans="1:5" hidden="1" outlineLevel="2">
      <c r="A4488" s="3" t="e">
        <f>(HYPERLINK("http://www.autodoc.ru/Web/price/art/5141ABLBL?analog=on","5141ABLBL"))*1</f>
        <v>#VALUE!</v>
      </c>
      <c r="B4488" s="1">
        <v>6969258</v>
      </c>
      <c r="C4488" t="s">
        <v>3480</v>
      </c>
      <c r="D4488" t="s">
        <v>4693</v>
      </c>
      <c r="E4488" t="s">
        <v>8</v>
      </c>
    </row>
    <row r="4489" spans="1:5" hidden="1" outlineLevel="2">
      <c r="A4489" s="3" t="e">
        <f>(HYPERLINK("http://www.autodoc.ru/Web/price/art/5141AGN?analog=on","5141AGN"))*1</f>
        <v>#VALUE!</v>
      </c>
      <c r="B4489" s="1">
        <v>6969259</v>
      </c>
      <c r="C4489" t="s">
        <v>3480</v>
      </c>
      <c r="D4489" t="s">
        <v>4694</v>
      </c>
      <c r="E4489" t="s">
        <v>8</v>
      </c>
    </row>
    <row r="4490" spans="1:5" hidden="1" outlineLevel="2">
      <c r="A4490" s="3" t="e">
        <f>(HYPERLINK("http://www.autodoc.ru/Web/price/art/5141ASMS?analog=on","5141ASMS"))*1</f>
        <v>#VALUE!</v>
      </c>
      <c r="B4490" s="1">
        <v>6100112</v>
      </c>
      <c r="C4490" t="s">
        <v>19</v>
      </c>
      <c r="D4490" t="s">
        <v>4695</v>
      </c>
      <c r="E4490" t="s">
        <v>21</v>
      </c>
    </row>
    <row r="4491" spans="1:5" hidden="1" outlineLevel="2">
      <c r="A4491" s="3" t="e">
        <f>(HYPERLINK("http://www.autodoc.ru/Web/price/art/5141ASMSC?analog=on","5141ASMSC"))*1</f>
        <v>#VALUE!</v>
      </c>
      <c r="B4491" s="1">
        <v>6102511</v>
      </c>
      <c r="C4491" t="s">
        <v>19</v>
      </c>
      <c r="D4491" t="s">
        <v>4695</v>
      </c>
      <c r="E4491" t="s">
        <v>21</v>
      </c>
    </row>
    <row r="4492" spans="1:5" hidden="1" outlineLevel="2">
      <c r="A4492" s="3" t="e">
        <f>(HYPERLINK("http://www.autodoc.ru/Web/price/art/5141BBLS?analog=on","5141BBLS"))*1</f>
        <v>#VALUE!</v>
      </c>
      <c r="B4492" s="1">
        <v>6998857</v>
      </c>
      <c r="C4492" t="s">
        <v>3480</v>
      </c>
      <c r="D4492" t="s">
        <v>4696</v>
      </c>
      <c r="E4492" t="s">
        <v>23</v>
      </c>
    </row>
    <row r="4493" spans="1:5" hidden="1" outlineLevel="2">
      <c r="A4493" s="3" t="e">
        <f>(HYPERLINK("http://www.autodoc.ru/Web/price/art/5141BGNS?analog=on","5141BGNS"))*1</f>
        <v>#VALUE!</v>
      </c>
      <c r="B4493" s="1">
        <v>6998858</v>
      </c>
      <c r="C4493" t="s">
        <v>3480</v>
      </c>
      <c r="D4493" t="s">
        <v>4697</v>
      </c>
      <c r="E4493" t="s">
        <v>23</v>
      </c>
    </row>
    <row r="4494" spans="1:5" hidden="1" outlineLevel="2">
      <c r="A4494" s="3" t="e">
        <f>(HYPERLINK("http://www.autodoc.ru/Web/price/art/5141LBLS4FD?analog=on","5141LBLS4FD"))*1</f>
        <v>#VALUE!</v>
      </c>
      <c r="B4494" s="1">
        <v>6995379</v>
      </c>
      <c r="C4494" t="s">
        <v>3480</v>
      </c>
      <c r="D4494" t="s">
        <v>4698</v>
      </c>
      <c r="E4494" t="s">
        <v>10</v>
      </c>
    </row>
    <row r="4495" spans="1:5" hidden="1" outlineLevel="2">
      <c r="A4495" s="3" t="e">
        <f>(HYPERLINK("http://www.autodoc.ru/Web/price/art/5141LBLS4RD?analog=on","5141LBLS4RD"))*1</f>
        <v>#VALUE!</v>
      </c>
      <c r="B4495" s="1">
        <v>6995380</v>
      </c>
      <c r="C4495" t="s">
        <v>3480</v>
      </c>
      <c r="D4495" t="s">
        <v>4699</v>
      </c>
      <c r="E4495" t="s">
        <v>10</v>
      </c>
    </row>
    <row r="4496" spans="1:5" hidden="1" outlineLevel="2">
      <c r="A4496" s="3" t="e">
        <f>(HYPERLINK("http://www.autodoc.ru/Web/price/art/5141LGNS4FD?analog=on","5141LGNS4FD"))*1</f>
        <v>#VALUE!</v>
      </c>
      <c r="B4496" s="1">
        <v>6995383</v>
      </c>
      <c r="C4496" t="s">
        <v>3480</v>
      </c>
      <c r="D4496" t="s">
        <v>4700</v>
      </c>
      <c r="E4496" t="s">
        <v>10</v>
      </c>
    </row>
    <row r="4497" spans="1:5" hidden="1" outlineLevel="2">
      <c r="A4497" s="3" t="e">
        <f>(HYPERLINK("http://www.autodoc.ru/Web/price/art/5141LGNS4RD?analog=on","5141LGNS4RD"))*1</f>
        <v>#VALUE!</v>
      </c>
      <c r="B4497" s="1">
        <v>6995384</v>
      </c>
      <c r="C4497" t="s">
        <v>3480</v>
      </c>
      <c r="D4497" t="s">
        <v>4701</v>
      </c>
      <c r="E4497" t="s">
        <v>10</v>
      </c>
    </row>
    <row r="4498" spans="1:5" hidden="1" outlineLevel="2">
      <c r="A4498" s="3" t="e">
        <f>(HYPERLINK("http://www.autodoc.ru/Web/price/art/5141RBLS4FD?analog=on","5141RBLS4FD"))*1</f>
        <v>#VALUE!</v>
      </c>
      <c r="B4498" s="1">
        <v>6995381</v>
      </c>
      <c r="C4498" t="s">
        <v>3480</v>
      </c>
      <c r="D4498" t="s">
        <v>4702</v>
      </c>
      <c r="E4498" t="s">
        <v>10</v>
      </c>
    </row>
    <row r="4499" spans="1:5" hidden="1" outlineLevel="2">
      <c r="A4499" s="3" t="e">
        <f>(HYPERLINK("http://www.autodoc.ru/Web/price/art/5141RBLS4RD?analog=on","5141RBLS4RD"))*1</f>
        <v>#VALUE!</v>
      </c>
      <c r="B4499" s="1">
        <v>6995382</v>
      </c>
      <c r="C4499" t="s">
        <v>3480</v>
      </c>
      <c r="D4499" t="s">
        <v>4703</v>
      </c>
      <c r="E4499" t="s">
        <v>10</v>
      </c>
    </row>
    <row r="4500" spans="1:5" hidden="1" outlineLevel="2">
      <c r="A4500" s="3" t="e">
        <f>(HYPERLINK("http://www.autodoc.ru/Web/price/art/5141RGNS4FD?analog=on","5141RGNS4FD"))*1</f>
        <v>#VALUE!</v>
      </c>
      <c r="B4500" s="1">
        <v>6995385</v>
      </c>
      <c r="C4500" t="s">
        <v>3480</v>
      </c>
      <c r="D4500" t="s">
        <v>4704</v>
      </c>
      <c r="E4500" t="s">
        <v>10</v>
      </c>
    </row>
    <row r="4501" spans="1:5" hidden="1" outlineLevel="2">
      <c r="A4501" s="3" t="e">
        <f>(HYPERLINK("http://www.autodoc.ru/Web/price/art/5141RGNS4RD?analog=on","5141RGNS4RD"))*1</f>
        <v>#VALUE!</v>
      </c>
      <c r="B4501" s="1">
        <v>6995386</v>
      </c>
      <c r="C4501" t="s">
        <v>3480</v>
      </c>
      <c r="D4501" t="s">
        <v>4705</v>
      </c>
      <c r="E4501" t="s">
        <v>10</v>
      </c>
    </row>
    <row r="4502" spans="1:5" hidden="1" outlineLevel="1">
      <c r="A4502" s="2">
        <v>0</v>
      </c>
      <c r="B4502" s="26" t="s">
        <v>4706</v>
      </c>
      <c r="C4502" s="27">
        <v>0</v>
      </c>
      <c r="D4502" s="27">
        <v>0</v>
      </c>
      <c r="E4502" s="27">
        <v>0</v>
      </c>
    </row>
    <row r="4503" spans="1:5" hidden="1" outlineLevel="2">
      <c r="A4503" s="3" t="e">
        <f>(HYPERLINK("http://www.autodoc.ru/Web/price/art/5142ABL?analog=on","5142ABL"))*1</f>
        <v>#VALUE!</v>
      </c>
      <c r="B4503" s="1">
        <v>6969255</v>
      </c>
      <c r="C4503" t="s">
        <v>3480</v>
      </c>
      <c r="D4503" t="s">
        <v>4707</v>
      </c>
      <c r="E4503" t="s">
        <v>8</v>
      </c>
    </row>
    <row r="4504" spans="1:5" hidden="1" outlineLevel="2">
      <c r="A4504" s="3" t="e">
        <f>(HYPERLINK("http://www.autodoc.ru/Web/price/art/5142ABLBL?analog=on","5142ABLBL"))*1</f>
        <v>#VALUE!</v>
      </c>
      <c r="B4504" s="1">
        <v>6969256</v>
      </c>
      <c r="C4504" t="s">
        <v>3480</v>
      </c>
      <c r="D4504" t="s">
        <v>4708</v>
      </c>
      <c r="E4504" t="s">
        <v>8</v>
      </c>
    </row>
    <row r="4505" spans="1:5" hidden="1" outlineLevel="2">
      <c r="A4505" s="3" t="e">
        <f>(HYPERLINK("http://www.autodoc.ru/Web/price/art/5142AGN?analog=on","5142AGN"))*1</f>
        <v>#VALUE!</v>
      </c>
      <c r="B4505" s="1">
        <v>6969254</v>
      </c>
      <c r="C4505" t="s">
        <v>3480</v>
      </c>
      <c r="D4505" t="s">
        <v>4709</v>
      </c>
      <c r="E4505" t="s">
        <v>8</v>
      </c>
    </row>
    <row r="4506" spans="1:5" hidden="1" outlineLevel="2">
      <c r="A4506" s="3" t="e">
        <f>(HYPERLINK("http://www.autodoc.ru/Web/price/art/5142ASMH?analog=on","5142ASMH"))*1</f>
        <v>#VALUE!</v>
      </c>
      <c r="B4506" s="1">
        <v>6100113</v>
      </c>
      <c r="C4506" t="s">
        <v>19</v>
      </c>
      <c r="D4506" t="s">
        <v>4710</v>
      </c>
      <c r="E4506" t="s">
        <v>21</v>
      </c>
    </row>
    <row r="4507" spans="1:5" hidden="1" outlineLevel="2">
      <c r="A4507" s="3" t="e">
        <f>(HYPERLINK("http://www.autodoc.ru/Web/price/art/5142BBLH?analog=on","5142BBLH"))*1</f>
        <v>#VALUE!</v>
      </c>
      <c r="B4507" s="1">
        <v>6998859</v>
      </c>
      <c r="C4507" t="s">
        <v>3480</v>
      </c>
      <c r="D4507" t="s">
        <v>4711</v>
      </c>
      <c r="E4507" t="s">
        <v>23</v>
      </c>
    </row>
    <row r="4508" spans="1:5" hidden="1" outlineLevel="2">
      <c r="A4508" s="3" t="e">
        <f>(HYPERLINK("http://www.autodoc.ru/Web/price/art/5142BGNH?analog=on","5142BGNH"))*1</f>
        <v>#VALUE!</v>
      </c>
      <c r="B4508" s="1">
        <v>6980046</v>
      </c>
      <c r="C4508" t="s">
        <v>3480</v>
      </c>
      <c r="D4508" t="s">
        <v>4712</v>
      </c>
      <c r="E4508" t="s">
        <v>23</v>
      </c>
    </row>
    <row r="4509" spans="1:5" hidden="1" outlineLevel="2">
      <c r="A4509" s="3" t="e">
        <f>(HYPERLINK("http://www.autodoc.ru/Web/price/art/5142LBLH5FD?analog=on","5142LBLH5FD"))*1</f>
        <v>#VALUE!</v>
      </c>
      <c r="B4509" s="1">
        <v>6995727</v>
      </c>
      <c r="C4509" t="s">
        <v>3480</v>
      </c>
      <c r="D4509" t="s">
        <v>4713</v>
      </c>
      <c r="E4509" t="s">
        <v>10</v>
      </c>
    </row>
    <row r="4510" spans="1:5" hidden="1" outlineLevel="2">
      <c r="A4510" s="3" t="e">
        <f>(HYPERLINK("http://www.autodoc.ru/Web/price/art/5142LBLH5RD?analog=on","5142LBLH5RD"))*1</f>
        <v>#VALUE!</v>
      </c>
      <c r="B4510" s="1">
        <v>6995387</v>
      </c>
      <c r="C4510" t="s">
        <v>3480</v>
      </c>
      <c r="D4510" t="s">
        <v>4714</v>
      </c>
      <c r="E4510" t="s">
        <v>10</v>
      </c>
    </row>
    <row r="4511" spans="1:5" hidden="1" outlineLevel="2">
      <c r="A4511" s="3" t="e">
        <f>(HYPERLINK("http://www.autodoc.ru/Web/price/art/5142LGNH5FD?analog=on","5142LGNH5FD"))*1</f>
        <v>#VALUE!</v>
      </c>
      <c r="B4511" s="1">
        <v>6995389</v>
      </c>
      <c r="C4511" t="s">
        <v>3480</v>
      </c>
      <c r="D4511" t="s">
        <v>4715</v>
      </c>
      <c r="E4511" t="s">
        <v>10</v>
      </c>
    </row>
    <row r="4512" spans="1:5" hidden="1" outlineLevel="2">
      <c r="A4512" s="3" t="e">
        <f>(HYPERLINK("http://www.autodoc.ru/Web/price/art/5142LGNH5RD?analog=on","5142LGNH5RD"))*1</f>
        <v>#VALUE!</v>
      </c>
      <c r="B4512" s="1">
        <v>6995390</v>
      </c>
      <c r="C4512" t="s">
        <v>3480</v>
      </c>
      <c r="D4512" t="s">
        <v>4716</v>
      </c>
      <c r="E4512" t="s">
        <v>10</v>
      </c>
    </row>
    <row r="4513" spans="1:5" hidden="1" outlineLevel="2">
      <c r="A4513" s="3" t="e">
        <f>(HYPERLINK("http://www.autodoc.ru/Web/price/art/5142RBLH5FD?analog=on","5142RBLH5FD"))*1</f>
        <v>#VALUE!</v>
      </c>
      <c r="B4513" s="1">
        <v>6995728</v>
      </c>
      <c r="C4513" t="s">
        <v>3480</v>
      </c>
      <c r="D4513" t="s">
        <v>4717</v>
      </c>
      <c r="E4513" t="s">
        <v>10</v>
      </c>
    </row>
    <row r="4514" spans="1:5" hidden="1" outlineLevel="2">
      <c r="A4514" s="3" t="e">
        <f>(HYPERLINK("http://www.autodoc.ru/Web/price/art/5142RBLH5RD?analog=on","5142RBLH5RD"))*1</f>
        <v>#VALUE!</v>
      </c>
      <c r="B4514" s="1">
        <v>6995388</v>
      </c>
      <c r="C4514" t="s">
        <v>3480</v>
      </c>
      <c r="D4514" t="s">
        <v>4718</v>
      </c>
      <c r="E4514" t="s">
        <v>10</v>
      </c>
    </row>
    <row r="4515" spans="1:5" hidden="1" outlineLevel="2">
      <c r="A4515" s="3" t="e">
        <f>(HYPERLINK("http://www.autodoc.ru/Web/price/art/5142RGNH5FD?analog=on","5142RGNH5FD"))*1</f>
        <v>#VALUE!</v>
      </c>
      <c r="B4515" s="1">
        <v>6995391</v>
      </c>
      <c r="C4515" t="s">
        <v>3480</v>
      </c>
      <c r="D4515" t="s">
        <v>4719</v>
      </c>
      <c r="E4515" t="s">
        <v>10</v>
      </c>
    </row>
    <row r="4516" spans="1:5" hidden="1" outlineLevel="2">
      <c r="A4516" s="3" t="e">
        <f>(HYPERLINK("http://www.autodoc.ru/Web/price/art/5142RGNH5RD?analog=on","5142RGNH5RD"))*1</f>
        <v>#VALUE!</v>
      </c>
      <c r="B4516" s="1">
        <v>6995392</v>
      </c>
      <c r="C4516" t="s">
        <v>3480</v>
      </c>
      <c r="D4516" t="s">
        <v>4720</v>
      </c>
      <c r="E4516" t="s">
        <v>10</v>
      </c>
    </row>
    <row r="4517" spans="1:5" hidden="1" outlineLevel="1">
      <c r="A4517" s="2">
        <v>0</v>
      </c>
      <c r="B4517" s="26" t="s">
        <v>4721</v>
      </c>
      <c r="C4517" s="27">
        <v>0</v>
      </c>
      <c r="D4517" s="27">
        <v>0</v>
      </c>
      <c r="E4517" s="27">
        <v>0</v>
      </c>
    </row>
    <row r="4518" spans="1:5" hidden="1" outlineLevel="2">
      <c r="A4518" s="3" t="e">
        <f>(HYPERLINK("http://www.autodoc.ru/Web/price/art/2066AGN?analog=on","2066AGN"))*1</f>
        <v>#VALUE!</v>
      </c>
      <c r="B4518" s="1">
        <v>6963020</v>
      </c>
      <c r="C4518" t="s">
        <v>1710</v>
      </c>
      <c r="D4518" t="s">
        <v>4722</v>
      </c>
      <c r="E4518" t="s">
        <v>8</v>
      </c>
    </row>
    <row r="4519" spans="1:5" hidden="1" outlineLevel="1">
      <c r="A4519" s="2">
        <v>0</v>
      </c>
      <c r="B4519" s="26" t="s">
        <v>4723</v>
      </c>
      <c r="C4519" s="27">
        <v>0</v>
      </c>
      <c r="D4519" s="27">
        <v>0</v>
      </c>
      <c r="E4519" s="27">
        <v>0</v>
      </c>
    </row>
    <row r="4520" spans="1:5" hidden="1" outlineLevel="2">
      <c r="A4520" s="3" t="e">
        <f>(HYPERLINK("http://www.autodoc.ru/Web/price/art/5153AGN?analog=on","5153AGN"))*1</f>
        <v>#VALUE!</v>
      </c>
      <c r="B4520" s="1">
        <v>6965360</v>
      </c>
      <c r="C4520" t="s">
        <v>1710</v>
      </c>
      <c r="D4520" t="s">
        <v>4724</v>
      </c>
      <c r="E4520" t="s">
        <v>8</v>
      </c>
    </row>
    <row r="4521" spans="1:5" hidden="1" outlineLevel="2">
      <c r="A4521" s="3" t="e">
        <f>(HYPERLINK("http://www.autodoc.ru/Web/price/art/5153AGNBL?analog=on","5153AGNBL"))*1</f>
        <v>#VALUE!</v>
      </c>
      <c r="B4521" s="1">
        <v>6961000</v>
      </c>
      <c r="C4521" t="s">
        <v>1710</v>
      </c>
      <c r="D4521" t="s">
        <v>4725</v>
      </c>
      <c r="E4521" t="s">
        <v>8</v>
      </c>
    </row>
    <row r="4522" spans="1:5" hidden="1" outlineLevel="2">
      <c r="A4522" s="3" t="e">
        <f>(HYPERLINK("http://www.autodoc.ru/Web/price/art/5153AGNGN?analog=on","5153AGNGN"))*1</f>
        <v>#VALUE!</v>
      </c>
      <c r="B4522" s="1">
        <v>6963243</v>
      </c>
      <c r="C4522" t="s">
        <v>1710</v>
      </c>
      <c r="D4522" t="s">
        <v>4726</v>
      </c>
      <c r="E4522" t="s">
        <v>8</v>
      </c>
    </row>
    <row r="4523" spans="1:5" hidden="1" outlineLevel="2">
      <c r="A4523" s="3" t="e">
        <f>(HYPERLINK("http://www.autodoc.ru/Web/price/art/5153AKMH?analog=on","5153AKMH"))*1</f>
        <v>#VALUE!</v>
      </c>
      <c r="B4523" s="1">
        <v>6100994</v>
      </c>
      <c r="C4523" t="s">
        <v>19</v>
      </c>
      <c r="D4523" t="s">
        <v>4727</v>
      </c>
      <c r="E4523" t="s">
        <v>21</v>
      </c>
    </row>
    <row r="4524" spans="1:5" hidden="1" outlineLevel="2">
      <c r="A4524" s="3" t="e">
        <f>(HYPERLINK("http://www.autodoc.ru/Web/price/art/5153ASMH?analog=on","5153ASMH"))*1</f>
        <v>#VALUE!</v>
      </c>
      <c r="B4524" s="1">
        <v>6100115</v>
      </c>
      <c r="C4524" t="s">
        <v>19</v>
      </c>
      <c r="D4524" t="s">
        <v>4728</v>
      </c>
      <c r="E4524" t="s">
        <v>21</v>
      </c>
    </row>
    <row r="4525" spans="1:5" hidden="1" outlineLevel="2">
      <c r="A4525" s="3" t="e">
        <f>(HYPERLINK("http://www.autodoc.ru/Web/price/art/5153BGNH?analog=on","5153BGNH"))*1</f>
        <v>#VALUE!</v>
      </c>
      <c r="B4525" s="1">
        <v>6998860</v>
      </c>
      <c r="C4525" t="s">
        <v>1710</v>
      </c>
      <c r="D4525" t="s">
        <v>4729</v>
      </c>
      <c r="E4525" t="s">
        <v>23</v>
      </c>
    </row>
    <row r="4526" spans="1:5" hidden="1" outlineLevel="2">
      <c r="A4526" s="3" t="e">
        <f>(HYPERLINK("http://www.autodoc.ru/Web/price/art/5153BGNSW?analog=on","5153BGNSW"))*1</f>
        <v>#VALUE!</v>
      </c>
      <c r="B4526" s="1">
        <v>6998651</v>
      </c>
      <c r="C4526" t="s">
        <v>1710</v>
      </c>
      <c r="D4526" t="s">
        <v>4730</v>
      </c>
      <c r="E4526" t="s">
        <v>23</v>
      </c>
    </row>
    <row r="4527" spans="1:5" hidden="1" outlineLevel="2">
      <c r="A4527" s="3" t="e">
        <f>(HYPERLINK("http://www.autodoc.ru/Web/price/art/5153LGNH5FD?analog=on","5153LGNH5FD"))*1</f>
        <v>#VALUE!</v>
      </c>
      <c r="B4527" s="1">
        <v>6995397</v>
      </c>
      <c r="C4527" t="s">
        <v>1710</v>
      </c>
      <c r="D4527" t="s">
        <v>4731</v>
      </c>
      <c r="E4527" t="s">
        <v>10</v>
      </c>
    </row>
    <row r="4528" spans="1:5" hidden="1" outlineLevel="2">
      <c r="A4528" s="3" t="e">
        <f>(HYPERLINK("http://www.autodoc.ru/Web/price/art/5153LGNH5RD?analog=on","5153LGNH5RD"))*1</f>
        <v>#VALUE!</v>
      </c>
      <c r="B4528" s="1">
        <v>6995323</v>
      </c>
      <c r="C4528" t="s">
        <v>1710</v>
      </c>
      <c r="D4528" t="s">
        <v>4732</v>
      </c>
      <c r="E4528" t="s">
        <v>10</v>
      </c>
    </row>
    <row r="4529" spans="1:5" hidden="1" outlineLevel="2">
      <c r="A4529" s="3" t="e">
        <f>(HYPERLINK("http://www.autodoc.ru/Web/price/art/5153LGNH5RV?analog=on","5153LGNH5RV"))*1</f>
        <v>#VALUE!</v>
      </c>
      <c r="B4529" s="1">
        <v>6995398</v>
      </c>
      <c r="C4529" t="s">
        <v>1710</v>
      </c>
      <c r="D4529" t="s">
        <v>4733</v>
      </c>
      <c r="E4529" t="s">
        <v>10</v>
      </c>
    </row>
    <row r="4530" spans="1:5" hidden="1" outlineLevel="2">
      <c r="A4530" s="3" t="e">
        <f>(HYPERLINK("http://www.autodoc.ru/Web/price/art/5153LGNS4RD?analog=on","5153LGNS4RD"))*1</f>
        <v>#VALUE!</v>
      </c>
      <c r="B4530" s="1">
        <v>6995399</v>
      </c>
      <c r="C4530" t="s">
        <v>1710</v>
      </c>
      <c r="D4530" t="s">
        <v>4734</v>
      </c>
      <c r="E4530" t="s">
        <v>10</v>
      </c>
    </row>
    <row r="4531" spans="1:5" hidden="1" outlineLevel="2">
      <c r="A4531" s="3" t="e">
        <f>(HYPERLINK("http://www.autodoc.ru/Web/price/art/5153LGNS4RV?analog=on","5153LGNS4RV"))*1</f>
        <v>#VALUE!</v>
      </c>
      <c r="B4531" s="1">
        <v>6995400</v>
      </c>
      <c r="C4531" t="s">
        <v>1710</v>
      </c>
      <c r="D4531" t="s">
        <v>4735</v>
      </c>
      <c r="E4531" t="s">
        <v>10</v>
      </c>
    </row>
    <row r="4532" spans="1:5" hidden="1" outlineLevel="2">
      <c r="A4532" s="3" t="e">
        <f>(HYPERLINK("http://www.autodoc.ru/Web/price/art/5153RGNH5FD?analog=on","5153RGNH5FD"))*1</f>
        <v>#VALUE!</v>
      </c>
      <c r="B4532" s="1">
        <v>6995401</v>
      </c>
      <c r="C4532" t="s">
        <v>1710</v>
      </c>
      <c r="D4532" t="s">
        <v>4736</v>
      </c>
      <c r="E4532" t="s">
        <v>10</v>
      </c>
    </row>
    <row r="4533" spans="1:5" hidden="1" outlineLevel="2">
      <c r="A4533" s="3" t="e">
        <f>(HYPERLINK("http://www.autodoc.ru/Web/price/art/5153RGNH5RD?analog=on","5153RGNH5RD"))*1</f>
        <v>#VALUE!</v>
      </c>
      <c r="B4533" s="1">
        <v>6995324</v>
      </c>
      <c r="C4533" t="s">
        <v>1710</v>
      </c>
      <c r="D4533" t="s">
        <v>4737</v>
      </c>
      <c r="E4533" t="s">
        <v>10</v>
      </c>
    </row>
    <row r="4534" spans="1:5" hidden="1" outlineLevel="2">
      <c r="A4534" s="3" t="e">
        <f>(HYPERLINK("http://www.autodoc.ru/Web/price/art/5153RGNH5RV?analog=on","5153RGNH5RV"))*1</f>
        <v>#VALUE!</v>
      </c>
      <c r="B4534" s="1">
        <v>6995402</v>
      </c>
      <c r="C4534" t="s">
        <v>1710</v>
      </c>
      <c r="D4534" t="s">
        <v>4738</v>
      </c>
      <c r="E4534" t="s">
        <v>10</v>
      </c>
    </row>
    <row r="4535" spans="1:5" hidden="1" outlineLevel="2">
      <c r="A4535" s="3" t="e">
        <f>(HYPERLINK("http://www.autodoc.ru/Web/price/art/5153RGNS4RD?analog=on","5153RGNS4RD"))*1</f>
        <v>#VALUE!</v>
      </c>
      <c r="B4535" s="1">
        <v>6995403</v>
      </c>
      <c r="C4535" t="s">
        <v>1710</v>
      </c>
      <c r="D4535" t="s">
        <v>4739</v>
      </c>
      <c r="E4535" t="s">
        <v>10</v>
      </c>
    </row>
    <row r="4536" spans="1:5" hidden="1" outlineLevel="2">
      <c r="A4536" s="3" t="e">
        <f>(HYPERLINK("http://www.autodoc.ru/Web/price/art/5153RGNS4RV?analog=on","5153RGNS4RV"))*1</f>
        <v>#VALUE!</v>
      </c>
      <c r="B4536" s="1">
        <v>6995404</v>
      </c>
      <c r="C4536" t="s">
        <v>1710</v>
      </c>
      <c r="D4536" t="s">
        <v>4740</v>
      </c>
      <c r="E4536" t="s">
        <v>10</v>
      </c>
    </row>
    <row r="4537" spans="1:5" hidden="1" outlineLevel="1">
      <c r="A4537" s="2">
        <v>0</v>
      </c>
      <c r="B4537" s="26" t="s">
        <v>4741</v>
      </c>
      <c r="C4537" s="27">
        <v>0</v>
      </c>
      <c r="D4537" s="27">
        <v>0</v>
      </c>
      <c r="E4537" s="27">
        <v>0</v>
      </c>
    </row>
    <row r="4538" spans="1:5" hidden="1" outlineLevel="2">
      <c r="A4538" s="3" t="e">
        <f>(HYPERLINK("http://www.autodoc.ru/Web/price/art/5156AGN?analog=on","5156AGN"))*1</f>
        <v>#VALUE!</v>
      </c>
      <c r="B4538" s="1">
        <v>6963389</v>
      </c>
      <c r="C4538" t="s">
        <v>1710</v>
      </c>
      <c r="D4538" t="s">
        <v>4742</v>
      </c>
      <c r="E4538" t="s">
        <v>8</v>
      </c>
    </row>
    <row r="4539" spans="1:5" hidden="1" outlineLevel="2">
      <c r="A4539" s="3" t="e">
        <f>(HYPERLINK("http://www.autodoc.ru/Web/price/art/5156AGNBL?analog=on","5156AGNBL"))*1</f>
        <v>#VALUE!</v>
      </c>
      <c r="B4539" s="1">
        <v>6950228</v>
      </c>
      <c r="C4539" t="s">
        <v>1710</v>
      </c>
      <c r="D4539" t="s">
        <v>4743</v>
      </c>
      <c r="E4539" t="s">
        <v>8</v>
      </c>
    </row>
    <row r="4540" spans="1:5" hidden="1" outlineLevel="2">
      <c r="A4540" s="3" t="e">
        <f>(HYPERLINK("http://www.autodoc.ru/Web/price/art/5156AGNGN?analog=on","5156AGNGN"))*1</f>
        <v>#VALUE!</v>
      </c>
      <c r="B4540" s="1">
        <v>6950102</v>
      </c>
      <c r="C4540" t="s">
        <v>1710</v>
      </c>
      <c r="D4540" t="s">
        <v>4744</v>
      </c>
      <c r="E4540" t="s">
        <v>8</v>
      </c>
    </row>
    <row r="4541" spans="1:5" hidden="1" outlineLevel="2">
      <c r="A4541" s="3" t="e">
        <f>(HYPERLINK("http://www.autodoc.ru/Web/price/art/5156ASME?analog=on","5156ASME"))*1</f>
        <v>#VALUE!</v>
      </c>
      <c r="B4541" s="1">
        <v>6100117</v>
      </c>
      <c r="C4541" t="s">
        <v>19</v>
      </c>
      <c r="D4541" t="s">
        <v>4745</v>
      </c>
      <c r="E4541" t="s">
        <v>21</v>
      </c>
    </row>
    <row r="4542" spans="1:5" hidden="1" outlineLevel="2">
      <c r="A4542" s="3" t="e">
        <f>(HYPERLINK("http://www.autodoc.ru/Web/price/art/5156BGNE?analog=on","5156BGNE"))*1</f>
        <v>#VALUE!</v>
      </c>
      <c r="B4542" s="1">
        <v>6998652</v>
      </c>
      <c r="C4542" t="s">
        <v>1710</v>
      </c>
      <c r="D4542" t="s">
        <v>4746</v>
      </c>
      <c r="E4542" t="s">
        <v>23</v>
      </c>
    </row>
    <row r="4543" spans="1:5" hidden="1" outlineLevel="2">
      <c r="A4543" s="3" t="e">
        <f>(HYPERLINK("http://www.autodoc.ru/Web/price/art/5156LGNE5FD?analog=on","5156LGNE5FD"))*1</f>
        <v>#VALUE!</v>
      </c>
      <c r="B4543" s="1">
        <v>6994194</v>
      </c>
      <c r="C4543" t="s">
        <v>1710</v>
      </c>
      <c r="D4543" t="s">
        <v>4747</v>
      </c>
      <c r="E4543" t="s">
        <v>10</v>
      </c>
    </row>
    <row r="4544" spans="1:5" hidden="1" outlineLevel="2">
      <c r="A4544" s="3" t="e">
        <f>(HYPERLINK("http://www.autodoc.ru/Web/price/art/5156LGNE5RD?analog=on","5156LGNE5RD"))*1</f>
        <v>#VALUE!</v>
      </c>
      <c r="B4544" s="1">
        <v>6994195</v>
      </c>
      <c r="C4544" t="s">
        <v>1710</v>
      </c>
      <c r="D4544" t="s">
        <v>4748</v>
      </c>
      <c r="E4544" t="s">
        <v>10</v>
      </c>
    </row>
    <row r="4545" spans="1:5" hidden="1" outlineLevel="2">
      <c r="A4545" s="3" t="e">
        <f>(HYPERLINK("http://www.autodoc.ru/Web/price/art/5156LGNE5RV?analog=on","5156LGNE5RV"))*1</f>
        <v>#VALUE!</v>
      </c>
      <c r="B4545" s="1">
        <v>6995325</v>
      </c>
      <c r="C4545" t="s">
        <v>1710</v>
      </c>
      <c r="D4545" t="s">
        <v>4749</v>
      </c>
      <c r="E4545" t="s">
        <v>10</v>
      </c>
    </row>
    <row r="4546" spans="1:5" hidden="1" outlineLevel="2">
      <c r="A4546" s="3" t="e">
        <f>(HYPERLINK("http://www.autodoc.ru/Web/price/art/5156RGNE5FD?analog=on","5156RGNE5FD"))*1</f>
        <v>#VALUE!</v>
      </c>
      <c r="B4546" s="1">
        <v>6994196</v>
      </c>
      <c r="C4546" t="s">
        <v>1710</v>
      </c>
      <c r="D4546" t="s">
        <v>4750</v>
      </c>
      <c r="E4546" t="s">
        <v>10</v>
      </c>
    </row>
    <row r="4547" spans="1:5" hidden="1" outlineLevel="2">
      <c r="A4547" s="3" t="e">
        <f>(HYPERLINK("http://www.autodoc.ru/Web/price/art/5156RGNE5RD?analog=on","5156RGNE5RD"))*1</f>
        <v>#VALUE!</v>
      </c>
      <c r="B4547" s="1">
        <v>6994197</v>
      </c>
      <c r="C4547" t="s">
        <v>1710</v>
      </c>
      <c r="D4547" t="s">
        <v>4751</v>
      </c>
      <c r="E4547" t="s">
        <v>10</v>
      </c>
    </row>
    <row r="4548" spans="1:5" hidden="1" outlineLevel="2">
      <c r="A4548" s="3" t="e">
        <f>(HYPERLINK("http://www.autodoc.ru/Web/price/art/5156RGNE5RV?analog=on","5156RGNE5RV"))*1</f>
        <v>#VALUE!</v>
      </c>
      <c r="B4548" s="1">
        <v>6995326</v>
      </c>
      <c r="C4548" t="s">
        <v>1710</v>
      </c>
      <c r="D4548" t="s">
        <v>4752</v>
      </c>
      <c r="E4548" t="s">
        <v>10</v>
      </c>
    </row>
    <row r="4549" spans="1:5" hidden="1" outlineLevel="1">
      <c r="A4549" s="2">
        <v>0</v>
      </c>
      <c r="B4549" s="26" t="s">
        <v>4753</v>
      </c>
      <c r="C4549" s="27">
        <v>0</v>
      </c>
      <c r="D4549" s="27">
        <v>0</v>
      </c>
      <c r="E4549" s="27">
        <v>0</v>
      </c>
    </row>
    <row r="4550" spans="1:5" hidden="1" outlineLevel="2">
      <c r="A4550" s="3" t="e">
        <f>(HYPERLINK("http://www.autodoc.ru/Web/price/art/5131AGNBL?analog=on","5131AGNBL"))*1</f>
        <v>#VALUE!</v>
      </c>
      <c r="B4550" s="1">
        <v>6960867</v>
      </c>
      <c r="C4550" t="s">
        <v>4754</v>
      </c>
      <c r="D4550" t="s">
        <v>4755</v>
      </c>
      <c r="E4550" t="s">
        <v>8</v>
      </c>
    </row>
    <row r="4551" spans="1:5" hidden="1" outlineLevel="1">
      <c r="A4551" s="2">
        <v>0</v>
      </c>
      <c r="B4551" s="26" t="s">
        <v>4756</v>
      </c>
      <c r="C4551" s="27">
        <v>0</v>
      </c>
      <c r="D4551" s="27">
        <v>0</v>
      </c>
      <c r="E4551" s="27">
        <v>0</v>
      </c>
    </row>
    <row r="4552" spans="1:5" hidden="1" outlineLevel="2">
      <c r="A4552" s="3" t="e">
        <f>(HYPERLINK("http://www.autodoc.ru/Web/price/art/5127ACL?analog=on","5127ACL"))*1</f>
        <v>#VALUE!</v>
      </c>
      <c r="B4552" s="1">
        <v>6963472</v>
      </c>
      <c r="C4552" t="s">
        <v>4757</v>
      </c>
      <c r="D4552" t="s">
        <v>4758</v>
      </c>
      <c r="E4552" t="s">
        <v>8</v>
      </c>
    </row>
    <row r="4553" spans="1:5" hidden="1" outlineLevel="1">
      <c r="A4553" s="2">
        <v>0</v>
      </c>
      <c r="B4553" s="26" t="s">
        <v>4759</v>
      </c>
      <c r="C4553" s="27">
        <v>0</v>
      </c>
      <c r="D4553" s="27">
        <v>0</v>
      </c>
      <c r="E4553" s="27">
        <v>0</v>
      </c>
    </row>
    <row r="4554" spans="1:5" hidden="1" outlineLevel="2">
      <c r="A4554" s="3" t="e">
        <f>(HYPERLINK("http://www.autodoc.ru/Web/price/art/5172AGN?analog=on","5172AGN"))*1</f>
        <v>#VALUE!</v>
      </c>
      <c r="B4554" s="1">
        <v>6190843</v>
      </c>
      <c r="C4554" t="s">
        <v>290</v>
      </c>
      <c r="D4554" t="s">
        <v>4760</v>
      </c>
      <c r="E4554" t="s">
        <v>8</v>
      </c>
    </row>
    <row r="4555" spans="1:5" hidden="1" outlineLevel="1">
      <c r="A4555" s="2">
        <v>0</v>
      </c>
      <c r="B4555" s="26" t="s">
        <v>4761</v>
      </c>
      <c r="C4555" s="27">
        <v>0</v>
      </c>
      <c r="D4555" s="27">
        <v>0</v>
      </c>
      <c r="E4555" s="27">
        <v>0</v>
      </c>
    </row>
    <row r="4556" spans="1:5" hidden="1" outlineLevel="2">
      <c r="A4556" s="3" t="e">
        <f>(HYPERLINK("http://www.autodoc.ru/Web/price/art/5171AGNMW1B?analog=on","5171AGNMW1B"))*1</f>
        <v>#VALUE!</v>
      </c>
      <c r="B4556" s="1">
        <v>6965173</v>
      </c>
      <c r="C4556" t="s">
        <v>3378</v>
      </c>
      <c r="D4556" t="s">
        <v>4762</v>
      </c>
      <c r="E4556" t="s">
        <v>8</v>
      </c>
    </row>
    <row r="4557" spans="1:5" hidden="1" outlineLevel="1">
      <c r="A4557" s="2">
        <v>0</v>
      </c>
      <c r="B4557" s="26" t="s">
        <v>4763</v>
      </c>
      <c r="C4557" s="27">
        <v>0</v>
      </c>
      <c r="D4557" s="27">
        <v>0</v>
      </c>
      <c r="E4557" s="27">
        <v>0</v>
      </c>
    </row>
    <row r="4558" spans="1:5" hidden="1" outlineLevel="2">
      <c r="A4558" s="3" t="e">
        <f>(HYPERLINK("http://www.autodoc.ru/Web/price/art/5157AGN?analog=on","5157AGN"))*1</f>
        <v>#VALUE!</v>
      </c>
      <c r="B4558" s="1">
        <v>6960681</v>
      </c>
      <c r="C4558" t="s">
        <v>250</v>
      </c>
      <c r="D4558" t="s">
        <v>4764</v>
      </c>
      <c r="E4558" t="s">
        <v>8</v>
      </c>
    </row>
    <row r="4559" spans="1:5" hidden="1" outlineLevel="2">
      <c r="A4559" s="3" t="e">
        <f>(HYPERLINK("http://www.autodoc.ru/Web/price/art/5157AGNGN?analog=on","5157AGNGN"))*1</f>
        <v>#VALUE!</v>
      </c>
      <c r="B4559" s="1">
        <v>6962952</v>
      </c>
      <c r="C4559" t="s">
        <v>250</v>
      </c>
      <c r="D4559" t="s">
        <v>4765</v>
      </c>
      <c r="E4559" t="s">
        <v>8</v>
      </c>
    </row>
    <row r="4560" spans="1:5" hidden="1" outlineLevel="2">
      <c r="A4560" s="3" t="e">
        <f>(HYPERLINK("http://www.autodoc.ru/Web/price/art/5157ASMV?analog=on","5157ASMV"))*1</f>
        <v>#VALUE!</v>
      </c>
      <c r="B4560" s="1">
        <v>6101054</v>
      </c>
      <c r="C4560" t="s">
        <v>19</v>
      </c>
      <c r="D4560" t="s">
        <v>4766</v>
      </c>
      <c r="E4560" t="s">
        <v>21</v>
      </c>
    </row>
    <row r="4561" spans="1:5" hidden="1" outlineLevel="2">
      <c r="A4561" s="3" t="e">
        <f>(HYPERLINK("http://www.autodoc.ru/Web/price/art/5157BGNV?analog=on","5157BGNV"))*1</f>
        <v>#VALUE!</v>
      </c>
      <c r="B4561" s="1">
        <v>6992496</v>
      </c>
      <c r="C4561" t="s">
        <v>250</v>
      </c>
      <c r="D4561" t="s">
        <v>4767</v>
      </c>
      <c r="E4561" t="s">
        <v>23</v>
      </c>
    </row>
    <row r="4562" spans="1:5" hidden="1" outlineLevel="2">
      <c r="A4562" s="3" t="e">
        <f>(HYPERLINK("http://www.autodoc.ru/Web/price/art/5157LGNV5FD?analog=on","5157LGNV5FD"))*1</f>
        <v>#VALUE!</v>
      </c>
      <c r="B4562" s="1">
        <v>6992497</v>
      </c>
      <c r="C4562" t="s">
        <v>250</v>
      </c>
      <c r="D4562" t="s">
        <v>4768</v>
      </c>
      <c r="E4562" t="s">
        <v>10</v>
      </c>
    </row>
    <row r="4563" spans="1:5" hidden="1" outlineLevel="2">
      <c r="A4563" s="3" t="e">
        <f>(HYPERLINK("http://www.autodoc.ru/Web/price/art/5157LGNV5RD?analog=on","5157LGNV5RD"))*1</f>
        <v>#VALUE!</v>
      </c>
      <c r="B4563" s="1">
        <v>6900177</v>
      </c>
      <c r="C4563" t="s">
        <v>250</v>
      </c>
      <c r="D4563" t="s">
        <v>4769</v>
      </c>
      <c r="E4563" t="s">
        <v>10</v>
      </c>
    </row>
    <row r="4564" spans="1:5" hidden="1" outlineLevel="2">
      <c r="A4564" s="3" t="e">
        <f>(HYPERLINK("http://www.autodoc.ru/Web/price/art/5157LGNV5RV?analog=on","5157LGNV5RV"))*1</f>
        <v>#VALUE!</v>
      </c>
      <c r="B4564" s="1">
        <v>6992423</v>
      </c>
      <c r="C4564" t="s">
        <v>250</v>
      </c>
      <c r="D4564" t="s">
        <v>4770</v>
      </c>
      <c r="E4564" t="s">
        <v>10</v>
      </c>
    </row>
    <row r="4565" spans="1:5" hidden="1" outlineLevel="2">
      <c r="A4565" s="3" t="e">
        <f>(HYPERLINK("http://www.autodoc.ru/Web/price/art/5157RGNV5FD?analog=on","5157RGNV5FD"))*1</f>
        <v>#VALUE!</v>
      </c>
      <c r="B4565" s="1">
        <v>6992501</v>
      </c>
      <c r="C4565" t="s">
        <v>250</v>
      </c>
      <c r="D4565" t="s">
        <v>4771</v>
      </c>
      <c r="E4565" t="s">
        <v>10</v>
      </c>
    </row>
    <row r="4566" spans="1:5" hidden="1" outlineLevel="2">
      <c r="A4566" s="3" t="e">
        <f>(HYPERLINK("http://www.autodoc.ru/Web/price/art/5157RGNV5RD?analog=on","5157RGNV5RD"))*1</f>
        <v>#VALUE!</v>
      </c>
      <c r="B4566" s="1">
        <v>6900258</v>
      </c>
      <c r="C4566" t="s">
        <v>250</v>
      </c>
      <c r="D4566" t="s">
        <v>4772</v>
      </c>
      <c r="E4566" t="s">
        <v>10</v>
      </c>
    </row>
    <row r="4567" spans="1:5" hidden="1" outlineLevel="2">
      <c r="A4567" s="3" t="e">
        <f>(HYPERLINK("http://www.autodoc.ru/Web/price/art/5157RGNV5RV?analog=on","5157RGNV5RV"))*1</f>
        <v>#VALUE!</v>
      </c>
      <c r="B4567" s="1">
        <v>6992422</v>
      </c>
      <c r="C4567" t="s">
        <v>250</v>
      </c>
      <c r="D4567" t="s">
        <v>4773</v>
      </c>
      <c r="E4567" t="s">
        <v>10</v>
      </c>
    </row>
    <row r="4568" spans="1:5" hidden="1" outlineLevel="1">
      <c r="A4568" s="2">
        <v>0</v>
      </c>
      <c r="B4568" s="26" t="s">
        <v>4774</v>
      </c>
      <c r="C4568" s="27">
        <v>0</v>
      </c>
      <c r="D4568" s="27">
        <v>0</v>
      </c>
      <c r="E4568" s="27">
        <v>0</v>
      </c>
    </row>
    <row r="4569" spans="1:5" hidden="1" outlineLevel="2">
      <c r="A4569" s="3" t="e">
        <f>(HYPERLINK("http://www.autodoc.ru/Web/price/art/5161AGN?analog=on","5161AGN"))*1</f>
        <v>#VALUE!</v>
      </c>
      <c r="B4569" s="1">
        <v>6950105</v>
      </c>
      <c r="C4569" t="s">
        <v>779</v>
      </c>
      <c r="D4569" t="s">
        <v>4775</v>
      </c>
      <c r="E4569" t="s">
        <v>8</v>
      </c>
    </row>
    <row r="4570" spans="1:5" hidden="1" outlineLevel="1">
      <c r="A4570" s="2">
        <v>0</v>
      </c>
      <c r="B4570" s="26" t="s">
        <v>4776</v>
      </c>
      <c r="C4570" s="27">
        <v>0</v>
      </c>
      <c r="D4570" s="27">
        <v>0</v>
      </c>
      <c r="E4570" s="27">
        <v>0</v>
      </c>
    </row>
    <row r="4571" spans="1:5" hidden="1" outlineLevel="2">
      <c r="A4571" s="3" t="e">
        <f>(HYPERLINK("http://www.autodoc.ru/Web/price/art/5124ABL?analog=on","5124ABL"))*1</f>
        <v>#VALUE!</v>
      </c>
      <c r="B4571" s="1">
        <v>6963470</v>
      </c>
      <c r="C4571" t="s">
        <v>4777</v>
      </c>
      <c r="D4571" t="s">
        <v>4778</v>
      </c>
      <c r="E4571" t="s">
        <v>8</v>
      </c>
    </row>
    <row r="4572" spans="1:5" hidden="1" outlineLevel="2">
      <c r="A4572" s="3" t="e">
        <f>(HYPERLINK("http://www.autodoc.ru/Web/price/art/5124ABLBL?analog=on","5124ABLBL"))*1</f>
        <v>#VALUE!</v>
      </c>
      <c r="B4572" s="1">
        <v>6963471</v>
      </c>
      <c r="C4572" t="s">
        <v>4777</v>
      </c>
      <c r="D4572" t="s">
        <v>4779</v>
      </c>
      <c r="E4572" t="s">
        <v>8</v>
      </c>
    </row>
    <row r="4573" spans="1:5" hidden="1" outlineLevel="2">
      <c r="A4573" s="3" t="e">
        <f>(HYPERLINK("http://www.autodoc.ru/Web/price/art/5124ACL?analog=on","5124ACL"))*1</f>
        <v>#VALUE!</v>
      </c>
      <c r="B4573" s="1">
        <v>6961424</v>
      </c>
      <c r="C4573" t="s">
        <v>4777</v>
      </c>
      <c r="D4573" t="s">
        <v>4780</v>
      </c>
      <c r="E4573" t="s">
        <v>8</v>
      </c>
    </row>
    <row r="4574" spans="1:5" hidden="1" outlineLevel="2">
      <c r="A4574" s="3" t="e">
        <f>(HYPERLINK("http://www.autodoc.ru/Web/price/art/5124BCLV?analog=on","5124BCLV"))*1</f>
        <v>#VALUE!</v>
      </c>
      <c r="B4574" s="1">
        <v>6998856</v>
      </c>
      <c r="C4574" t="s">
        <v>4777</v>
      </c>
      <c r="D4574" t="s">
        <v>4781</v>
      </c>
      <c r="E4574" t="s">
        <v>23</v>
      </c>
    </row>
    <row r="4575" spans="1:5" hidden="1" outlineLevel="2">
      <c r="A4575" s="3" t="e">
        <f>(HYPERLINK("http://www.autodoc.ru/Web/price/art/5124LCLV2FD?analog=on","5124LCLV2FD"))*1</f>
        <v>#VALUE!</v>
      </c>
      <c r="B4575" s="1">
        <v>6995371</v>
      </c>
      <c r="C4575" t="s">
        <v>4777</v>
      </c>
      <c r="D4575" t="s">
        <v>4782</v>
      </c>
      <c r="E4575" t="s">
        <v>10</v>
      </c>
    </row>
    <row r="4576" spans="1:5" hidden="1" outlineLevel="1">
      <c r="A4576" s="2">
        <v>0</v>
      </c>
      <c r="B4576" s="26" t="s">
        <v>4783</v>
      </c>
      <c r="C4576" s="27">
        <v>0</v>
      </c>
      <c r="D4576" s="27">
        <v>0</v>
      </c>
      <c r="E4576" s="27">
        <v>0</v>
      </c>
    </row>
    <row r="4577" spans="1:5" hidden="1" outlineLevel="2">
      <c r="A4577" s="3" t="e">
        <f>(HYPERLINK("http://www.autodoc.ru/Web/price/art/5152AGN?analog=on","5152AGN"))*1</f>
        <v>#VALUE!</v>
      </c>
      <c r="B4577" s="1">
        <v>6964078</v>
      </c>
      <c r="C4577" t="s">
        <v>637</v>
      </c>
      <c r="D4577" t="s">
        <v>4784</v>
      </c>
      <c r="E4577" t="s">
        <v>8</v>
      </c>
    </row>
    <row r="4578" spans="1:5" hidden="1" outlineLevel="2">
      <c r="A4578" s="3" t="e">
        <f>(HYPERLINK("http://www.autodoc.ru/Web/price/art/5152AKCV?analog=on","5152AKCV"))*1</f>
        <v>#VALUE!</v>
      </c>
      <c r="B4578" s="1">
        <v>6101047</v>
      </c>
      <c r="C4578" t="s">
        <v>19</v>
      </c>
      <c r="D4578" t="s">
        <v>4785</v>
      </c>
      <c r="E4578" t="s">
        <v>21</v>
      </c>
    </row>
    <row r="4579" spans="1:5" hidden="1" outlineLevel="2">
      <c r="A4579" s="3" t="e">
        <f>(HYPERLINK("http://www.autodoc.ru/Web/price/art/5152ASMVT?analog=on","5152ASMVT"))*1</f>
        <v>#VALUE!</v>
      </c>
      <c r="B4579" s="1">
        <v>6101160</v>
      </c>
      <c r="C4579" t="s">
        <v>19</v>
      </c>
      <c r="D4579" t="s">
        <v>4786</v>
      </c>
      <c r="E4579" t="s">
        <v>21</v>
      </c>
    </row>
    <row r="4580" spans="1:5" hidden="1" outlineLevel="1">
      <c r="A4580" s="2">
        <v>0</v>
      </c>
      <c r="B4580" s="26" t="s">
        <v>4787</v>
      </c>
      <c r="C4580" s="27">
        <v>0</v>
      </c>
      <c r="D4580" s="27">
        <v>0</v>
      </c>
      <c r="E4580" s="27">
        <v>0</v>
      </c>
    </row>
    <row r="4581" spans="1:5" hidden="1" outlineLevel="2">
      <c r="A4581" s="3" t="e">
        <f>(HYPERLINK("http://www.autodoc.ru/Web/price/art/5160AGN?analog=on","5160AGN"))*1</f>
        <v>#VALUE!</v>
      </c>
      <c r="B4581" s="1">
        <v>6960704</v>
      </c>
      <c r="C4581" t="s">
        <v>779</v>
      </c>
      <c r="D4581" t="s">
        <v>4788</v>
      </c>
      <c r="E4581" t="s">
        <v>8</v>
      </c>
    </row>
    <row r="4582" spans="1:5" hidden="1" outlineLevel="2">
      <c r="A4582" s="3" t="e">
        <f>(HYPERLINK("http://www.autodoc.ru/Web/price/art/5160AGNBL?analog=on","5160AGNBL"))*1</f>
        <v>#VALUE!</v>
      </c>
      <c r="B4582" s="1">
        <v>6950267</v>
      </c>
      <c r="C4582" t="s">
        <v>779</v>
      </c>
      <c r="D4582" t="s">
        <v>4789</v>
      </c>
      <c r="E4582" t="s">
        <v>8</v>
      </c>
    </row>
    <row r="4583" spans="1:5" hidden="1" outlineLevel="2">
      <c r="A4583" s="3" t="e">
        <f>(HYPERLINK("http://www.autodoc.ru/Web/price/art/5160ASMV?analog=on","5160ASMV"))*1</f>
        <v>#VALUE!</v>
      </c>
      <c r="B4583" s="1">
        <v>6100615</v>
      </c>
      <c r="C4583" t="s">
        <v>19</v>
      </c>
      <c r="D4583" t="s">
        <v>4790</v>
      </c>
      <c r="E4583" t="s">
        <v>21</v>
      </c>
    </row>
    <row r="4584" spans="1:5" hidden="1" outlineLevel="2">
      <c r="A4584" s="3" t="e">
        <f>(HYPERLINK("http://www.autodoc.ru/Web/price/art/5160LGNV5FD?analog=on","5160LGNV5FD"))*1</f>
        <v>#VALUE!</v>
      </c>
      <c r="B4584" s="1">
        <v>6980210</v>
      </c>
      <c r="C4584" t="s">
        <v>779</v>
      </c>
      <c r="D4584" t="s">
        <v>4791</v>
      </c>
      <c r="E4584" t="s">
        <v>10</v>
      </c>
    </row>
    <row r="4585" spans="1:5" hidden="1" outlineLevel="2">
      <c r="A4585" s="3" t="e">
        <f>(HYPERLINK("http://www.autodoc.ru/Web/price/art/5160RGNV5FD?analog=on","5160RGNV5FD"))*1</f>
        <v>#VALUE!</v>
      </c>
      <c r="B4585" s="1">
        <v>6980212</v>
      </c>
      <c r="C4585" t="s">
        <v>779</v>
      </c>
      <c r="D4585" t="s">
        <v>4792</v>
      </c>
      <c r="E4585" t="s">
        <v>10</v>
      </c>
    </row>
    <row r="4586" spans="1:5" hidden="1" outlineLevel="2">
      <c r="A4586" s="3" t="e">
        <f>(HYPERLINK("http://www.autodoc.ru/Web/price/art/5160RGNV5RD?analog=on","5160RGNV5RD"))*1</f>
        <v>#VALUE!</v>
      </c>
      <c r="B4586" s="1">
        <v>6980213</v>
      </c>
      <c r="C4586" t="s">
        <v>779</v>
      </c>
      <c r="D4586" t="s">
        <v>4793</v>
      </c>
      <c r="E4586" t="s">
        <v>10</v>
      </c>
    </row>
    <row r="4587" spans="1:5" hidden="1" outlineLevel="1">
      <c r="A4587" s="2">
        <v>0</v>
      </c>
      <c r="B4587" s="26" t="s">
        <v>4794</v>
      </c>
      <c r="C4587" s="27">
        <v>0</v>
      </c>
      <c r="D4587" s="27">
        <v>0</v>
      </c>
      <c r="E4587" s="27">
        <v>0</v>
      </c>
    </row>
    <row r="4588" spans="1:5" hidden="1" outlineLevel="2">
      <c r="A4588" s="3" t="e">
        <f>(HYPERLINK("http://www.autodoc.ru/Web/price/art/5140ABL?analog=on","5140ABL"))*1</f>
        <v>#VALUE!</v>
      </c>
      <c r="B4588" s="1">
        <v>6963639</v>
      </c>
      <c r="C4588" t="s">
        <v>177</v>
      </c>
      <c r="D4588" t="s">
        <v>4795</v>
      </c>
      <c r="E4588" t="s">
        <v>8</v>
      </c>
    </row>
    <row r="4589" spans="1:5" hidden="1" outlineLevel="2">
      <c r="A4589" s="3" t="e">
        <f>(HYPERLINK("http://www.autodoc.ru/Web/price/art/5140ABLBL?analog=on","5140ABLBL"))*1</f>
        <v>#VALUE!</v>
      </c>
      <c r="B4589" s="1">
        <v>6963640</v>
      </c>
      <c r="C4589" t="s">
        <v>177</v>
      </c>
      <c r="D4589" t="s">
        <v>4796</v>
      </c>
      <c r="E4589" t="s">
        <v>8</v>
      </c>
    </row>
    <row r="4590" spans="1:5" hidden="1" outlineLevel="2">
      <c r="A4590" s="3" t="e">
        <f>(HYPERLINK("http://www.autodoc.ru/Web/price/art/5140ASMC?analog=on","5140ASMC"))*1</f>
        <v>#VALUE!</v>
      </c>
      <c r="B4590" s="1">
        <v>6101100</v>
      </c>
      <c r="C4590" t="s">
        <v>19</v>
      </c>
      <c r="D4590" t="s">
        <v>4797</v>
      </c>
      <c r="E4590" t="s">
        <v>21</v>
      </c>
    </row>
    <row r="4591" spans="1:5" hidden="1" outlineLevel="2">
      <c r="A4591" s="3" t="e">
        <f>(HYPERLINK("http://www.autodoc.ru/Web/price/art/5140LBLC2FD?analog=on","5140LBLC2FD"))*1</f>
        <v>#VALUE!</v>
      </c>
      <c r="B4591" s="1">
        <v>6995725</v>
      </c>
      <c r="C4591" t="s">
        <v>177</v>
      </c>
      <c r="D4591" t="s">
        <v>4798</v>
      </c>
      <c r="E4591" t="s">
        <v>10</v>
      </c>
    </row>
    <row r="4592" spans="1:5" hidden="1" outlineLevel="2">
      <c r="A4592" s="3" t="e">
        <f>(HYPERLINK("http://www.autodoc.ru/Web/price/art/5140RBLC2FD?analog=on","5140RBLC2FD"))*1</f>
        <v>#VALUE!</v>
      </c>
      <c r="B4592" s="1">
        <v>6995726</v>
      </c>
      <c r="C4592" t="s">
        <v>177</v>
      </c>
      <c r="D4592" t="s">
        <v>4799</v>
      </c>
      <c r="E4592" t="s">
        <v>10</v>
      </c>
    </row>
    <row r="4593" spans="1:5" hidden="1" outlineLevel="1">
      <c r="A4593" s="2">
        <v>0</v>
      </c>
      <c r="B4593" s="26" t="s">
        <v>4800</v>
      </c>
      <c r="C4593" s="27">
        <v>0</v>
      </c>
      <c r="D4593" s="27">
        <v>0</v>
      </c>
      <c r="E4593" s="27">
        <v>0</v>
      </c>
    </row>
    <row r="4594" spans="1:5" hidden="1" outlineLevel="2">
      <c r="A4594" s="3" t="e">
        <f>(HYPERLINK("http://www.autodoc.ru/Web/price/art/5138ABL?analog=on","5138ABL"))*1</f>
        <v>#VALUE!</v>
      </c>
      <c r="B4594" s="1">
        <v>6963635</v>
      </c>
      <c r="C4594" t="s">
        <v>4801</v>
      </c>
      <c r="D4594" t="s">
        <v>4802</v>
      </c>
      <c r="E4594" t="s">
        <v>8</v>
      </c>
    </row>
    <row r="4595" spans="1:5" hidden="1" outlineLevel="2">
      <c r="A4595" s="3" t="e">
        <f>(HYPERLINK("http://www.autodoc.ru/Web/price/art/5138ABLBL?analog=on","5138ABLBL"))*1</f>
        <v>#VALUE!</v>
      </c>
      <c r="B4595" s="1">
        <v>6963636</v>
      </c>
      <c r="C4595" t="s">
        <v>4801</v>
      </c>
      <c r="D4595" t="s">
        <v>4803</v>
      </c>
      <c r="E4595" t="s">
        <v>8</v>
      </c>
    </row>
    <row r="4596" spans="1:5" hidden="1" outlineLevel="2">
      <c r="A4596" s="3" t="e">
        <f>(HYPERLINK("http://www.autodoc.ru/Web/price/art/5138AGN1C?analog=on","5138AGN1C"))*1</f>
        <v>#VALUE!</v>
      </c>
      <c r="B4596" s="1">
        <v>6969217</v>
      </c>
      <c r="C4596" t="s">
        <v>4801</v>
      </c>
      <c r="D4596" t="s">
        <v>4804</v>
      </c>
      <c r="E4596" t="s">
        <v>8</v>
      </c>
    </row>
    <row r="4597" spans="1:5" hidden="1" outlineLevel="2">
      <c r="A4597" s="3" t="e">
        <f>(HYPERLINK("http://www.autodoc.ru/Web/price/art/5138AKMT?analog=on","5138AKMT"))*1</f>
        <v>#VALUE!</v>
      </c>
      <c r="B4597" s="1">
        <v>6101169</v>
      </c>
      <c r="C4597" t="s">
        <v>19</v>
      </c>
      <c r="D4597" t="s">
        <v>4805</v>
      </c>
      <c r="E4597" t="s">
        <v>21</v>
      </c>
    </row>
    <row r="4598" spans="1:5" hidden="1" outlineLevel="1">
      <c r="A4598" s="2">
        <v>0</v>
      </c>
      <c r="B4598" s="26" t="s">
        <v>4806</v>
      </c>
      <c r="C4598" s="27">
        <v>0</v>
      </c>
      <c r="D4598" s="27">
        <v>0</v>
      </c>
      <c r="E4598" s="27">
        <v>0</v>
      </c>
    </row>
    <row r="4599" spans="1:5" hidden="1" outlineLevel="2">
      <c r="A4599" s="3" t="e">
        <f>(HYPERLINK("http://www.autodoc.ru/Web/price/art/5158AGN?analog=on","5158AGN"))*1</f>
        <v>#VALUE!</v>
      </c>
      <c r="B4599" s="1">
        <v>6960680</v>
      </c>
      <c r="C4599" t="s">
        <v>4807</v>
      </c>
      <c r="D4599" t="s">
        <v>4808</v>
      </c>
      <c r="E4599" t="s">
        <v>8</v>
      </c>
    </row>
    <row r="4600" spans="1:5" hidden="1" outlineLevel="2">
      <c r="A4600" s="3" t="e">
        <f>(HYPERLINK("http://www.autodoc.ru/Web/price/art/5158BCLP?analog=on","5158BCLP"))*1</f>
        <v>#VALUE!</v>
      </c>
      <c r="B4600" s="1">
        <v>6999907</v>
      </c>
      <c r="C4600" t="s">
        <v>4807</v>
      </c>
      <c r="D4600" t="s">
        <v>4809</v>
      </c>
      <c r="E4600" t="s">
        <v>23</v>
      </c>
    </row>
    <row r="4601" spans="1:5" hidden="1" outlineLevel="2">
      <c r="A4601" s="3" t="e">
        <f>(HYPERLINK("http://www.autodoc.ru/Web/price/art/5158LGNP2FD?analog=on","5158LGNP2FD"))*1</f>
        <v>#VALUE!</v>
      </c>
      <c r="B4601" s="1">
        <v>6992494</v>
      </c>
      <c r="C4601" t="s">
        <v>4807</v>
      </c>
      <c r="D4601" t="s">
        <v>4810</v>
      </c>
      <c r="E4601" t="s">
        <v>10</v>
      </c>
    </row>
    <row r="4602" spans="1:5" hidden="1" outlineLevel="2">
      <c r="A4602" s="3" t="e">
        <f>(HYPERLINK("http://www.autodoc.ru/Web/price/art/5158LGNP4RDW?analog=on","5158LGNP4RDW"))*1</f>
        <v>#VALUE!</v>
      </c>
      <c r="B4602" s="1">
        <v>6900176</v>
      </c>
      <c r="C4602" t="s">
        <v>4807</v>
      </c>
      <c r="D4602" t="s">
        <v>4811</v>
      </c>
      <c r="E4602" t="s">
        <v>10</v>
      </c>
    </row>
    <row r="4603" spans="1:5" hidden="1" outlineLevel="2">
      <c r="A4603" s="3" t="e">
        <f>(HYPERLINK("http://www.autodoc.ru/Web/price/art/5158RGNP2FD?analog=on","5158RGNP2FD"))*1</f>
        <v>#VALUE!</v>
      </c>
      <c r="B4603" s="1">
        <v>6992495</v>
      </c>
      <c r="C4603" t="s">
        <v>4807</v>
      </c>
      <c r="D4603" t="s">
        <v>4812</v>
      </c>
      <c r="E4603" t="s">
        <v>10</v>
      </c>
    </row>
    <row r="4604" spans="1:5" hidden="1" outlineLevel="2">
      <c r="A4604" s="3" t="e">
        <f>(HYPERLINK("http://www.autodoc.ru/Web/price/art/5158RGNP4RDW?analog=on","5158RGNP4RDW"))*1</f>
        <v>#VALUE!</v>
      </c>
      <c r="B4604" s="1">
        <v>6900257</v>
      </c>
      <c r="C4604" t="s">
        <v>4807</v>
      </c>
      <c r="D4604" t="s">
        <v>4813</v>
      </c>
      <c r="E4604" t="s">
        <v>10</v>
      </c>
    </row>
    <row r="4605" spans="1:5" hidden="1" outlineLevel="1">
      <c r="A4605" s="2">
        <v>0</v>
      </c>
      <c r="B4605" s="26" t="s">
        <v>4814</v>
      </c>
      <c r="C4605" s="27">
        <v>0</v>
      </c>
      <c r="D4605" s="27">
        <v>0</v>
      </c>
      <c r="E4605" s="27">
        <v>0</v>
      </c>
    </row>
    <row r="4606" spans="1:5" hidden="1" outlineLevel="2">
      <c r="A4606" s="3" t="e">
        <f>(HYPERLINK("http://www.autodoc.ru/Web/price/art/5170AGN?analog=on","5170AGN"))*1</f>
        <v>#VALUE!</v>
      </c>
      <c r="B4606" s="1">
        <v>6961790</v>
      </c>
      <c r="C4606" t="s">
        <v>4323</v>
      </c>
      <c r="D4606" t="s">
        <v>4815</v>
      </c>
      <c r="E4606" t="s">
        <v>8</v>
      </c>
    </row>
    <row r="4607" spans="1:5" hidden="1" outlineLevel="1">
      <c r="A4607" s="2">
        <v>0</v>
      </c>
      <c r="B4607" s="26" t="s">
        <v>4816</v>
      </c>
      <c r="C4607" s="27">
        <v>0</v>
      </c>
      <c r="D4607" s="27">
        <v>0</v>
      </c>
      <c r="E4607" s="27">
        <v>0</v>
      </c>
    </row>
    <row r="4608" spans="1:5" hidden="1" outlineLevel="2">
      <c r="A4608" s="3" t="e">
        <f>(HYPERLINK("http://www.autodoc.ru/Web/price/art/5143ABL?analog=on","5143ABL"))*1</f>
        <v>#VALUE!</v>
      </c>
      <c r="B4608" s="1">
        <v>6963641</v>
      </c>
      <c r="C4608" t="s">
        <v>3480</v>
      </c>
      <c r="D4608" t="s">
        <v>4817</v>
      </c>
      <c r="E4608" t="s">
        <v>8</v>
      </c>
    </row>
    <row r="4609" spans="1:5" hidden="1" outlineLevel="2">
      <c r="A4609" s="3" t="e">
        <f>(HYPERLINK("http://www.autodoc.ru/Web/price/art/5143ABLBL?analog=on","5143ABLBL"))*1</f>
        <v>#VALUE!</v>
      </c>
      <c r="B4609" s="1">
        <v>6964362</v>
      </c>
      <c r="C4609" t="s">
        <v>3480</v>
      </c>
      <c r="D4609" t="s">
        <v>4818</v>
      </c>
      <c r="E4609" t="s">
        <v>8</v>
      </c>
    </row>
    <row r="4610" spans="1:5" hidden="1" outlineLevel="2">
      <c r="A4610" s="3" t="e">
        <f>(HYPERLINK("http://www.autodoc.ru/Web/price/art/5143ASMC?analog=on","5143ASMC"))*1</f>
        <v>#VALUE!</v>
      </c>
      <c r="B4610" s="1">
        <v>6101790</v>
      </c>
      <c r="C4610" t="s">
        <v>19</v>
      </c>
      <c r="D4610" t="s">
        <v>4819</v>
      </c>
      <c r="E4610" t="s">
        <v>21</v>
      </c>
    </row>
    <row r="4611" spans="1:5" hidden="1" outlineLevel="2">
      <c r="A4611" s="3" t="e">
        <f>(HYPERLINK("http://www.autodoc.ru/Web/price/art/5143LBLC2FD?analog=on","5143LBLC2FD"))*1</f>
        <v>#VALUE!</v>
      </c>
      <c r="B4611" s="1">
        <v>6900532</v>
      </c>
      <c r="C4611" t="s">
        <v>3480</v>
      </c>
      <c r="D4611" t="s">
        <v>4820</v>
      </c>
      <c r="E4611" t="s">
        <v>10</v>
      </c>
    </row>
    <row r="4612" spans="1:5" hidden="1" outlineLevel="2">
      <c r="A4612" s="3" t="e">
        <f>(HYPERLINK("http://www.autodoc.ru/Web/price/art/5143RBLC2FD?analog=on","5143RBLC2FD"))*1</f>
        <v>#VALUE!</v>
      </c>
      <c r="B4612" s="1">
        <v>6900358</v>
      </c>
      <c r="C4612" t="s">
        <v>3480</v>
      </c>
      <c r="D4612" t="s">
        <v>4821</v>
      </c>
      <c r="E4612" t="s">
        <v>10</v>
      </c>
    </row>
    <row r="4613" spans="1:5" hidden="1" outlineLevel="1">
      <c r="A4613" s="2">
        <v>0</v>
      </c>
      <c r="B4613" s="26" t="s">
        <v>4822</v>
      </c>
      <c r="C4613" s="27">
        <v>0</v>
      </c>
      <c r="D4613" s="27">
        <v>0</v>
      </c>
      <c r="E4613" s="27">
        <v>0</v>
      </c>
    </row>
    <row r="4614" spans="1:5" hidden="1" outlineLevel="2">
      <c r="A4614" s="3" t="e">
        <f>(HYPERLINK("http://www.autodoc.ru/Web/price/art/5167AGNZ?analog=on","5167AGNZ"))*1</f>
        <v>#VALUE!</v>
      </c>
      <c r="B4614" s="1">
        <v>6962453</v>
      </c>
      <c r="C4614" t="s">
        <v>3408</v>
      </c>
      <c r="D4614" t="s">
        <v>4823</v>
      </c>
      <c r="E4614" t="s">
        <v>8</v>
      </c>
    </row>
    <row r="4615" spans="1:5" hidden="1" outlineLevel="1">
      <c r="A4615" s="2">
        <v>0</v>
      </c>
      <c r="B4615" s="26" t="s">
        <v>4824</v>
      </c>
      <c r="C4615" s="27">
        <v>0</v>
      </c>
      <c r="D4615" s="27">
        <v>0</v>
      </c>
      <c r="E4615" s="27">
        <v>0</v>
      </c>
    </row>
    <row r="4616" spans="1:5" hidden="1" outlineLevel="2">
      <c r="A4616" s="3" t="e">
        <f>(HYPERLINK("http://www.autodoc.ru/Web/price/art/5159AGN?analog=on","5159AGN"))*1</f>
        <v>#VALUE!</v>
      </c>
      <c r="B4616" s="1">
        <v>6960682</v>
      </c>
      <c r="C4616" t="s">
        <v>1134</v>
      </c>
      <c r="D4616" t="s">
        <v>4825</v>
      </c>
      <c r="E4616" t="s">
        <v>8</v>
      </c>
    </row>
    <row r="4617" spans="1:5" hidden="1" outlineLevel="2">
      <c r="A4617" s="3" t="e">
        <f>(HYPERLINK("http://www.autodoc.ru/Web/price/art/5159AGNBL?analog=on","5159AGNBL"))*1</f>
        <v>#VALUE!</v>
      </c>
      <c r="B4617" s="1">
        <v>6950106</v>
      </c>
      <c r="C4617" t="s">
        <v>1134</v>
      </c>
      <c r="D4617" t="s">
        <v>4826</v>
      </c>
      <c r="E4617" t="s">
        <v>8</v>
      </c>
    </row>
    <row r="4618" spans="1:5" hidden="1" outlineLevel="2">
      <c r="A4618" s="3" t="e">
        <f>(HYPERLINK("http://www.autodoc.ru/Web/price/art/5159AGNGN?analog=on","5159AGNGN"))*1</f>
        <v>#VALUE!</v>
      </c>
      <c r="B4618" s="1">
        <v>6962004</v>
      </c>
      <c r="C4618" t="s">
        <v>1134</v>
      </c>
      <c r="D4618" t="s">
        <v>4827</v>
      </c>
      <c r="E4618" t="s">
        <v>8</v>
      </c>
    </row>
    <row r="4619" spans="1:5" hidden="1" outlineLevel="2">
      <c r="A4619" s="3" t="e">
        <f>(HYPERLINK("http://www.autodoc.ru/Web/price/art/5159ASMV?analog=on","5159ASMV"))*1</f>
        <v>#VALUE!</v>
      </c>
      <c r="B4619" s="1">
        <v>6101197</v>
      </c>
      <c r="C4619" t="s">
        <v>19</v>
      </c>
      <c r="D4619" t="s">
        <v>4828</v>
      </c>
      <c r="E4619" t="s">
        <v>21</v>
      </c>
    </row>
    <row r="4620" spans="1:5" hidden="1" outlineLevel="2">
      <c r="A4620" s="3" t="e">
        <f>(HYPERLINK("http://www.autodoc.ru/Web/price/art/5159LGNV5FD?analog=on","5159LGNV5FD"))*1</f>
        <v>#VALUE!</v>
      </c>
      <c r="B4620" s="1">
        <v>6992505</v>
      </c>
      <c r="C4620" t="s">
        <v>1134</v>
      </c>
      <c r="D4620" t="s">
        <v>4829</v>
      </c>
      <c r="E4620" t="s">
        <v>10</v>
      </c>
    </row>
    <row r="4621" spans="1:5" hidden="1" outlineLevel="2">
      <c r="A4621" s="3" t="e">
        <f>(HYPERLINK("http://www.autodoc.ru/Web/price/art/5159LGNV5RD?analog=on","5159LGNV5RD"))*1</f>
        <v>#VALUE!</v>
      </c>
      <c r="B4621" s="1">
        <v>6980208</v>
      </c>
      <c r="C4621" t="s">
        <v>1134</v>
      </c>
      <c r="D4621" t="s">
        <v>4830</v>
      </c>
      <c r="E4621" t="s">
        <v>10</v>
      </c>
    </row>
    <row r="4622" spans="1:5" hidden="1" outlineLevel="2">
      <c r="A4622" s="3" t="e">
        <f>(HYPERLINK("http://www.autodoc.ru/Web/price/art/5159LGNV5RV?analog=on","5159LGNV5RV"))*1</f>
        <v>#VALUE!</v>
      </c>
      <c r="B4622" s="1">
        <v>6993246</v>
      </c>
      <c r="C4622" t="s">
        <v>1134</v>
      </c>
      <c r="D4622" t="s">
        <v>4831</v>
      </c>
      <c r="E4622" t="s">
        <v>10</v>
      </c>
    </row>
    <row r="4623" spans="1:5" hidden="1" outlineLevel="2">
      <c r="A4623" s="3" t="e">
        <f>(HYPERLINK("http://www.autodoc.ru/Web/price/art/5159RGNV5FD?analog=on","5159RGNV5FD"))*1</f>
        <v>#VALUE!</v>
      </c>
      <c r="B4623" s="1">
        <v>6992507</v>
      </c>
      <c r="C4623" t="s">
        <v>1134</v>
      </c>
      <c r="D4623" t="s">
        <v>4832</v>
      </c>
      <c r="E4623" t="s">
        <v>10</v>
      </c>
    </row>
    <row r="4624" spans="1:5" hidden="1" outlineLevel="2">
      <c r="A4624" s="3" t="e">
        <f>(HYPERLINK("http://www.autodoc.ru/Web/price/art/5159RGNV5RD?analog=on","5159RGNV5RD"))*1</f>
        <v>#VALUE!</v>
      </c>
      <c r="B4624" s="1">
        <v>6980209</v>
      </c>
      <c r="C4624" t="s">
        <v>1134</v>
      </c>
      <c r="D4624" t="s">
        <v>4833</v>
      </c>
      <c r="E4624" t="s">
        <v>10</v>
      </c>
    </row>
    <row r="4625" spans="1:5" hidden="1" outlineLevel="2">
      <c r="A4625" s="3" t="e">
        <f>(HYPERLINK("http://www.autodoc.ru/Web/price/art/5159RGNV5RV?analog=on","5159RGNV5RV"))*1</f>
        <v>#VALUE!</v>
      </c>
      <c r="B4625" s="1">
        <v>6993247</v>
      </c>
      <c r="C4625" t="s">
        <v>1134</v>
      </c>
      <c r="D4625" t="s">
        <v>4834</v>
      </c>
      <c r="E4625" t="s">
        <v>10</v>
      </c>
    </row>
    <row r="4626" spans="1:5" hidden="1" outlineLevel="1">
      <c r="A4626" s="2">
        <v>0</v>
      </c>
      <c r="B4626" s="26" t="s">
        <v>4835</v>
      </c>
      <c r="C4626" s="27">
        <v>0</v>
      </c>
      <c r="D4626" s="27">
        <v>0</v>
      </c>
      <c r="E4626" s="27">
        <v>0</v>
      </c>
    </row>
    <row r="4627" spans="1:5" hidden="1" outlineLevel="2">
      <c r="A4627" s="3" t="e">
        <f>(HYPERLINK("http://www.autodoc.ru/Web/price/art/5162AGSBLVW?analog=on","5162AGSBLVW"))*1</f>
        <v>#VALUE!</v>
      </c>
      <c r="B4627" s="1">
        <v>6950107</v>
      </c>
      <c r="C4627" t="s">
        <v>790</v>
      </c>
      <c r="D4627" t="s">
        <v>4836</v>
      </c>
      <c r="E4627" t="s">
        <v>8</v>
      </c>
    </row>
    <row r="4628" spans="1:5" hidden="1" outlineLevel="2">
      <c r="A4628" s="3" t="e">
        <f>(HYPERLINK("http://www.autodoc.ru/Web/price/art/5162AGSVW?analog=on","5162AGSVW"))*1</f>
        <v>#VALUE!</v>
      </c>
      <c r="B4628" s="1">
        <v>6950008</v>
      </c>
      <c r="C4628" t="s">
        <v>790</v>
      </c>
      <c r="D4628" t="s">
        <v>4837</v>
      </c>
      <c r="E4628" t="s">
        <v>8</v>
      </c>
    </row>
    <row r="4629" spans="1:5" hidden="1" outlineLevel="2">
      <c r="A4629" s="3" t="e">
        <f>(HYPERLINK("http://www.autodoc.ru/Web/price/art/5162ASMR?analog=on","5162ASMR"))*1</f>
        <v>#VALUE!</v>
      </c>
      <c r="B4629" s="1">
        <v>6101132</v>
      </c>
      <c r="C4629" t="s">
        <v>19</v>
      </c>
      <c r="D4629" t="s">
        <v>4838</v>
      </c>
      <c r="E4629" t="s">
        <v>21</v>
      </c>
    </row>
    <row r="4630" spans="1:5" hidden="1" outlineLevel="2">
      <c r="A4630" s="3" t="e">
        <f>(HYPERLINK("http://www.autodoc.ru/Web/price/art/5162BGSR?analog=on","5162BGSR"))*1</f>
        <v>#VALUE!</v>
      </c>
      <c r="B4630" s="1">
        <v>6993248</v>
      </c>
      <c r="C4630" t="s">
        <v>790</v>
      </c>
      <c r="D4630" t="s">
        <v>4839</v>
      </c>
      <c r="E4630" t="s">
        <v>23</v>
      </c>
    </row>
    <row r="4631" spans="1:5" hidden="1" outlineLevel="2">
      <c r="A4631" s="3" t="e">
        <f>(HYPERLINK("http://www.autodoc.ru/Web/price/art/5162LGSR5FD?analog=on","5162LGSR5FD"))*1</f>
        <v>#VALUE!</v>
      </c>
      <c r="B4631" s="1">
        <v>6993632</v>
      </c>
      <c r="C4631" t="s">
        <v>790</v>
      </c>
      <c r="D4631" t="s">
        <v>4840</v>
      </c>
      <c r="E4631" t="s">
        <v>10</v>
      </c>
    </row>
    <row r="4632" spans="1:5" hidden="1" outlineLevel="2">
      <c r="A4632" s="3" t="e">
        <f>(HYPERLINK("http://www.autodoc.ru/Web/price/art/5162LGSR5RD?analog=on","5162LGSR5RD"))*1</f>
        <v>#VALUE!</v>
      </c>
      <c r="B4632" s="1">
        <v>6993647</v>
      </c>
      <c r="C4632" t="s">
        <v>790</v>
      </c>
      <c r="D4632" t="s">
        <v>4841</v>
      </c>
      <c r="E4632" t="s">
        <v>10</v>
      </c>
    </row>
    <row r="4633" spans="1:5" hidden="1" outlineLevel="2">
      <c r="A4633" s="3" t="e">
        <f>(HYPERLINK("http://www.autodoc.ru/Web/price/art/5162RGSR5FD?analog=on","5162RGSR5FD"))*1</f>
        <v>#VALUE!</v>
      </c>
      <c r="B4633" s="1">
        <v>6993657</v>
      </c>
      <c r="C4633" t="s">
        <v>790</v>
      </c>
      <c r="D4633" t="s">
        <v>4842</v>
      </c>
      <c r="E4633" t="s">
        <v>10</v>
      </c>
    </row>
    <row r="4634" spans="1:5" hidden="1" outlineLevel="2">
      <c r="A4634" s="3" t="e">
        <f>(HYPERLINK("http://www.autodoc.ru/Web/price/art/5162RGSR5RD?analog=on","5162RGSR5RD"))*1</f>
        <v>#VALUE!</v>
      </c>
      <c r="B4634" s="1">
        <v>6993658</v>
      </c>
      <c r="C4634" t="s">
        <v>790</v>
      </c>
      <c r="D4634" t="s">
        <v>4843</v>
      </c>
      <c r="E4634" t="s">
        <v>10</v>
      </c>
    </row>
    <row r="4635" spans="1:5" hidden="1" outlineLevel="1">
      <c r="A4635" s="2">
        <v>0</v>
      </c>
      <c r="B4635" s="26" t="s">
        <v>4844</v>
      </c>
      <c r="C4635" s="27">
        <v>0</v>
      </c>
      <c r="D4635" s="27">
        <v>0</v>
      </c>
      <c r="E4635" s="27">
        <v>0</v>
      </c>
    </row>
    <row r="4636" spans="1:5" hidden="1" outlineLevel="2">
      <c r="A4636" s="3" t="e">
        <f>(HYPERLINK("http://www.autodoc.ru/Web/price/art/5144ABL?analog=on","5144ABL"))*1</f>
        <v>#VALUE!</v>
      </c>
      <c r="B4636" s="1">
        <v>6964363</v>
      </c>
      <c r="C4636" t="s">
        <v>4845</v>
      </c>
      <c r="D4636" t="s">
        <v>4846</v>
      </c>
      <c r="E4636" t="s">
        <v>8</v>
      </c>
    </row>
    <row r="4637" spans="1:5" hidden="1" outlineLevel="2">
      <c r="A4637" s="3" t="e">
        <f>(HYPERLINK("http://www.autodoc.ru/Web/price/art/5144ABLBL?analog=on","5144ABLBL"))*1</f>
        <v>#VALUE!</v>
      </c>
      <c r="B4637" s="1">
        <v>6963941</v>
      </c>
      <c r="C4637" t="s">
        <v>4845</v>
      </c>
      <c r="D4637" t="s">
        <v>4847</v>
      </c>
      <c r="E4637" t="s">
        <v>8</v>
      </c>
    </row>
    <row r="4638" spans="1:5" hidden="1" outlineLevel="2">
      <c r="A4638" s="3" t="e">
        <f>(HYPERLINK("http://www.autodoc.ru/Web/price/art/5144ABZ?analog=on","5144ABZ"))*1</f>
        <v>#VALUE!</v>
      </c>
      <c r="B4638" s="1">
        <v>6963558</v>
      </c>
      <c r="C4638" t="s">
        <v>4845</v>
      </c>
      <c r="D4638" t="s">
        <v>4848</v>
      </c>
      <c r="E4638" t="s">
        <v>8</v>
      </c>
    </row>
    <row r="4639" spans="1:5" hidden="1" outlineLevel="2">
      <c r="A4639" s="3" t="e">
        <f>(HYPERLINK("http://www.autodoc.ru/Web/price/art/5144ABZBL?analog=on","5144ABZBL"))*1</f>
        <v>#VALUE!</v>
      </c>
      <c r="B4639" s="1">
        <v>6963902</v>
      </c>
      <c r="C4639" t="s">
        <v>4845</v>
      </c>
      <c r="D4639" t="s">
        <v>4849</v>
      </c>
      <c r="E4639" t="s">
        <v>8</v>
      </c>
    </row>
    <row r="4640" spans="1:5" hidden="1" outlineLevel="2">
      <c r="A4640" s="3" t="e">
        <f>(HYPERLINK("http://www.autodoc.ru/Web/price/art/5144AGY?analog=on","5144AGY"))*1</f>
        <v>#VALUE!</v>
      </c>
      <c r="B4640" s="1">
        <v>6964468</v>
      </c>
      <c r="C4640" t="s">
        <v>4845</v>
      </c>
      <c r="D4640" t="s">
        <v>4850</v>
      </c>
      <c r="E4640" t="s">
        <v>8</v>
      </c>
    </row>
    <row r="4641" spans="1:5" hidden="1" outlineLevel="2">
      <c r="A4641" s="3" t="e">
        <f>(HYPERLINK("http://www.autodoc.ru/Web/price/art/5144ASMS?analog=on","5144ASMS"))*1</f>
        <v>#VALUE!</v>
      </c>
      <c r="B4641" s="1">
        <v>6101035</v>
      </c>
      <c r="C4641" t="s">
        <v>19</v>
      </c>
      <c r="D4641" t="s">
        <v>4851</v>
      </c>
      <c r="E4641" t="s">
        <v>21</v>
      </c>
    </row>
    <row r="4642" spans="1:5" hidden="1" outlineLevel="1">
      <c r="A4642" s="2">
        <v>0</v>
      </c>
      <c r="B4642" s="26" t="s">
        <v>4852</v>
      </c>
      <c r="C4642" s="27">
        <v>0</v>
      </c>
      <c r="D4642" s="27">
        <v>0</v>
      </c>
      <c r="E4642" s="27">
        <v>0</v>
      </c>
    </row>
    <row r="4643" spans="1:5" hidden="1" outlineLevel="2">
      <c r="A4643" s="3" t="e">
        <f>(HYPERLINK("http://www.autodoc.ru/Web/price/art/5146AGNGN?analog=on","5146AGNGN"))*1</f>
        <v>#VALUE!</v>
      </c>
      <c r="B4643" s="1">
        <v>6964077</v>
      </c>
      <c r="C4643" t="s">
        <v>1883</v>
      </c>
      <c r="D4643" t="s">
        <v>4853</v>
      </c>
      <c r="E4643" t="s">
        <v>8</v>
      </c>
    </row>
    <row r="4644" spans="1:5" hidden="1" outlineLevel="2">
      <c r="A4644" s="3" t="e">
        <f>(HYPERLINK("http://www.autodoc.ru/Web/price/art/5146AGNGN1C?analog=on","5146AGNGN1C"))*1</f>
        <v>#VALUE!</v>
      </c>
      <c r="B4644" s="1">
        <v>6962005</v>
      </c>
      <c r="C4644" t="s">
        <v>1883</v>
      </c>
      <c r="D4644" t="s">
        <v>4854</v>
      </c>
      <c r="E4644" t="s">
        <v>8</v>
      </c>
    </row>
    <row r="4645" spans="1:5" collapsed="1">
      <c r="A4645" s="28" t="s">
        <v>4855</v>
      </c>
      <c r="B4645" s="28">
        <v>0</v>
      </c>
      <c r="C4645" s="28">
        <v>0</v>
      </c>
      <c r="D4645" s="28">
        <v>0</v>
      </c>
      <c r="E4645" s="28">
        <v>0</v>
      </c>
    </row>
    <row r="4646" spans="1:5" hidden="1" outlineLevel="1">
      <c r="A4646" s="2">
        <v>0</v>
      </c>
      <c r="B4646" s="26" t="s">
        <v>4856</v>
      </c>
      <c r="C4646" s="27">
        <v>0</v>
      </c>
      <c r="D4646" s="27">
        <v>0</v>
      </c>
      <c r="E4646" s="27">
        <v>0</v>
      </c>
    </row>
    <row r="4647" spans="1:5" hidden="1" outlineLevel="2">
      <c r="A4647" s="3" t="e">
        <f>(HYPERLINK("http://www.autodoc.ru/Web/price/art/5350ABS?analog=on","5350ABS"))*1</f>
        <v>#VALUE!</v>
      </c>
      <c r="B4647" s="1">
        <v>6960220</v>
      </c>
      <c r="C4647" t="s">
        <v>319</v>
      </c>
      <c r="D4647" t="s">
        <v>4857</v>
      </c>
      <c r="E4647" t="s">
        <v>8</v>
      </c>
    </row>
    <row r="4648" spans="1:5" hidden="1" outlineLevel="2">
      <c r="A4648" s="3" t="e">
        <f>(HYPERLINK("http://www.autodoc.ru/Web/price/art/5350AGS?analog=on","5350AGS"))*1</f>
        <v>#VALUE!</v>
      </c>
      <c r="B4648" s="1">
        <v>6969799</v>
      </c>
      <c r="C4648" t="s">
        <v>319</v>
      </c>
      <c r="D4648" t="s">
        <v>4858</v>
      </c>
      <c r="E4648" t="s">
        <v>8</v>
      </c>
    </row>
    <row r="4649" spans="1:5" hidden="1" outlineLevel="2">
      <c r="A4649" s="3" t="e">
        <f>(HYPERLINK("http://www.autodoc.ru/Web/price/art/5350ASMH?analog=on","5350ASMH"))*1</f>
        <v>#VALUE!</v>
      </c>
      <c r="B4649" s="1">
        <v>6100291</v>
      </c>
      <c r="C4649" t="s">
        <v>19</v>
      </c>
      <c r="D4649" t="s">
        <v>4859</v>
      </c>
      <c r="E4649" t="s">
        <v>21</v>
      </c>
    </row>
    <row r="4650" spans="1:5" hidden="1" outlineLevel="2">
      <c r="A4650" s="3" t="e">
        <f>(HYPERLINK("http://www.autodoc.ru/Web/price/art/5350LBSH3FD?analog=on","5350LBSH3FD"))*1</f>
        <v>#VALUE!</v>
      </c>
      <c r="B4650" s="1">
        <v>6990979</v>
      </c>
      <c r="C4650" t="s">
        <v>319</v>
      </c>
      <c r="D4650" t="s">
        <v>4860</v>
      </c>
      <c r="E4650" t="s">
        <v>10</v>
      </c>
    </row>
    <row r="4651" spans="1:5" hidden="1" outlineLevel="2">
      <c r="A4651" s="3" t="e">
        <f>(HYPERLINK("http://www.autodoc.ru/Web/price/art/5350LBSH3FVZ?analog=on","5350LBSH3FVZ"))*1</f>
        <v>#VALUE!</v>
      </c>
      <c r="B4651" s="1">
        <v>6993429</v>
      </c>
      <c r="C4651" t="s">
        <v>319</v>
      </c>
      <c r="D4651" t="s">
        <v>4861</v>
      </c>
      <c r="E4651" t="s">
        <v>10</v>
      </c>
    </row>
    <row r="4652" spans="1:5" hidden="1" outlineLevel="2">
      <c r="A4652" s="3" t="e">
        <f>(HYPERLINK("http://www.autodoc.ru/Web/price/art/5350LBST2FD?analog=on","5350LBST2FD"))*1</f>
        <v>#VALUE!</v>
      </c>
      <c r="B4652" s="1">
        <v>6990982</v>
      </c>
      <c r="C4652" t="s">
        <v>319</v>
      </c>
      <c r="D4652" t="s">
        <v>4860</v>
      </c>
      <c r="E4652" t="s">
        <v>10</v>
      </c>
    </row>
    <row r="4653" spans="1:5" hidden="1" outlineLevel="2">
      <c r="A4653" s="3" t="e">
        <f>(HYPERLINK("http://www.autodoc.ru/Web/price/art/5350LBST2FVZ?analog=on","5350LBST2FVZ"))*1</f>
        <v>#VALUE!</v>
      </c>
      <c r="B4653" s="1">
        <v>6991016</v>
      </c>
      <c r="C4653" t="s">
        <v>319</v>
      </c>
      <c r="D4653" t="s">
        <v>4861</v>
      </c>
      <c r="E4653" t="s">
        <v>10</v>
      </c>
    </row>
    <row r="4654" spans="1:5" hidden="1" outlineLevel="2">
      <c r="A4654" s="3" t="e">
        <f>(HYPERLINK("http://www.autodoc.ru/Web/price/art/5350LGNH3FD?analog=on","5350LGNH3FD"))*1</f>
        <v>#VALUE!</v>
      </c>
      <c r="B4654" s="1">
        <v>6994771</v>
      </c>
      <c r="C4654" t="s">
        <v>319</v>
      </c>
      <c r="D4654" t="s">
        <v>4862</v>
      </c>
      <c r="E4654" t="s">
        <v>10</v>
      </c>
    </row>
    <row r="4655" spans="1:5" hidden="1" outlineLevel="2">
      <c r="A4655" s="3" t="e">
        <f>(HYPERLINK("http://www.autodoc.ru/Web/price/art/5350LGNH3FVZ?analog=on","5350LGNH3FVZ"))*1</f>
        <v>#VALUE!</v>
      </c>
      <c r="B4655" s="1">
        <v>6994772</v>
      </c>
      <c r="C4655" t="s">
        <v>319</v>
      </c>
      <c r="D4655" t="s">
        <v>4863</v>
      </c>
      <c r="E4655" t="s">
        <v>10</v>
      </c>
    </row>
    <row r="4656" spans="1:5" hidden="1" outlineLevel="2">
      <c r="A4656" s="3" t="e">
        <f>(HYPERLINK("http://www.autodoc.ru/Web/price/art/5350LGNT2FD?analog=on","5350LGNT2FD"))*1</f>
        <v>#VALUE!</v>
      </c>
      <c r="B4656" s="1">
        <v>6991054</v>
      </c>
      <c r="C4656" t="s">
        <v>319</v>
      </c>
      <c r="D4656" t="s">
        <v>4864</v>
      </c>
      <c r="E4656" t="s">
        <v>10</v>
      </c>
    </row>
    <row r="4657" spans="1:5" hidden="1" outlineLevel="2">
      <c r="A4657" s="3" t="e">
        <f>(HYPERLINK("http://www.autodoc.ru/Web/price/art/5350LGNT2FVZ?analog=on","5350LGNT2FVZ"))*1</f>
        <v>#VALUE!</v>
      </c>
      <c r="B4657" s="1">
        <v>6996384</v>
      </c>
      <c r="C4657" t="s">
        <v>319</v>
      </c>
      <c r="D4657" t="s">
        <v>4865</v>
      </c>
      <c r="E4657" t="s">
        <v>10</v>
      </c>
    </row>
    <row r="4658" spans="1:5" hidden="1" outlineLevel="2">
      <c r="A4658" s="3" t="e">
        <f>(HYPERLINK("http://www.autodoc.ru/Web/price/art/5350RBSH3FD?analog=on","5350RBSH3FD"))*1</f>
        <v>#VALUE!</v>
      </c>
      <c r="B4658" s="1">
        <v>6990978</v>
      </c>
      <c r="C4658" t="s">
        <v>319</v>
      </c>
      <c r="D4658" t="s">
        <v>4866</v>
      </c>
      <c r="E4658" t="s">
        <v>10</v>
      </c>
    </row>
    <row r="4659" spans="1:5" hidden="1" outlineLevel="2">
      <c r="A4659" s="3" t="e">
        <f>(HYPERLINK("http://www.autodoc.ru/Web/price/art/5350RBSH3FVZ?analog=on","5350RBSH3FVZ"))*1</f>
        <v>#VALUE!</v>
      </c>
      <c r="B4659" s="1">
        <v>6990977</v>
      </c>
      <c r="C4659" t="s">
        <v>319</v>
      </c>
      <c r="D4659" t="s">
        <v>4867</v>
      </c>
      <c r="E4659" t="s">
        <v>10</v>
      </c>
    </row>
    <row r="4660" spans="1:5" hidden="1" outlineLevel="2">
      <c r="A4660" s="3" t="e">
        <f>(HYPERLINK("http://www.autodoc.ru/Web/price/art/5350RBST2FD?analog=on","5350RBST2FD"))*1</f>
        <v>#VALUE!</v>
      </c>
      <c r="B4660" s="1">
        <v>6990981</v>
      </c>
      <c r="C4660" t="s">
        <v>319</v>
      </c>
      <c r="D4660" t="s">
        <v>4866</v>
      </c>
      <c r="E4660" t="s">
        <v>10</v>
      </c>
    </row>
    <row r="4661" spans="1:5" hidden="1" outlineLevel="2">
      <c r="A4661" s="3" t="e">
        <f>(HYPERLINK("http://www.autodoc.ru/Web/price/art/5350RBST2FVZ?analog=on","5350RBST2FVZ"))*1</f>
        <v>#VALUE!</v>
      </c>
      <c r="B4661" s="1">
        <v>6991015</v>
      </c>
      <c r="C4661" t="s">
        <v>319</v>
      </c>
      <c r="D4661" t="s">
        <v>4867</v>
      </c>
      <c r="E4661" t="s">
        <v>10</v>
      </c>
    </row>
    <row r="4662" spans="1:5" hidden="1" outlineLevel="2">
      <c r="A4662" s="3" t="e">
        <f>(HYPERLINK("http://www.autodoc.ru/Web/price/art/5350RGNH3FD?analog=on","5350RGNH3FD"))*1</f>
        <v>#VALUE!</v>
      </c>
      <c r="B4662" s="1">
        <v>6994773</v>
      </c>
      <c r="C4662" t="s">
        <v>319</v>
      </c>
      <c r="D4662" t="s">
        <v>4868</v>
      </c>
      <c r="E4662" t="s">
        <v>10</v>
      </c>
    </row>
    <row r="4663" spans="1:5" hidden="1" outlineLevel="2">
      <c r="A4663" s="3" t="e">
        <f>(HYPERLINK("http://www.autodoc.ru/Web/price/art/5350RGNH3FVZ?analog=on","5350RGNH3FVZ"))*1</f>
        <v>#VALUE!</v>
      </c>
      <c r="B4663" s="1">
        <v>6994774</v>
      </c>
      <c r="C4663" t="s">
        <v>319</v>
      </c>
      <c r="D4663" t="s">
        <v>4869</v>
      </c>
      <c r="E4663" t="s">
        <v>10</v>
      </c>
    </row>
    <row r="4664" spans="1:5" hidden="1" outlineLevel="2">
      <c r="A4664" s="3" t="e">
        <f>(HYPERLINK("http://www.autodoc.ru/Web/price/art/5350RGNT2FD?analog=on","5350RGNT2FD"))*1</f>
        <v>#VALUE!</v>
      </c>
      <c r="B4664" s="1">
        <v>6991050</v>
      </c>
      <c r="C4664" t="s">
        <v>319</v>
      </c>
      <c r="D4664" t="s">
        <v>4870</v>
      </c>
      <c r="E4664" t="s">
        <v>10</v>
      </c>
    </row>
    <row r="4665" spans="1:5" hidden="1" outlineLevel="2">
      <c r="A4665" s="3" t="e">
        <f>(HYPERLINK("http://www.autodoc.ru/Web/price/art/5350RGNT2FVZ?analog=on","5350RGNT2FVZ"))*1</f>
        <v>#VALUE!</v>
      </c>
      <c r="B4665" s="1">
        <v>6996385</v>
      </c>
      <c r="C4665" t="s">
        <v>319</v>
      </c>
      <c r="D4665" t="s">
        <v>4871</v>
      </c>
      <c r="E4665" t="s">
        <v>10</v>
      </c>
    </row>
    <row r="4666" spans="1:5" hidden="1" outlineLevel="1">
      <c r="A4666" s="2">
        <v>0</v>
      </c>
      <c r="B4666" s="26" t="s">
        <v>4872</v>
      </c>
      <c r="C4666" s="27">
        <v>0</v>
      </c>
      <c r="D4666" s="27">
        <v>0</v>
      </c>
      <c r="E4666" s="27">
        <v>0</v>
      </c>
    </row>
    <row r="4667" spans="1:5" hidden="1" outlineLevel="2">
      <c r="A4667" s="3" t="e">
        <f>(HYPERLINK("http://www.autodoc.ru/Web/price/art/5359ABSV?analog=on","5359ABSV"))*1</f>
        <v>#VALUE!</v>
      </c>
      <c r="B4667" s="1">
        <v>6960575</v>
      </c>
      <c r="C4667" t="s">
        <v>1048</v>
      </c>
      <c r="D4667" t="s">
        <v>4873</v>
      </c>
      <c r="E4667" t="s">
        <v>8</v>
      </c>
    </row>
    <row r="4668" spans="1:5" hidden="1" outlineLevel="2">
      <c r="A4668" s="3" t="e">
        <f>(HYPERLINK("http://www.autodoc.ru/Web/price/art/5359AGSMV1B?analog=on","5359AGSMV1B"))*1</f>
        <v>#VALUE!</v>
      </c>
      <c r="B4668" s="1">
        <v>6960766</v>
      </c>
      <c r="C4668" t="s">
        <v>1048</v>
      </c>
      <c r="D4668" t="s">
        <v>4874</v>
      </c>
      <c r="E4668" t="s">
        <v>8</v>
      </c>
    </row>
    <row r="4669" spans="1:5" hidden="1" outlineLevel="2">
      <c r="A4669" s="3" t="e">
        <f>(HYPERLINK("http://www.autodoc.ru/Web/price/art/5359AGSV?analog=on","5359AGSV"))*1</f>
        <v>#VALUE!</v>
      </c>
      <c r="B4669" s="1">
        <v>6960464</v>
      </c>
      <c r="C4669" t="s">
        <v>1048</v>
      </c>
      <c r="D4669" t="s">
        <v>4875</v>
      </c>
      <c r="E4669" t="s">
        <v>8</v>
      </c>
    </row>
    <row r="4670" spans="1:5" hidden="1" outlineLevel="2">
      <c r="A4670" s="3" t="e">
        <f>(HYPERLINK("http://www.autodoc.ru/Web/price/art/5359ASMH?analog=on","5359ASMH"))*1</f>
        <v>#VALUE!</v>
      </c>
      <c r="B4670" s="1">
        <v>6101574</v>
      </c>
      <c r="C4670" t="s">
        <v>19</v>
      </c>
      <c r="D4670" t="s">
        <v>4876</v>
      </c>
      <c r="E4670" t="s">
        <v>21</v>
      </c>
    </row>
    <row r="4671" spans="1:5" hidden="1" outlineLevel="2">
      <c r="A4671" s="3" t="e">
        <f>(HYPERLINK("http://www.autodoc.ru/Web/price/art/5359BBDHW?analog=on","5359BBDHW"))*1</f>
        <v>#VALUE!</v>
      </c>
      <c r="B4671" s="1">
        <v>6992272</v>
      </c>
      <c r="C4671" t="s">
        <v>1048</v>
      </c>
      <c r="D4671" t="s">
        <v>4877</v>
      </c>
      <c r="E4671" t="s">
        <v>23</v>
      </c>
    </row>
    <row r="4672" spans="1:5" hidden="1" outlineLevel="2">
      <c r="A4672" s="3" t="e">
        <f>(HYPERLINK("http://www.autodoc.ru/Web/price/art/5359BGSHW?analog=on","5359BGSHW"))*1</f>
        <v>#VALUE!</v>
      </c>
      <c r="B4672" s="1">
        <v>6991870</v>
      </c>
      <c r="C4672" t="s">
        <v>1048</v>
      </c>
      <c r="D4672" t="s">
        <v>4878</v>
      </c>
      <c r="E4672" t="s">
        <v>23</v>
      </c>
    </row>
    <row r="4673" spans="1:5" hidden="1" outlineLevel="2">
      <c r="A4673" s="3" t="e">
        <f>(HYPERLINK("http://www.autodoc.ru/Web/price/art/5359LBSH5RD?analog=on","5359LBSH5RD"))*1</f>
        <v>#VALUE!</v>
      </c>
      <c r="B4673" s="1">
        <v>6992152</v>
      </c>
      <c r="C4673" t="s">
        <v>1048</v>
      </c>
      <c r="D4673" t="s">
        <v>4879</v>
      </c>
      <c r="E4673" t="s">
        <v>10</v>
      </c>
    </row>
    <row r="4674" spans="1:5" hidden="1" outlineLevel="2">
      <c r="A4674" s="3" t="e">
        <f>(HYPERLINK("http://www.autodoc.ru/Web/price/art/5359LGSH5FD?analog=on","5359LGSH5FD"))*1</f>
        <v>#VALUE!</v>
      </c>
      <c r="B4674" s="1">
        <v>6991895</v>
      </c>
      <c r="C4674" t="s">
        <v>1048</v>
      </c>
      <c r="D4674" t="s">
        <v>4880</v>
      </c>
      <c r="E4674" t="s">
        <v>10</v>
      </c>
    </row>
    <row r="4675" spans="1:5" hidden="1" outlineLevel="2">
      <c r="A4675" s="3" t="e">
        <f>(HYPERLINK("http://www.autodoc.ru/Web/price/art/5359LGSH5RD?analog=on","5359LGSH5RD"))*1</f>
        <v>#VALUE!</v>
      </c>
      <c r="B4675" s="1">
        <v>6991898</v>
      </c>
      <c r="C4675" t="s">
        <v>1048</v>
      </c>
      <c r="D4675" t="s">
        <v>4881</v>
      </c>
      <c r="E4675" t="s">
        <v>10</v>
      </c>
    </row>
    <row r="4676" spans="1:5" hidden="1" outlineLevel="2">
      <c r="A4676" s="3" t="e">
        <f>(HYPERLINK("http://www.autodoc.ru/Web/price/art/5359RBSH5FD?analog=on","5359RBSH5FD"))*1</f>
        <v>#VALUE!</v>
      </c>
      <c r="B4676" s="1">
        <v>6992151</v>
      </c>
      <c r="C4676" t="s">
        <v>1048</v>
      </c>
      <c r="D4676" t="s">
        <v>4882</v>
      </c>
      <c r="E4676" t="s">
        <v>10</v>
      </c>
    </row>
    <row r="4677" spans="1:5" hidden="1" outlineLevel="2">
      <c r="A4677" s="3" t="e">
        <f>(HYPERLINK("http://www.autodoc.ru/Web/price/art/5359RGSH5FD?analog=on","5359RGSH5FD"))*1</f>
        <v>#VALUE!</v>
      </c>
      <c r="B4677" s="1">
        <v>6991896</v>
      </c>
      <c r="C4677" t="s">
        <v>1048</v>
      </c>
      <c r="D4677" t="s">
        <v>4883</v>
      </c>
      <c r="E4677" t="s">
        <v>10</v>
      </c>
    </row>
    <row r="4678" spans="1:5" hidden="1" outlineLevel="2">
      <c r="A4678" s="3" t="e">
        <f>(HYPERLINK("http://www.autodoc.ru/Web/price/art/5359RGSH5RD?analog=on","5359RGSH5RD"))*1</f>
        <v>#VALUE!</v>
      </c>
      <c r="B4678" s="1">
        <v>6991899</v>
      </c>
      <c r="C4678" t="s">
        <v>1048</v>
      </c>
      <c r="D4678" t="s">
        <v>4884</v>
      </c>
      <c r="E4678" t="s">
        <v>10</v>
      </c>
    </row>
    <row r="4679" spans="1:5" hidden="1" outlineLevel="1">
      <c r="A4679" s="2">
        <v>0</v>
      </c>
      <c r="B4679" s="26" t="s">
        <v>4885</v>
      </c>
      <c r="C4679" s="27">
        <v>0</v>
      </c>
      <c r="D4679" s="27">
        <v>0</v>
      </c>
      <c r="E4679" s="27">
        <v>0</v>
      </c>
    </row>
    <row r="4680" spans="1:5" hidden="1" outlineLevel="2">
      <c r="A4680" s="3" t="e">
        <f>(HYPERLINK("http://www.autodoc.ru/Web/price/art/5368AGSMV1B?analog=on","5368AGSMV1B"))*1</f>
        <v>#VALUE!</v>
      </c>
      <c r="B4680" s="1">
        <v>6961366</v>
      </c>
      <c r="C4680" t="s">
        <v>290</v>
      </c>
      <c r="D4680" t="s">
        <v>4886</v>
      </c>
      <c r="E4680" t="s">
        <v>8</v>
      </c>
    </row>
    <row r="4681" spans="1:5" hidden="1" outlineLevel="2">
      <c r="A4681" s="3" t="e">
        <f>(HYPERLINK("http://www.autodoc.ru/Web/price/art/5368AGSV?analog=on","5368AGSV"))*1</f>
        <v>#VALUE!</v>
      </c>
      <c r="B4681" s="1">
        <v>6961144</v>
      </c>
      <c r="C4681" t="s">
        <v>290</v>
      </c>
      <c r="D4681" t="s">
        <v>4887</v>
      </c>
      <c r="E4681" t="s">
        <v>8</v>
      </c>
    </row>
    <row r="4682" spans="1:5" hidden="1" outlineLevel="2">
      <c r="A4682" s="3" t="e">
        <f>(HYPERLINK("http://www.autodoc.ru/Web/price/art/5368BGSHOW?analog=on","5368BGSHOW"))*1</f>
        <v>#VALUE!</v>
      </c>
      <c r="B4682" s="1">
        <v>6993711</v>
      </c>
      <c r="C4682" t="s">
        <v>290</v>
      </c>
      <c r="D4682" t="s">
        <v>4888</v>
      </c>
      <c r="E4682" t="s">
        <v>23</v>
      </c>
    </row>
    <row r="4683" spans="1:5" hidden="1" outlineLevel="2">
      <c r="A4683" s="3" t="e">
        <f>(HYPERLINK("http://www.autodoc.ru/Web/price/art/5368LGNH3FD?analog=on","5368LGNH3FD"))*1</f>
        <v>#VALUE!</v>
      </c>
      <c r="B4683" s="1">
        <v>6993567</v>
      </c>
      <c r="C4683" t="s">
        <v>290</v>
      </c>
      <c r="D4683" t="s">
        <v>4889</v>
      </c>
      <c r="E4683" t="s">
        <v>10</v>
      </c>
    </row>
    <row r="4684" spans="1:5" hidden="1" outlineLevel="2">
      <c r="A4684" s="3" t="e">
        <f>(HYPERLINK("http://www.autodoc.ru/Web/price/art/5368LGNH3FVZ?analog=on","5368LGNH3FVZ"))*1</f>
        <v>#VALUE!</v>
      </c>
      <c r="B4684" s="1">
        <v>6993854</v>
      </c>
      <c r="C4684" t="s">
        <v>290</v>
      </c>
      <c r="D4684" t="s">
        <v>4890</v>
      </c>
      <c r="E4684" t="s">
        <v>10</v>
      </c>
    </row>
    <row r="4685" spans="1:5" hidden="1" outlineLevel="2">
      <c r="A4685" s="3" t="e">
        <f>(HYPERLINK("http://www.autodoc.ru/Web/price/art/5368RGNH3FD?analog=on","5368RGNH3FD"))*1</f>
        <v>#VALUE!</v>
      </c>
      <c r="B4685" s="1">
        <v>6993945</v>
      </c>
      <c r="C4685" t="s">
        <v>290</v>
      </c>
      <c r="D4685" t="s">
        <v>4891</v>
      </c>
      <c r="E4685" t="s">
        <v>10</v>
      </c>
    </row>
    <row r="4686" spans="1:5" hidden="1" outlineLevel="2">
      <c r="A4686" s="3" t="e">
        <f>(HYPERLINK("http://www.autodoc.ru/Web/price/art/5368RGNH3FVZ?analog=on","5368RGNH3FVZ"))*1</f>
        <v>#VALUE!</v>
      </c>
      <c r="B4686" s="1">
        <v>6993853</v>
      </c>
      <c r="C4686" t="s">
        <v>290</v>
      </c>
      <c r="D4686" t="s">
        <v>4892</v>
      </c>
      <c r="E4686" t="s">
        <v>10</v>
      </c>
    </row>
    <row r="4687" spans="1:5" collapsed="1">
      <c r="A4687" s="28" t="s">
        <v>4893</v>
      </c>
      <c r="B4687" s="28">
        <v>0</v>
      </c>
      <c r="C4687" s="28">
        <v>0</v>
      </c>
      <c r="D4687" s="28">
        <v>0</v>
      </c>
      <c r="E4687" s="28">
        <v>0</v>
      </c>
    </row>
    <row r="4688" spans="1:5" hidden="1" outlineLevel="1">
      <c r="A4688" s="2">
        <v>0</v>
      </c>
      <c r="B4688" s="26" t="s">
        <v>4894</v>
      </c>
      <c r="C4688" s="27">
        <v>0</v>
      </c>
      <c r="D4688" s="27">
        <v>0</v>
      </c>
      <c r="E4688" s="27">
        <v>0</v>
      </c>
    </row>
    <row r="4689" spans="1:5" hidden="1" outlineLevel="2">
      <c r="A4689" s="3" t="e">
        <f>(HYPERLINK("http://www.autodoc.ru/Web/price/art/5358AGSBLMV1B?analog=on","5358AGSBLMV1B"))*1</f>
        <v>#VALUE!</v>
      </c>
      <c r="B4689" s="1">
        <v>6961382</v>
      </c>
      <c r="C4689" t="s">
        <v>425</v>
      </c>
      <c r="D4689" t="s">
        <v>4895</v>
      </c>
      <c r="E4689" t="s">
        <v>8</v>
      </c>
    </row>
    <row r="4690" spans="1:5" hidden="1" outlineLevel="2">
      <c r="A4690" s="3" t="e">
        <f>(HYPERLINK("http://www.autodoc.ru/Web/price/art/5358AGSBLV?analog=on","5358AGSBLV"))*1</f>
        <v>#VALUE!</v>
      </c>
      <c r="B4690" s="1">
        <v>6961381</v>
      </c>
      <c r="C4690" t="s">
        <v>425</v>
      </c>
      <c r="D4690" t="s">
        <v>4896</v>
      </c>
      <c r="E4690" t="s">
        <v>8</v>
      </c>
    </row>
    <row r="4691" spans="1:5" hidden="1" outlineLevel="2">
      <c r="A4691" s="3" t="e">
        <f>(HYPERLINK("http://www.autodoc.ru/Web/price/art/5358AGSV?analog=on","5358AGSV"))*1</f>
        <v>#VALUE!</v>
      </c>
      <c r="B4691" s="1">
        <v>6961380</v>
      </c>
      <c r="C4691" t="s">
        <v>425</v>
      </c>
      <c r="D4691" t="s">
        <v>4897</v>
      </c>
      <c r="E4691" t="s">
        <v>8</v>
      </c>
    </row>
    <row r="4692" spans="1:5" hidden="1" outlineLevel="2">
      <c r="A4692" s="3" t="e">
        <f>(HYPERLINK("http://www.autodoc.ru/Web/price/art/5358BGSHB?analog=on","5358BGSHB"))*1</f>
        <v>#VALUE!</v>
      </c>
      <c r="B4692" s="1">
        <v>6996095</v>
      </c>
      <c r="C4692" t="s">
        <v>425</v>
      </c>
      <c r="D4692" t="s">
        <v>4898</v>
      </c>
      <c r="E4692" t="s">
        <v>23</v>
      </c>
    </row>
    <row r="4693" spans="1:5" hidden="1" outlineLevel="2">
      <c r="A4693" s="3" t="e">
        <f>(HYPERLINK("http://www.autodoc.ru/Web/price/art/5358BGSHBGX?analog=on","5358BGSHBGX"))*1</f>
        <v>#VALUE!</v>
      </c>
      <c r="B4693" s="1">
        <v>6996476</v>
      </c>
      <c r="C4693" t="s">
        <v>425</v>
      </c>
      <c r="D4693" t="s">
        <v>4899</v>
      </c>
      <c r="E4693" t="s">
        <v>23</v>
      </c>
    </row>
    <row r="4694" spans="1:5" hidden="1" outlineLevel="2">
      <c r="A4694" s="3" t="e">
        <f>(HYPERLINK("http://www.autodoc.ru/Web/price/art/5358BGSV?analog=on","5358BGSV"))*1</f>
        <v>#VALUE!</v>
      </c>
      <c r="B4694" s="1">
        <v>6996495</v>
      </c>
      <c r="C4694" t="s">
        <v>425</v>
      </c>
      <c r="D4694" t="s">
        <v>4900</v>
      </c>
      <c r="E4694" t="s">
        <v>23</v>
      </c>
    </row>
    <row r="4695" spans="1:5" hidden="1" outlineLevel="2">
      <c r="A4695" s="3" t="e">
        <f>(HYPERLINK("http://www.autodoc.ru/Web/price/art/5358BGSVGX?analog=on","5358BGSVGX"))*1</f>
        <v>#VALUE!</v>
      </c>
      <c r="B4695" s="1">
        <v>6996494</v>
      </c>
      <c r="C4695" t="s">
        <v>425</v>
      </c>
      <c r="D4695" t="s">
        <v>4901</v>
      </c>
      <c r="E4695" t="s">
        <v>23</v>
      </c>
    </row>
    <row r="4696" spans="1:5" hidden="1" outlineLevel="2">
      <c r="A4696" s="3" t="e">
        <f>(HYPERLINK("http://www.autodoc.ru/Web/price/art/5358LGSH3FD?analog=on","5358LGSH3FD"))*1</f>
        <v>#VALUE!</v>
      </c>
      <c r="B4696" s="1">
        <v>6997571</v>
      </c>
      <c r="C4696" t="s">
        <v>425</v>
      </c>
      <c r="D4696" t="s">
        <v>4902</v>
      </c>
      <c r="E4696" t="s">
        <v>10</v>
      </c>
    </row>
    <row r="4697" spans="1:5" hidden="1" outlineLevel="2">
      <c r="A4697" s="3" t="e">
        <f>(HYPERLINK("http://www.autodoc.ru/Web/price/art/5358LGSH5FD?analog=on","5358LGSH5FD"))*1</f>
        <v>#VALUE!</v>
      </c>
      <c r="B4697" s="1">
        <v>6997572</v>
      </c>
      <c r="C4697" t="s">
        <v>425</v>
      </c>
      <c r="D4697" t="s">
        <v>4903</v>
      </c>
      <c r="E4697" t="s">
        <v>10</v>
      </c>
    </row>
    <row r="4698" spans="1:5" hidden="1" outlineLevel="2">
      <c r="A4698" s="3" t="e">
        <f>(HYPERLINK("http://www.autodoc.ru/Web/price/art/5358LGSH5RD?analog=on","5358LGSH5RD"))*1</f>
        <v>#VALUE!</v>
      </c>
      <c r="B4698" s="1">
        <v>6997620</v>
      </c>
      <c r="C4698" t="s">
        <v>425</v>
      </c>
      <c r="D4698" t="s">
        <v>4904</v>
      </c>
      <c r="E4698" t="s">
        <v>10</v>
      </c>
    </row>
    <row r="4699" spans="1:5" hidden="1" outlineLevel="2">
      <c r="A4699" s="3" t="e">
        <f>(HYPERLINK("http://www.autodoc.ru/Web/price/art/5358LGSV5RD?analog=on","5358LGSV5RD"))*1</f>
        <v>#VALUE!</v>
      </c>
      <c r="B4699" s="1">
        <v>6996448</v>
      </c>
      <c r="C4699" t="s">
        <v>425</v>
      </c>
      <c r="D4699" t="s">
        <v>4905</v>
      </c>
      <c r="E4699" t="s">
        <v>10</v>
      </c>
    </row>
    <row r="4700" spans="1:5" hidden="1" outlineLevel="2">
      <c r="A4700" s="3" t="e">
        <f>(HYPERLINK("http://www.autodoc.ru/Web/price/art/5358RGSH3FD?analog=on","5358RGSH3FD"))*1</f>
        <v>#VALUE!</v>
      </c>
      <c r="B4700" s="1">
        <v>6993880</v>
      </c>
      <c r="C4700" t="s">
        <v>425</v>
      </c>
      <c r="D4700" t="s">
        <v>4906</v>
      </c>
      <c r="E4700" t="s">
        <v>10</v>
      </c>
    </row>
    <row r="4701" spans="1:5" hidden="1" outlineLevel="2">
      <c r="A4701" s="3" t="e">
        <f>(HYPERLINK("http://www.autodoc.ru/Web/price/art/5358RGSH5FD?analog=on","5358RGSH5FD"))*1</f>
        <v>#VALUE!</v>
      </c>
      <c r="B4701" s="1">
        <v>6993881</v>
      </c>
      <c r="C4701" t="s">
        <v>425</v>
      </c>
      <c r="D4701" t="s">
        <v>4907</v>
      </c>
      <c r="E4701" t="s">
        <v>10</v>
      </c>
    </row>
    <row r="4702" spans="1:5" hidden="1" outlineLevel="2">
      <c r="A4702" s="3" t="e">
        <f>(HYPERLINK("http://www.autodoc.ru/Web/price/art/5358RGSH5RD?analog=on","5358RGSH5RD"))*1</f>
        <v>#VALUE!</v>
      </c>
      <c r="B4702" s="1">
        <v>6993882</v>
      </c>
      <c r="C4702" t="s">
        <v>425</v>
      </c>
      <c r="D4702" t="s">
        <v>4908</v>
      </c>
      <c r="E4702" t="s">
        <v>10</v>
      </c>
    </row>
    <row r="4703" spans="1:5" hidden="1" outlineLevel="2">
      <c r="A4703" s="3" t="e">
        <f>(HYPERLINK("http://www.autodoc.ru/Web/price/art/5358RGSV5RD?analog=on","5358RGSV5RD"))*1</f>
        <v>#VALUE!</v>
      </c>
      <c r="B4703" s="1">
        <v>6996447</v>
      </c>
      <c r="C4703" t="s">
        <v>425</v>
      </c>
      <c r="D4703" t="s">
        <v>4909</v>
      </c>
      <c r="E4703" t="s">
        <v>10</v>
      </c>
    </row>
    <row r="4704" spans="1:5" hidden="1" outlineLevel="1">
      <c r="A4704" s="2">
        <v>0</v>
      </c>
      <c r="B4704" s="26" t="s">
        <v>4910</v>
      </c>
      <c r="C4704" s="27">
        <v>0</v>
      </c>
      <c r="D4704" s="27">
        <v>0</v>
      </c>
      <c r="E4704" s="27">
        <v>0</v>
      </c>
    </row>
    <row r="4705" spans="1:5" hidden="1" outlineLevel="2">
      <c r="A4705" s="3" t="e">
        <f>(HYPERLINK("http://www.autodoc.ru/Web/price/art/5342AGNBLV?analog=on","5342AGNBLV"))*1</f>
        <v>#VALUE!</v>
      </c>
      <c r="B4705" s="1">
        <v>6963748</v>
      </c>
      <c r="C4705" t="s">
        <v>323</v>
      </c>
      <c r="D4705" t="s">
        <v>4911</v>
      </c>
      <c r="E4705" t="s">
        <v>8</v>
      </c>
    </row>
    <row r="4706" spans="1:5" hidden="1" outlineLevel="2">
      <c r="A4706" s="3" t="e">
        <f>(HYPERLINK("http://www.autodoc.ru/Web/price/art/5342AGNGNV?analog=on","5342AGNGNV"))*1</f>
        <v>#VALUE!</v>
      </c>
      <c r="B4706" s="1">
        <v>6961044</v>
      </c>
      <c r="C4706" t="s">
        <v>323</v>
      </c>
      <c r="D4706" t="s">
        <v>4912</v>
      </c>
      <c r="E4706" t="s">
        <v>8</v>
      </c>
    </row>
    <row r="4707" spans="1:5" hidden="1" outlineLevel="2">
      <c r="A4707" s="3" t="e">
        <f>(HYPERLINK("http://www.autodoc.ru/Web/price/art/5342AGNGYV?analog=on","5342AGNGYV"))*1</f>
        <v>#VALUE!</v>
      </c>
      <c r="B4707" s="1">
        <v>6961045</v>
      </c>
      <c r="C4707" t="s">
        <v>323</v>
      </c>
      <c r="D4707" t="s">
        <v>4913</v>
      </c>
      <c r="E4707" t="s">
        <v>8</v>
      </c>
    </row>
    <row r="4708" spans="1:5" hidden="1" outlineLevel="2">
      <c r="A4708" s="3" t="e">
        <f>(HYPERLINK("http://www.autodoc.ru/Web/price/art/5342AGNV?analog=on","5342AGNV"))*1</f>
        <v>#VALUE!</v>
      </c>
      <c r="B4708" s="1">
        <v>6969740</v>
      </c>
      <c r="C4708" t="s">
        <v>323</v>
      </c>
      <c r="D4708" t="s">
        <v>4914</v>
      </c>
      <c r="E4708" t="s">
        <v>8</v>
      </c>
    </row>
    <row r="4709" spans="1:5" hidden="1" outlineLevel="2">
      <c r="A4709" s="3" t="e">
        <f>(HYPERLINK("http://www.autodoc.ru/Web/price/art/5342ASMHT?analog=on","5342ASMHT"))*1</f>
        <v>#VALUE!</v>
      </c>
      <c r="B4709" s="1">
        <v>6100492</v>
      </c>
      <c r="C4709" t="s">
        <v>19</v>
      </c>
      <c r="D4709" t="s">
        <v>4915</v>
      </c>
      <c r="E4709" t="s">
        <v>21</v>
      </c>
    </row>
    <row r="4710" spans="1:5" hidden="1" outlineLevel="2">
      <c r="A4710" s="3" t="e">
        <f>(HYPERLINK("http://www.autodoc.ru/Web/price/art/5342BGNHAB?analog=on","5342BGNHAB"))*1</f>
        <v>#VALUE!</v>
      </c>
      <c r="B4710" s="1">
        <v>6998768</v>
      </c>
      <c r="C4710" t="s">
        <v>323</v>
      </c>
      <c r="D4710" t="s">
        <v>4916</v>
      </c>
      <c r="E4710" t="s">
        <v>23</v>
      </c>
    </row>
    <row r="4711" spans="1:5" hidden="1" outlineLevel="2">
      <c r="A4711" s="3" t="e">
        <f>(HYPERLINK("http://www.autodoc.ru/Web/price/art/5342LGNH5FD?analog=on","5342LGNH5FD"))*1</f>
        <v>#VALUE!</v>
      </c>
      <c r="B4711" s="1">
        <v>6994480</v>
      </c>
      <c r="C4711" t="s">
        <v>323</v>
      </c>
      <c r="D4711" t="s">
        <v>4917</v>
      </c>
      <c r="E4711" t="s">
        <v>10</v>
      </c>
    </row>
    <row r="4712" spans="1:5" hidden="1" outlineLevel="2">
      <c r="A4712" s="3" t="e">
        <f>(HYPERLINK("http://www.autodoc.ru/Web/price/art/5342LGNH5FV?analog=on","5342LGNH5FV"))*1</f>
        <v>#VALUE!</v>
      </c>
      <c r="B4712" s="1">
        <v>6994481</v>
      </c>
      <c r="C4712" t="s">
        <v>323</v>
      </c>
      <c r="D4712" t="s">
        <v>4918</v>
      </c>
      <c r="E4712" t="s">
        <v>10</v>
      </c>
    </row>
    <row r="4713" spans="1:5" hidden="1" outlineLevel="2">
      <c r="A4713" s="3" t="e">
        <f>(HYPERLINK("http://www.autodoc.ru/Web/price/art/5342LGNH5RD?analog=on","5342LGNH5RD"))*1</f>
        <v>#VALUE!</v>
      </c>
      <c r="B4713" s="1">
        <v>6994482</v>
      </c>
      <c r="C4713" t="s">
        <v>323</v>
      </c>
      <c r="D4713" t="s">
        <v>4919</v>
      </c>
      <c r="E4713" t="s">
        <v>10</v>
      </c>
    </row>
    <row r="4714" spans="1:5" hidden="1" outlineLevel="2">
      <c r="A4714" s="3" t="e">
        <f>(HYPERLINK("http://www.autodoc.ru/Web/price/art/5342LGNH5RD1J?analog=on","5342LGNH5RD1J"))*1</f>
        <v>#VALUE!</v>
      </c>
      <c r="B4714" s="1">
        <v>6980106</v>
      </c>
      <c r="C4714" t="s">
        <v>2662</v>
      </c>
      <c r="D4714" t="s">
        <v>4920</v>
      </c>
      <c r="E4714" t="s">
        <v>10</v>
      </c>
    </row>
    <row r="4715" spans="1:5" hidden="1" outlineLevel="2">
      <c r="A4715" s="3" t="e">
        <f>(HYPERLINK("http://www.autodoc.ru/Web/price/art/5342RGNH5FD?analog=on","5342RGNH5FD"))*1</f>
        <v>#VALUE!</v>
      </c>
      <c r="B4715" s="1">
        <v>6994483</v>
      </c>
      <c r="C4715" t="s">
        <v>323</v>
      </c>
      <c r="D4715" t="s">
        <v>4921</v>
      </c>
      <c r="E4715" t="s">
        <v>10</v>
      </c>
    </row>
    <row r="4716" spans="1:5" hidden="1" outlineLevel="2">
      <c r="A4716" s="3" t="e">
        <f>(HYPERLINK("http://www.autodoc.ru/Web/price/art/5342RGNH5FV?analog=on","5342RGNH5FV"))*1</f>
        <v>#VALUE!</v>
      </c>
      <c r="B4716" s="1">
        <v>6994484</v>
      </c>
      <c r="C4716" t="s">
        <v>323</v>
      </c>
      <c r="D4716" t="s">
        <v>4922</v>
      </c>
      <c r="E4716" t="s">
        <v>10</v>
      </c>
    </row>
    <row r="4717" spans="1:5" hidden="1" outlineLevel="2">
      <c r="A4717" s="3" t="e">
        <f>(HYPERLINK("http://www.autodoc.ru/Web/price/art/5342RGNH5RD?analog=on","5342RGNH5RD"))*1</f>
        <v>#VALUE!</v>
      </c>
      <c r="B4717" s="1">
        <v>6994485</v>
      </c>
      <c r="C4717" t="s">
        <v>323</v>
      </c>
      <c r="D4717" t="s">
        <v>4923</v>
      </c>
      <c r="E4717" t="s">
        <v>10</v>
      </c>
    </row>
    <row r="4718" spans="1:5" hidden="1" outlineLevel="2">
      <c r="A4718" s="3" t="e">
        <f>(HYPERLINK("http://www.autodoc.ru/Web/price/art/5342RGNH5RD1J?analog=on","5342RGNH5RD1J"))*1</f>
        <v>#VALUE!</v>
      </c>
      <c r="B4718" s="1">
        <v>6980107</v>
      </c>
      <c r="C4718" t="s">
        <v>2662</v>
      </c>
      <c r="D4718" t="s">
        <v>4924</v>
      </c>
      <c r="E4718" t="s">
        <v>10</v>
      </c>
    </row>
    <row r="4719" spans="1:5" hidden="1" outlineLevel="1">
      <c r="A4719" s="2">
        <v>0</v>
      </c>
      <c r="B4719" s="26" t="s">
        <v>4925</v>
      </c>
      <c r="C4719" s="27">
        <v>0</v>
      </c>
      <c r="D4719" s="27">
        <v>0</v>
      </c>
      <c r="E4719" s="27">
        <v>0</v>
      </c>
    </row>
    <row r="4720" spans="1:5" hidden="1" outlineLevel="2">
      <c r="A4720" s="3" t="e">
        <f>(HYPERLINK("http://www.autodoc.ru/Web/price/art/5365ACDCHMVW1B?analog=on","5365ACDCHMVW1B"))*1</f>
        <v>#VALUE!</v>
      </c>
      <c r="B4720" s="1">
        <v>6962625</v>
      </c>
      <c r="C4720" t="s">
        <v>389</v>
      </c>
      <c r="D4720" t="s">
        <v>4926</v>
      </c>
      <c r="E4720" t="s">
        <v>8</v>
      </c>
    </row>
    <row r="4721" spans="1:5" hidden="1" outlineLevel="2">
      <c r="A4721" s="3" t="e">
        <f>(HYPERLINK("http://www.autodoc.ru/Web/price/art/5365ACDHMVW?analog=on","5365ACDHMVW"))*1</f>
        <v>#VALUE!</v>
      </c>
      <c r="B4721" s="1">
        <v>6962624</v>
      </c>
      <c r="C4721" t="s">
        <v>389</v>
      </c>
      <c r="D4721" t="s">
        <v>4927</v>
      </c>
      <c r="E4721" t="s">
        <v>8</v>
      </c>
    </row>
    <row r="4722" spans="1:5" hidden="1" outlineLevel="1">
      <c r="A4722" s="2">
        <v>0</v>
      </c>
      <c r="B4722" s="26" t="s">
        <v>4928</v>
      </c>
      <c r="C4722" s="27">
        <v>0</v>
      </c>
      <c r="D4722" s="27">
        <v>0</v>
      </c>
      <c r="E4722" s="27">
        <v>0</v>
      </c>
    </row>
    <row r="4723" spans="1:5" hidden="1" outlineLevel="2">
      <c r="A4723" s="3" t="e">
        <f>(HYPERLINK("http://www.autodoc.ru/Web/price/art/5370AGAMVW1K?analog=on","5370AGAMVW1K"))*1</f>
        <v>#VALUE!</v>
      </c>
      <c r="B4723" s="1">
        <v>6962308</v>
      </c>
      <c r="C4723" t="s">
        <v>211</v>
      </c>
      <c r="D4723" t="s">
        <v>4929</v>
      </c>
      <c r="E4723" t="s">
        <v>8</v>
      </c>
    </row>
    <row r="4724" spans="1:5" hidden="1" outlineLevel="2">
      <c r="A4724" s="3" t="e">
        <f>(HYPERLINK("http://www.autodoc.ru/Web/price/art/5370AGAAMVW?analog=on","5370AGAAMVW"))*1</f>
        <v>#VALUE!</v>
      </c>
      <c r="B4724" s="1">
        <v>6962340</v>
      </c>
      <c r="C4724" t="s">
        <v>211</v>
      </c>
      <c r="D4724" t="s">
        <v>4930</v>
      </c>
      <c r="E4724" t="s">
        <v>8</v>
      </c>
    </row>
    <row r="4725" spans="1:5" hidden="1" outlineLevel="2">
      <c r="A4725" s="3" t="e">
        <f>(HYPERLINK("http://www.autodoc.ru/Web/price/art/5370AGACMVW1B?analog=on","5370AGACMVW1B"))*1</f>
        <v>#VALUE!</v>
      </c>
      <c r="B4725" s="1">
        <v>6962899</v>
      </c>
      <c r="C4725" t="s">
        <v>211</v>
      </c>
      <c r="D4725" t="s">
        <v>4931</v>
      </c>
      <c r="E4725" t="s">
        <v>8</v>
      </c>
    </row>
    <row r="4726" spans="1:5" hidden="1" outlineLevel="2">
      <c r="A4726" s="3" t="e">
        <f>(HYPERLINK("http://www.autodoc.ru/Web/price/art/5370AGAACMVW1B?analog=on","5370AGAACMVW1B"))*1</f>
        <v>#VALUE!</v>
      </c>
      <c r="B4726" s="1">
        <v>6962900</v>
      </c>
      <c r="C4726" t="s">
        <v>211</v>
      </c>
      <c r="D4726" t="s">
        <v>4930</v>
      </c>
      <c r="E4726" t="s">
        <v>8</v>
      </c>
    </row>
    <row r="4727" spans="1:5" hidden="1" outlineLevel="2">
      <c r="A4727" s="3" t="e">
        <f>(HYPERLINK("http://www.autodoc.ru/Web/price/art/5370LGNC2FD?analog=on","5370LGNC2FD"))*1</f>
        <v>#VALUE!</v>
      </c>
      <c r="B4727" s="1">
        <v>6996406</v>
      </c>
      <c r="C4727" t="s">
        <v>211</v>
      </c>
      <c r="D4727" t="s">
        <v>4932</v>
      </c>
      <c r="E4727" t="s">
        <v>10</v>
      </c>
    </row>
    <row r="4728" spans="1:5" hidden="1" outlineLevel="2">
      <c r="A4728" s="3" t="e">
        <f>(HYPERLINK("http://www.autodoc.ru/Web/price/art/5370LGNC2RQOWZ?analog=on","5370LGNC2RQOWZ"))*1</f>
        <v>#VALUE!</v>
      </c>
      <c r="B4728" s="1">
        <v>6996409</v>
      </c>
      <c r="C4728" t="s">
        <v>211</v>
      </c>
      <c r="D4728" t="s">
        <v>4933</v>
      </c>
      <c r="E4728" t="s">
        <v>10</v>
      </c>
    </row>
    <row r="4729" spans="1:5" hidden="1" outlineLevel="2">
      <c r="A4729" s="3" t="e">
        <f>(HYPERLINK("http://www.autodoc.ru/Web/price/art/5370RGNC2FD?analog=on","5370RGNC2FD"))*1</f>
        <v>#VALUE!</v>
      </c>
      <c r="B4729" s="1">
        <v>6996405</v>
      </c>
      <c r="C4729" t="s">
        <v>211</v>
      </c>
      <c r="D4729" t="s">
        <v>4934</v>
      </c>
      <c r="E4729" t="s">
        <v>10</v>
      </c>
    </row>
    <row r="4730" spans="1:5" hidden="1" outlineLevel="2">
      <c r="A4730" s="3" t="e">
        <f>(HYPERLINK("http://www.autodoc.ru/Web/price/art/5370RGNC2RQOWZ?analog=on","5370RGNC2RQOWZ"))*1</f>
        <v>#VALUE!</v>
      </c>
      <c r="B4730" s="1">
        <v>6996408</v>
      </c>
      <c r="C4730" t="s">
        <v>211</v>
      </c>
      <c r="D4730" t="s">
        <v>4935</v>
      </c>
      <c r="E4730" t="s">
        <v>10</v>
      </c>
    </row>
    <row r="4731" spans="1:5" hidden="1" outlineLevel="1">
      <c r="A4731" s="2">
        <v>0</v>
      </c>
      <c r="B4731" s="26" t="s">
        <v>4936</v>
      </c>
      <c r="C4731" s="27">
        <v>0</v>
      </c>
      <c r="D4731" s="27">
        <v>0</v>
      </c>
      <c r="E4731" s="27">
        <v>0</v>
      </c>
    </row>
    <row r="4732" spans="1:5" hidden="1" outlineLevel="2">
      <c r="A4732" s="3" t="e">
        <f>(HYPERLINK("http://www.autodoc.ru/Web/price/art/5371AGSHMVWZ1K?analog=on","5371AGSHMVWZ1K"))*1</f>
        <v>#VALUE!</v>
      </c>
      <c r="B4732" s="1">
        <v>6965083</v>
      </c>
      <c r="C4732" t="s">
        <v>211</v>
      </c>
      <c r="D4732" t="s">
        <v>4937</v>
      </c>
      <c r="E4732" t="s">
        <v>8</v>
      </c>
    </row>
    <row r="4733" spans="1:5" hidden="1" outlineLevel="2">
      <c r="A4733" s="3" t="e">
        <f>(HYPERLINK("http://www.autodoc.ru/Web/price/art/5371LGSS4FD?analog=on","5371LGSS4FD"))*1</f>
        <v>#VALUE!</v>
      </c>
      <c r="B4733" s="1">
        <v>6901278</v>
      </c>
      <c r="C4733" t="s">
        <v>211</v>
      </c>
      <c r="D4733" t="s">
        <v>4938</v>
      </c>
      <c r="E4733" t="s">
        <v>10</v>
      </c>
    </row>
    <row r="4734" spans="1:5" hidden="1" outlineLevel="2">
      <c r="A4734" s="3" t="e">
        <f>(HYPERLINK("http://www.autodoc.ru/Web/price/art/5371LGSS4RD?analog=on","5371LGSS4RD"))*1</f>
        <v>#VALUE!</v>
      </c>
      <c r="B4734" s="1">
        <v>6901280</v>
      </c>
      <c r="C4734" t="s">
        <v>211</v>
      </c>
      <c r="D4734" t="s">
        <v>4939</v>
      </c>
      <c r="E4734" t="s">
        <v>10</v>
      </c>
    </row>
    <row r="4735" spans="1:5" hidden="1" outlineLevel="2">
      <c r="A4735" s="3" t="e">
        <f>(HYPERLINK("http://www.autodoc.ru/Web/price/art/5371RGSS4FD?analog=on","5371RGSS4FD"))*1</f>
        <v>#VALUE!</v>
      </c>
      <c r="B4735" s="1">
        <v>6901277</v>
      </c>
      <c r="C4735" t="s">
        <v>211</v>
      </c>
      <c r="D4735" t="s">
        <v>4940</v>
      </c>
      <c r="E4735" t="s">
        <v>10</v>
      </c>
    </row>
    <row r="4736" spans="1:5" hidden="1" outlineLevel="2">
      <c r="A4736" s="3" t="e">
        <f>(HYPERLINK("http://www.autodoc.ru/Web/price/art/5371RGSS4RD?analog=on","5371RGSS4RD"))*1</f>
        <v>#VALUE!</v>
      </c>
      <c r="B4736" s="1">
        <v>6901279</v>
      </c>
      <c r="C4736" t="s">
        <v>211</v>
      </c>
      <c r="D4736" t="s">
        <v>4941</v>
      </c>
      <c r="E4736" t="s">
        <v>10</v>
      </c>
    </row>
    <row r="4737" spans="1:5" hidden="1" outlineLevel="1">
      <c r="A4737" s="2">
        <v>0</v>
      </c>
      <c r="B4737" s="26" t="s">
        <v>4942</v>
      </c>
      <c r="C4737" s="27">
        <v>0</v>
      </c>
      <c r="D4737" s="27">
        <v>0</v>
      </c>
      <c r="E4737" s="27">
        <v>0</v>
      </c>
    </row>
    <row r="4738" spans="1:5" hidden="1" outlineLevel="2">
      <c r="A4738" s="3" t="e">
        <f>(HYPERLINK("http://www.autodoc.ru/Web/price/art/5327ACL?analog=on","5327ACL"))*1</f>
        <v>#VALUE!</v>
      </c>
      <c r="B4738" s="1">
        <v>6963561</v>
      </c>
      <c r="C4738" t="s">
        <v>4943</v>
      </c>
      <c r="D4738" t="s">
        <v>4944</v>
      </c>
      <c r="E4738" t="s">
        <v>8</v>
      </c>
    </row>
    <row r="4739" spans="1:5" hidden="1" outlineLevel="2">
      <c r="A4739" s="3" t="e">
        <f>(HYPERLINK("http://www.autodoc.ru/Web/price/art/5327AGN?analog=on","5327AGN"))*1</f>
        <v>#VALUE!</v>
      </c>
      <c r="B4739" s="1">
        <v>6963562</v>
      </c>
      <c r="C4739" t="s">
        <v>4943</v>
      </c>
      <c r="D4739" t="s">
        <v>4945</v>
      </c>
      <c r="E4739" t="s">
        <v>8</v>
      </c>
    </row>
    <row r="4740" spans="1:5" hidden="1" outlineLevel="2">
      <c r="A4740" s="3" t="e">
        <f>(HYPERLINK("http://www.autodoc.ru/Web/price/art/5327AGN1B?analog=on","5327AGN1B"))*1</f>
        <v>#VALUE!</v>
      </c>
      <c r="B4740" s="1">
        <v>6964061</v>
      </c>
      <c r="C4740" t="s">
        <v>1988</v>
      </c>
      <c r="D4740" t="s">
        <v>4946</v>
      </c>
      <c r="E4740" t="s">
        <v>8</v>
      </c>
    </row>
    <row r="4741" spans="1:5" hidden="1" outlineLevel="2">
      <c r="A4741" s="3" t="e">
        <f>(HYPERLINK("http://www.autodoc.ru/Web/price/art/5327AGNBL?analog=on","5327AGNBL"))*1</f>
        <v>#VALUE!</v>
      </c>
      <c r="B4741" s="1">
        <v>6964264</v>
      </c>
      <c r="C4741" t="s">
        <v>4943</v>
      </c>
      <c r="D4741" t="s">
        <v>4947</v>
      </c>
      <c r="E4741" t="s">
        <v>8</v>
      </c>
    </row>
    <row r="4742" spans="1:5" hidden="1" outlineLevel="2">
      <c r="A4742" s="3" t="e">
        <f>(HYPERLINK("http://www.autodoc.ru/Web/price/art/5327AGNGN?analog=on","5327AGNGN"))*1</f>
        <v>#VALUE!</v>
      </c>
      <c r="B4742" s="1">
        <v>6963563</v>
      </c>
      <c r="C4742" t="s">
        <v>4943</v>
      </c>
      <c r="D4742" t="s">
        <v>4948</v>
      </c>
      <c r="E4742" t="s">
        <v>8</v>
      </c>
    </row>
    <row r="4743" spans="1:5" hidden="1" outlineLevel="2">
      <c r="A4743" s="3" t="e">
        <f>(HYPERLINK("http://www.autodoc.ru/Web/price/art/5327AGNGN1B?analog=on","5327AGNGN1B"))*1</f>
        <v>#VALUE!</v>
      </c>
      <c r="B4743" s="1">
        <v>6950219</v>
      </c>
      <c r="C4743" t="s">
        <v>1988</v>
      </c>
      <c r="D4743" t="s">
        <v>4949</v>
      </c>
      <c r="E4743" t="s">
        <v>8</v>
      </c>
    </row>
    <row r="4744" spans="1:5" hidden="1" outlineLevel="2">
      <c r="A4744" s="3" t="e">
        <f>(HYPERLINK("http://www.autodoc.ru/Web/price/art/5327AGNH1B?analog=on","5327AGNH1B"))*1</f>
        <v>#VALUE!</v>
      </c>
      <c r="B4744" s="1">
        <v>6964062</v>
      </c>
      <c r="C4744" t="s">
        <v>1988</v>
      </c>
      <c r="D4744" t="s">
        <v>4950</v>
      </c>
      <c r="E4744" t="s">
        <v>8</v>
      </c>
    </row>
    <row r="4745" spans="1:5" hidden="1" outlineLevel="2">
      <c r="A4745" s="3" t="e">
        <f>(HYPERLINK("http://www.autodoc.ru/Web/price/art/5327ASRR?analog=on","5327ASRR"))*1</f>
        <v>#VALUE!</v>
      </c>
      <c r="B4745" s="1">
        <v>6101128</v>
      </c>
      <c r="C4745" t="s">
        <v>19</v>
      </c>
      <c r="D4745" t="s">
        <v>4951</v>
      </c>
      <c r="E4745" t="s">
        <v>21</v>
      </c>
    </row>
    <row r="4746" spans="1:5" hidden="1" outlineLevel="2">
      <c r="A4746" s="3" t="e">
        <f>(HYPERLINK("http://www.autodoc.ru/Web/price/art/5327FCLR5RQ?analog=on","5327FCLR5RQ"))*1</f>
        <v>#VALUE!</v>
      </c>
      <c r="B4746" s="1">
        <v>6999542</v>
      </c>
      <c r="C4746" t="s">
        <v>4943</v>
      </c>
      <c r="D4746" t="s">
        <v>4952</v>
      </c>
      <c r="E4746" t="s">
        <v>10</v>
      </c>
    </row>
    <row r="4747" spans="1:5" hidden="1" outlineLevel="2">
      <c r="A4747" s="3" t="e">
        <f>(HYPERLINK("http://www.autodoc.ru/Web/price/art/5327FGNR5FD?analog=on","5327FGNR5FD"))*1</f>
        <v>#VALUE!</v>
      </c>
      <c r="B4747" s="1">
        <v>6999717</v>
      </c>
      <c r="C4747" t="s">
        <v>4943</v>
      </c>
      <c r="D4747" t="s">
        <v>4953</v>
      </c>
      <c r="E4747" t="s">
        <v>10</v>
      </c>
    </row>
    <row r="4748" spans="1:5" hidden="1" outlineLevel="2">
      <c r="A4748" s="3" t="e">
        <f>(HYPERLINK("http://www.autodoc.ru/Web/price/art/5327FGNR5RQ?analog=on","5327FGNR5RQ"))*1</f>
        <v>#VALUE!</v>
      </c>
      <c r="B4748" s="1">
        <v>6999543</v>
      </c>
      <c r="C4748" t="s">
        <v>4943</v>
      </c>
      <c r="D4748" t="s">
        <v>4954</v>
      </c>
      <c r="E4748" t="s">
        <v>10</v>
      </c>
    </row>
    <row r="4749" spans="1:5" hidden="1" outlineLevel="1">
      <c r="A4749" s="2">
        <v>0</v>
      </c>
      <c r="B4749" s="26" t="s">
        <v>4955</v>
      </c>
      <c r="C4749" s="27">
        <v>0</v>
      </c>
      <c r="D4749" s="27">
        <v>0</v>
      </c>
      <c r="E4749" s="27">
        <v>0</v>
      </c>
    </row>
    <row r="4750" spans="1:5" hidden="1" outlineLevel="2">
      <c r="A4750" s="3" t="e">
        <f>(HYPERLINK("http://www.autodoc.ru/Web/price/art/5369LYPR5RD?analog=on","5369LYPR5RD"))*1</f>
        <v>#VALUE!</v>
      </c>
      <c r="B4750" s="1">
        <v>6996347</v>
      </c>
      <c r="C4750" t="s">
        <v>366</v>
      </c>
      <c r="D4750" t="s">
        <v>4956</v>
      </c>
      <c r="E4750" t="s">
        <v>10</v>
      </c>
    </row>
    <row r="4751" spans="1:5" hidden="1" outlineLevel="2">
      <c r="A4751" s="3" t="e">
        <f>(HYPERLINK("http://www.autodoc.ru/Web/price/art/5369LGNR5RD?analog=on","5369LGNR5RD"))*1</f>
        <v>#VALUE!</v>
      </c>
      <c r="B4751" s="1">
        <v>6996345</v>
      </c>
      <c r="C4751" t="s">
        <v>366</v>
      </c>
      <c r="D4751" t="s">
        <v>4957</v>
      </c>
      <c r="E4751" t="s">
        <v>10</v>
      </c>
    </row>
    <row r="4752" spans="1:5" hidden="1" outlineLevel="2">
      <c r="A4752" s="3" t="e">
        <f>(HYPERLINK("http://www.autodoc.ru/Web/price/art/5369LGNR5FD?analog=on","5369LGNR5FD"))*1</f>
        <v>#VALUE!</v>
      </c>
      <c r="B4752" s="1">
        <v>6996349</v>
      </c>
      <c r="C4752" t="s">
        <v>366</v>
      </c>
      <c r="D4752" t="s">
        <v>4958</v>
      </c>
      <c r="E4752" t="s">
        <v>10</v>
      </c>
    </row>
    <row r="4753" spans="1:5" hidden="1" outlineLevel="2">
      <c r="A4753" s="3" t="e">
        <f>(HYPERLINK("http://www.autodoc.ru/Web/price/art/5369RGNR5FD?analog=on","5369RGNR5FD"))*1</f>
        <v>#VALUE!</v>
      </c>
      <c r="B4753" s="1">
        <v>6996348</v>
      </c>
      <c r="C4753" t="s">
        <v>366</v>
      </c>
      <c r="D4753" t="s">
        <v>4959</v>
      </c>
      <c r="E4753" t="s">
        <v>10</v>
      </c>
    </row>
    <row r="4754" spans="1:5" hidden="1" outlineLevel="2">
      <c r="A4754" s="3" t="e">
        <f>(HYPERLINK("http://www.autodoc.ru/Web/price/art/5369RGNR5RD?analog=on","5369RGNR5RD"))*1</f>
        <v>#VALUE!</v>
      </c>
      <c r="B4754" s="1">
        <v>6996344</v>
      </c>
      <c r="C4754" t="s">
        <v>366</v>
      </c>
      <c r="D4754" t="s">
        <v>4960</v>
      </c>
      <c r="E4754" t="s">
        <v>10</v>
      </c>
    </row>
    <row r="4755" spans="1:5" hidden="1" outlineLevel="2">
      <c r="A4755" s="3" t="e">
        <f>(HYPERLINK("http://www.autodoc.ru/Web/price/art/5369RYPR5RD?analog=on","5369RYPR5RD"))*1</f>
        <v>#VALUE!</v>
      </c>
      <c r="B4755" s="1">
        <v>6996346</v>
      </c>
      <c r="C4755" t="s">
        <v>366</v>
      </c>
      <c r="D4755" t="s">
        <v>4961</v>
      </c>
      <c r="E4755" t="s">
        <v>10</v>
      </c>
    </row>
    <row r="4756" spans="1:5" hidden="1" outlineLevel="1">
      <c r="A4756" s="2">
        <v>0</v>
      </c>
      <c r="B4756" s="26" t="s">
        <v>4962</v>
      </c>
      <c r="C4756" s="27">
        <v>0</v>
      </c>
      <c r="D4756" s="27">
        <v>0</v>
      </c>
      <c r="E4756" s="27">
        <v>0</v>
      </c>
    </row>
    <row r="4757" spans="1:5" hidden="1" outlineLevel="2">
      <c r="A4757" s="3" t="e">
        <f>(HYPERLINK("http://www.autodoc.ru/Web/price/art/5343AGSGYMVZ1C?analog=on","5343AGSGYMVZ1C"))*1</f>
        <v>#VALUE!</v>
      </c>
      <c r="B4757" s="1">
        <v>6961086</v>
      </c>
      <c r="C4757" t="s">
        <v>552</v>
      </c>
      <c r="D4757" t="s">
        <v>4963</v>
      </c>
      <c r="E4757" t="s">
        <v>8</v>
      </c>
    </row>
    <row r="4758" spans="1:5" hidden="1" outlineLevel="2">
      <c r="A4758" s="3" t="e">
        <f>(HYPERLINK("http://www.autodoc.ru/Web/price/art/5343AGSGYVZ?analog=on","5343AGSGYVZ"))*1</f>
        <v>#VALUE!</v>
      </c>
      <c r="B4758" s="1">
        <v>6963277</v>
      </c>
      <c r="C4758" t="s">
        <v>552</v>
      </c>
      <c r="D4758" t="s">
        <v>4964</v>
      </c>
      <c r="E4758" t="s">
        <v>8</v>
      </c>
    </row>
    <row r="4759" spans="1:5" hidden="1" outlineLevel="2">
      <c r="A4759" s="3" t="e">
        <f>(HYPERLINK("http://www.autodoc.ru/Web/price/art/5343AGSGYVZ1C?analog=on","5343AGSGYVZ1C"))*1</f>
        <v>#VALUE!</v>
      </c>
      <c r="B4759" s="1">
        <v>6961087</v>
      </c>
      <c r="C4759" t="s">
        <v>552</v>
      </c>
      <c r="D4759" t="s">
        <v>4965</v>
      </c>
      <c r="E4759" t="s">
        <v>8</v>
      </c>
    </row>
    <row r="4760" spans="1:5" hidden="1" outlineLevel="2">
      <c r="A4760" s="3" t="e">
        <f>(HYPERLINK("http://www.autodoc.ru/Web/price/art/5343AGSGYVZ1P?analog=on","5343AGSGYVZ1P"))*1</f>
        <v>#VALUE!</v>
      </c>
      <c r="B4760" s="1">
        <v>6961088</v>
      </c>
      <c r="C4760" t="s">
        <v>3984</v>
      </c>
      <c r="D4760" t="s">
        <v>4966</v>
      </c>
      <c r="E4760" t="s">
        <v>8</v>
      </c>
    </row>
    <row r="4761" spans="1:5" hidden="1" outlineLevel="2">
      <c r="A4761" s="3" t="e">
        <f>(HYPERLINK("http://www.autodoc.ru/Web/price/art/5343BGPRAB?analog=on","5343BGPRAB"))*1</f>
        <v>#VALUE!</v>
      </c>
      <c r="B4761" s="1">
        <v>6998554</v>
      </c>
      <c r="C4761" t="s">
        <v>552</v>
      </c>
      <c r="D4761" t="s">
        <v>4967</v>
      </c>
      <c r="E4761" t="s">
        <v>23</v>
      </c>
    </row>
    <row r="4762" spans="1:5" hidden="1" outlineLevel="2">
      <c r="A4762" s="3" t="e">
        <f>(HYPERLINK("http://www.autodoc.ru/Web/price/art/5343BGSRAB?analog=on","5343BGSRAB"))*1</f>
        <v>#VALUE!</v>
      </c>
      <c r="B4762" s="1">
        <v>6998020</v>
      </c>
      <c r="C4762" t="s">
        <v>552</v>
      </c>
      <c r="D4762" t="s">
        <v>4968</v>
      </c>
      <c r="E4762" t="s">
        <v>23</v>
      </c>
    </row>
    <row r="4763" spans="1:5" hidden="1" outlineLevel="2">
      <c r="A4763" s="3" t="e">
        <f>(HYPERLINK("http://www.autodoc.ru/Web/price/art/5343LGSR5FD?analog=on","5343LGSR5FD"))*1</f>
        <v>#VALUE!</v>
      </c>
      <c r="B4763" s="1">
        <v>6991931</v>
      </c>
      <c r="C4763" t="s">
        <v>552</v>
      </c>
      <c r="D4763" t="s">
        <v>4969</v>
      </c>
      <c r="E4763" t="s">
        <v>10</v>
      </c>
    </row>
    <row r="4764" spans="1:5" hidden="1" outlineLevel="2">
      <c r="A4764" s="3" t="e">
        <f>(HYPERLINK("http://www.autodoc.ru/Web/price/art/5343LGSR5RD?analog=on","5343LGSR5RD"))*1</f>
        <v>#VALUE!</v>
      </c>
      <c r="B4764" s="1">
        <v>6993675</v>
      </c>
      <c r="C4764" t="s">
        <v>552</v>
      </c>
      <c r="D4764" t="s">
        <v>4970</v>
      </c>
      <c r="E4764" t="s">
        <v>10</v>
      </c>
    </row>
    <row r="4765" spans="1:5" hidden="1" outlineLevel="2">
      <c r="A4765" s="3" t="e">
        <f>(HYPERLINK("http://www.autodoc.ru/Web/price/art/5343LGSR5RV?analog=on","5343LGSR5RV"))*1</f>
        <v>#VALUE!</v>
      </c>
      <c r="B4765" s="1">
        <v>6993676</v>
      </c>
      <c r="C4765" t="s">
        <v>552</v>
      </c>
      <c r="D4765" t="s">
        <v>4971</v>
      </c>
      <c r="E4765" t="s">
        <v>10</v>
      </c>
    </row>
    <row r="4766" spans="1:5" hidden="1" outlineLevel="2">
      <c r="A4766" s="3" t="e">
        <f>(HYPERLINK("http://www.autodoc.ru/Web/price/art/5343LYPR5RD?analog=on","5343LYPR5RD"))*1</f>
        <v>#VALUE!</v>
      </c>
      <c r="B4766" s="1">
        <v>6900639</v>
      </c>
      <c r="C4766" t="s">
        <v>552</v>
      </c>
      <c r="D4766" t="s">
        <v>4972</v>
      </c>
      <c r="E4766" t="s">
        <v>10</v>
      </c>
    </row>
    <row r="4767" spans="1:5" hidden="1" outlineLevel="2">
      <c r="A4767" s="3" t="e">
        <f>(HYPERLINK("http://www.autodoc.ru/Web/price/art/5343RGSR5FD?analog=on","5343RGSR5FD"))*1</f>
        <v>#VALUE!</v>
      </c>
      <c r="B4767" s="1">
        <v>6991929</v>
      </c>
      <c r="C4767" t="s">
        <v>552</v>
      </c>
      <c r="D4767" t="s">
        <v>4973</v>
      </c>
      <c r="E4767" t="s">
        <v>10</v>
      </c>
    </row>
    <row r="4768" spans="1:5" hidden="1" outlineLevel="2">
      <c r="A4768" s="3" t="e">
        <f>(HYPERLINK("http://www.autodoc.ru/Web/price/art/5343RGSR5RD?analog=on","5343RGSR5RD"))*1</f>
        <v>#VALUE!</v>
      </c>
      <c r="B4768" s="1">
        <v>6993691</v>
      </c>
      <c r="C4768" t="s">
        <v>552</v>
      </c>
      <c r="D4768" t="s">
        <v>4974</v>
      </c>
      <c r="E4768" t="s">
        <v>10</v>
      </c>
    </row>
    <row r="4769" spans="1:5" hidden="1" outlineLevel="2">
      <c r="A4769" s="3" t="e">
        <f>(HYPERLINK("http://www.autodoc.ru/Web/price/art/5343RGSR5RV?analog=on","5343RGSR5RV"))*1</f>
        <v>#VALUE!</v>
      </c>
      <c r="B4769" s="1">
        <v>6993677</v>
      </c>
      <c r="C4769" t="s">
        <v>552</v>
      </c>
      <c r="D4769" t="s">
        <v>4975</v>
      </c>
      <c r="E4769" t="s">
        <v>10</v>
      </c>
    </row>
    <row r="4770" spans="1:5" hidden="1" outlineLevel="2">
      <c r="A4770" s="3" t="e">
        <f>(HYPERLINK("http://www.autodoc.ru/Web/price/art/5343RYPR5RD?analog=on","5343RYPR5RD"))*1</f>
        <v>#VALUE!</v>
      </c>
      <c r="B4770" s="1">
        <v>6900246</v>
      </c>
      <c r="C4770" t="s">
        <v>552</v>
      </c>
      <c r="D4770" t="s">
        <v>4976</v>
      </c>
      <c r="E4770" t="s">
        <v>10</v>
      </c>
    </row>
    <row r="4771" spans="1:5" hidden="1" outlineLevel="1">
      <c r="A4771" s="2">
        <v>0</v>
      </c>
      <c r="B4771" s="26" t="s">
        <v>4977</v>
      </c>
      <c r="C4771" s="27">
        <v>0</v>
      </c>
      <c r="D4771" s="27">
        <v>0</v>
      </c>
      <c r="E4771" s="27">
        <v>0</v>
      </c>
    </row>
    <row r="4772" spans="1:5" hidden="1" outlineLevel="2">
      <c r="A4772" s="3" t="e">
        <f>(HYPERLINK("http://www.autodoc.ru/Web/price/art/5361ABSMVZ?analog=on","5361ABSMVZ"))*1</f>
        <v>#VALUE!</v>
      </c>
      <c r="B4772" s="1">
        <v>6961413</v>
      </c>
      <c r="C4772" t="s">
        <v>83</v>
      </c>
      <c r="D4772" t="s">
        <v>4978</v>
      </c>
      <c r="E4772" t="s">
        <v>8</v>
      </c>
    </row>
    <row r="4773" spans="1:5" hidden="1" outlineLevel="2">
      <c r="A4773" s="3" t="e">
        <f>(HYPERLINK("http://www.autodoc.ru/Web/price/art/5361AGSMVZ?analog=on","5361AGSMVZ"))*1</f>
        <v>#VALUE!</v>
      </c>
      <c r="B4773" s="1">
        <v>6961414</v>
      </c>
      <c r="C4773" t="s">
        <v>83</v>
      </c>
      <c r="D4773" t="s">
        <v>4979</v>
      </c>
      <c r="E4773" t="s">
        <v>8</v>
      </c>
    </row>
    <row r="4774" spans="1:5" hidden="1" outlineLevel="2">
      <c r="A4774" s="3" t="e">
        <f>(HYPERLINK("http://www.autodoc.ru/Web/price/art/5361LBSR5FD?analog=on","5361LBSR5FD"))*1</f>
        <v>#VALUE!</v>
      </c>
      <c r="B4774" s="1">
        <v>6994021</v>
      </c>
      <c r="C4774" t="s">
        <v>83</v>
      </c>
      <c r="D4774" t="s">
        <v>4980</v>
      </c>
      <c r="E4774" t="s">
        <v>10</v>
      </c>
    </row>
    <row r="4775" spans="1:5" hidden="1" outlineLevel="2">
      <c r="A4775" s="3" t="e">
        <f>(HYPERLINK("http://www.autodoc.ru/Web/price/art/5361LBSR5RD?analog=on","5361LBSR5RD"))*1</f>
        <v>#VALUE!</v>
      </c>
      <c r="B4775" s="1">
        <v>6994028</v>
      </c>
      <c r="C4775" t="s">
        <v>83</v>
      </c>
      <c r="D4775" t="s">
        <v>4981</v>
      </c>
      <c r="E4775" t="s">
        <v>10</v>
      </c>
    </row>
    <row r="4776" spans="1:5" hidden="1" outlineLevel="2">
      <c r="A4776" s="3" t="e">
        <f>(HYPERLINK("http://www.autodoc.ru/Web/price/art/5361LGSR5FD?analog=on","5361LGSR5FD"))*1</f>
        <v>#VALUE!</v>
      </c>
      <c r="B4776" s="1">
        <v>6994022</v>
      </c>
      <c r="C4776" t="s">
        <v>83</v>
      </c>
      <c r="D4776" t="s">
        <v>4982</v>
      </c>
      <c r="E4776" t="s">
        <v>10</v>
      </c>
    </row>
    <row r="4777" spans="1:5" hidden="1" outlineLevel="2">
      <c r="A4777" s="3" t="e">
        <f>(HYPERLINK("http://www.autodoc.ru/Web/price/art/5361LGSR5RD?analog=on","5361LGSR5RD"))*1</f>
        <v>#VALUE!</v>
      </c>
      <c r="B4777" s="1">
        <v>6994030</v>
      </c>
      <c r="C4777" t="s">
        <v>83</v>
      </c>
      <c r="D4777" t="s">
        <v>4983</v>
      </c>
      <c r="E4777" t="s">
        <v>10</v>
      </c>
    </row>
    <row r="4778" spans="1:5" hidden="1" outlineLevel="2">
      <c r="A4778" s="3" t="e">
        <f>(HYPERLINK("http://www.autodoc.ru/Web/price/art/5361LYPR5RD?analog=on","5361LYPR5RD"))*1</f>
        <v>#VALUE!</v>
      </c>
      <c r="B4778" s="1">
        <v>6900171</v>
      </c>
      <c r="C4778" t="s">
        <v>83</v>
      </c>
      <c r="D4778" t="s">
        <v>4984</v>
      </c>
      <c r="E4778" t="s">
        <v>10</v>
      </c>
    </row>
    <row r="4779" spans="1:5" hidden="1" outlineLevel="2">
      <c r="A4779" s="3" t="e">
        <f>(HYPERLINK("http://www.autodoc.ru/Web/price/art/5361RBSR5FD?analog=on","5361RBSR5FD"))*1</f>
        <v>#VALUE!</v>
      </c>
      <c r="B4779" s="1">
        <v>6994024</v>
      </c>
      <c r="C4779" t="s">
        <v>83</v>
      </c>
      <c r="D4779" t="s">
        <v>4985</v>
      </c>
      <c r="E4779" t="s">
        <v>10</v>
      </c>
    </row>
    <row r="4780" spans="1:5" hidden="1" outlineLevel="2">
      <c r="A4780" s="3" t="e">
        <f>(HYPERLINK("http://www.autodoc.ru/Web/price/art/5361RBSR5RD?analog=on","5361RBSR5RD"))*1</f>
        <v>#VALUE!</v>
      </c>
      <c r="B4780" s="1">
        <v>6994032</v>
      </c>
      <c r="C4780" t="s">
        <v>83</v>
      </c>
      <c r="D4780" t="s">
        <v>4986</v>
      </c>
      <c r="E4780" t="s">
        <v>10</v>
      </c>
    </row>
    <row r="4781" spans="1:5" hidden="1" outlineLevel="2">
      <c r="A4781" s="3" t="e">
        <f>(HYPERLINK("http://www.autodoc.ru/Web/price/art/5361RCCR5FDKW?analog=on","5361RCCR5FDKW"))*1</f>
        <v>#VALUE!</v>
      </c>
      <c r="B4781" s="1">
        <v>6961841</v>
      </c>
      <c r="C4781" t="s">
        <v>83</v>
      </c>
      <c r="D4781" t="s">
        <v>4987</v>
      </c>
      <c r="E4781" t="s">
        <v>10</v>
      </c>
    </row>
    <row r="4782" spans="1:5" hidden="1" outlineLevel="2">
      <c r="A4782" s="3" t="e">
        <f>(HYPERLINK("http://www.autodoc.ru/Web/price/art/5361RGSR5FD?analog=on","5361RGSR5FD"))*1</f>
        <v>#VALUE!</v>
      </c>
      <c r="B4782" s="1">
        <v>6994026</v>
      </c>
      <c r="C4782" t="s">
        <v>83</v>
      </c>
      <c r="D4782" t="s">
        <v>4988</v>
      </c>
      <c r="E4782" t="s">
        <v>10</v>
      </c>
    </row>
    <row r="4783" spans="1:5" hidden="1" outlineLevel="2">
      <c r="A4783" s="3" t="e">
        <f>(HYPERLINK("http://www.autodoc.ru/Web/price/art/5361RGSR5RD?analog=on","5361RGSR5RD"))*1</f>
        <v>#VALUE!</v>
      </c>
      <c r="B4783" s="1">
        <v>6994034</v>
      </c>
      <c r="C4783" t="s">
        <v>83</v>
      </c>
      <c r="D4783" t="s">
        <v>4989</v>
      </c>
      <c r="E4783" t="s">
        <v>10</v>
      </c>
    </row>
    <row r="4784" spans="1:5" hidden="1" outlineLevel="2">
      <c r="A4784" s="3" t="e">
        <f>(HYPERLINK("http://www.autodoc.ru/Web/price/art/5361RYPR5RD?analog=on","5361RYPR5RD"))*1</f>
        <v>#VALUE!</v>
      </c>
      <c r="B4784" s="1">
        <v>6900251</v>
      </c>
      <c r="C4784" t="s">
        <v>83</v>
      </c>
      <c r="D4784" t="s">
        <v>4990</v>
      </c>
      <c r="E4784" t="s">
        <v>10</v>
      </c>
    </row>
    <row r="4785" spans="1:5" hidden="1" outlineLevel="1">
      <c r="A4785" s="2">
        <v>0</v>
      </c>
      <c r="B4785" s="26" t="s">
        <v>4991</v>
      </c>
      <c r="C4785" s="27">
        <v>0</v>
      </c>
      <c r="D4785" s="27">
        <v>0</v>
      </c>
      <c r="E4785" s="27">
        <v>0</v>
      </c>
    </row>
    <row r="4786" spans="1:5" hidden="1" outlineLevel="2">
      <c r="A4786" s="3" t="e">
        <f>(HYPERLINK("http://www.autodoc.ru/Web/price/art/5363ABSMVZ?analog=on","5363ABSMVZ"))*1</f>
        <v>#VALUE!</v>
      </c>
      <c r="B4786" s="1">
        <v>6962384</v>
      </c>
      <c r="C4786" t="s">
        <v>956</v>
      </c>
      <c r="D4786" t="s">
        <v>4992</v>
      </c>
      <c r="E4786" t="s">
        <v>8</v>
      </c>
    </row>
    <row r="4787" spans="1:5" hidden="1" outlineLevel="2">
      <c r="A4787" s="3" t="e">
        <f>(HYPERLINK("http://www.autodoc.ru/Web/price/art/5363AGSMVZ?analog=on","5363AGSMVZ"))*1</f>
        <v>#VALUE!</v>
      </c>
      <c r="B4787" s="1">
        <v>6961449</v>
      </c>
      <c r="C4787" t="s">
        <v>956</v>
      </c>
      <c r="D4787" t="s">
        <v>4993</v>
      </c>
      <c r="E4787" t="s">
        <v>8</v>
      </c>
    </row>
    <row r="4788" spans="1:5" hidden="1" outlineLevel="2">
      <c r="A4788" s="3" t="e">
        <f>(HYPERLINK("http://www.autodoc.ru/Web/price/art/5363LBSM5FD?analog=on","5363LBSM5FD"))*1</f>
        <v>#VALUE!</v>
      </c>
      <c r="B4788" s="1">
        <v>6999979</v>
      </c>
      <c r="C4788" t="s">
        <v>956</v>
      </c>
      <c r="D4788" t="s">
        <v>4994</v>
      </c>
      <c r="E4788" t="s">
        <v>10</v>
      </c>
    </row>
    <row r="4789" spans="1:5" hidden="1" outlineLevel="2">
      <c r="A4789" s="3" t="e">
        <f>(HYPERLINK("http://www.autodoc.ru/Web/price/art/5363LGSM5FD?analog=on","5363LGSM5FD"))*1</f>
        <v>#VALUE!</v>
      </c>
      <c r="B4789" s="1">
        <v>6999980</v>
      </c>
      <c r="C4789" t="s">
        <v>956</v>
      </c>
      <c r="D4789" t="s">
        <v>4995</v>
      </c>
      <c r="E4789" t="s">
        <v>10</v>
      </c>
    </row>
    <row r="4790" spans="1:5" hidden="1" outlineLevel="2">
      <c r="A4790" s="3" t="e">
        <f>(HYPERLINK("http://www.autodoc.ru/Web/price/art/5363LYPM5RD1J?analog=on","5363LYPM5RD1J"))*1</f>
        <v>#VALUE!</v>
      </c>
      <c r="B4790" s="1">
        <v>6900172</v>
      </c>
      <c r="C4790" t="s">
        <v>956</v>
      </c>
      <c r="D4790" t="s">
        <v>4996</v>
      </c>
      <c r="E4790" t="s">
        <v>10</v>
      </c>
    </row>
    <row r="4791" spans="1:5" hidden="1" outlineLevel="2">
      <c r="A4791" s="3" t="e">
        <f>(HYPERLINK("http://www.autodoc.ru/Web/price/art/5363RBSM5FD?analog=on","5363RBSM5FD"))*1</f>
        <v>#VALUE!</v>
      </c>
      <c r="B4791" s="1">
        <v>6900067</v>
      </c>
      <c r="C4791" t="s">
        <v>956</v>
      </c>
      <c r="D4791" t="s">
        <v>4997</v>
      </c>
      <c r="E4791" t="s">
        <v>10</v>
      </c>
    </row>
    <row r="4792" spans="1:5" hidden="1" outlineLevel="2">
      <c r="A4792" s="3" t="e">
        <f>(HYPERLINK("http://www.autodoc.ru/Web/price/art/5363RBSM5RD1J?analog=on","5363RBSM5RD1J"))*1</f>
        <v>#VALUE!</v>
      </c>
      <c r="B4792" s="1">
        <v>6900252</v>
      </c>
      <c r="C4792" t="s">
        <v>956</v>
      </c>
      <c r="D4792" t="s">
        <v>4998</v>
      </c>
      <c r="E4792" t="s">
        <v>10</v>
      </c>
    </row>
    <row r="4793" spans="1:5" hidden="1" outlineLevel="2">
      <c r="A4793" s="3" t="e">
        <f>(HYPERLINK("http://www.autodoc.ru/Web/price/art/5363RGSM5FD?analog=on","5363RGSM5FD"))*1</f>
        <v>#VALUE!</v>
      </c>
      <c r="B4793" s="1">
        <v>6900068</v>
      </c>
      <c r="C4793" t="s">
        <v>956</v>
      </c>
      <c r="D4793" t="s">
        <v>4999</v>
      </c>
      <c r="E4793" t="s">
        <v>10</v>
      </c>
    </row>
    <row r="4794" spans="1:5" hidden="1" outlineLevel="2">
      <c r="A4794" s="3" t="e">
        <f>(HYPERLINK("http://www.autodoc.ru/Web/price/art/5363RGSM5RD1J?analog=on","5363RGSM5RD1J"))*1</f>
        <v>#VALUE!</v>
      </c>
      <c r="B4794" s="1">
        <v>6900253</v>
      </c>
      <c r="C4794" t="s">
        <v>956</v>
      </c>
      <c r="D4794" t="s">
        <v>5000</v>
      </c>
      <c r="E4794" t="s">
        <v>10</v>
      </c>
    </row>
    <row r="4795" spans="1:5" hidden="1" outlineLevel="2">
      <c r="A4795" s="3" t="e">
        <f>(HYPERLINK("http://www.autodoc.ru/Web/price/art/5363RYPM5RD1J?analog=on","5363RYPM5RD1J"))*1</f>
        <v>#VALUE!</v>
      </c>
      <c r="B4795" s="1">
        <v>6900254</v>
      </c>
      <c r="C4795" t="s">
        <v>956</v>
      </c>
      <c r="D4795" t="s">
        <v>5001</v>
      </c>
      <c r="E4795" t="s">
        <v>10</v>
      </c>
    </row>
    <row r="4796" spans="1:5" hidden="1" outlineLevel="1">
      <c r="A4796" s="2">
        <v>0</v>
      </c>
      <c r="B4796" s="26" t="s">
        <v>5002</v>
      </c>
      <c r="C4796" s="27">
        <v>0</v>
      </c>
      <c r="D4796" s="27">
        <v>0</v>
      </c>
      <c r="E4796" s="27">
        <v>0</v>
      </c>
    </row>
    <row r="4797" spans="1:5" hidden="1" outlineLevel="2">
      <c r="A4797" s="3" t="e">
        <f>(HYPERLINK("http://www.autodoc.ru/Web/price/art/5346AGSGYAHJMVW?analog=on","5346AGSGYAHJMVW"))*1</f>
        <v>#VALUE!</v>
      </c>
      <c r="B4797" s="1">
        <v>6950096</v>
      </c>
      <c r="C4797" t="s">
        <v>540</v>
      </c>
      <c r="D4797" t="s">
        <v>5003</v>
      </c>
      <c r="E4797" t="s">
        <v>8</v>
      </c>
    </row>
    <row r="4798" spans="1:5" hidden="1" outlineLevel="2">
      <c r="A4798" s="3" t="e">
        <f>(HYPERLINK("http://www.autodoc.ru/Web/price/art/5346AGSGYAJPVW?analog=on","5346AGSGYAJPVW"))*1</f>
        <v>#VALUE!</v>
      </c>
      <c r="B4798" s="1">
        <v>6962951</v>
      </c>
      <c r="C4798" t="s">
        <v>540</v>
      </c>
      <c r="D4798" t="s">
        <v>5004</v>
      </c>
      <c r="E4798" t="s">
        <v>8</v>
      </c>
    </row>
    <row r="4799" spans="1:5" hidden="1" outlineLevel="2">
      <c r="A4799" s="3" t="e">
        <f>(HYPERLINK("http://www.autodoc.ru/Web/price/art/5346BGSTW?analog=on","5346BGSTW"))*1</f>
        <v>#VALUE!</v>
      </c>
      <c r="B4799" s="1">
        <v>6999905</v>
      </c>
      <c r="C4799" t="s">
        <v>540</v>
      </c>
      <c r="D4799" t="s">
        <v>5005</v>
      </c>
      <c r="E4799" t="s">
        <v>23</v>
      </c>
    </row>
    <row r="4800" spans="1:5" hidden="1" outlineLevel="2">
      <c r="A4800" s="3" t="e">
        <f>(HYPERLINK("http://www.autodoc.ru/Web/price/art/5346LGST2FD?analog=on","5346LGST2FD"))*1</f>
        <v>#VALUE!</v>
      </c>
      <c r="B4800" s="1">
        <v>6999984</v>
      </c>
      <c r="C4800" t="s">
        <v>540</v>
      </c>
      <c r="D4800" t="s">
        <v>5006</v>
      </c>
      <c r="E4800" t="s">
        <v>10</v>
      </c>
    </row>
    <row r="4801" spans="1:5" hidden="1" outlineLevel="2">
      <c r="A4801" s="3" t="e">
        <f>(HYPERLINK("http://www.autodoc.ru/Web/price/art/5346RGST2FD?analog=on","5346RGST2FD"))*1</f>
        <v>#VALUE!</v>
      </c>
      <c r="B4801" s="1">
        <v>6900071</v>
      </c>
      <c r="C4801" t="s">
        <v>540</v>
      </c>
      <c r="D4801" t="s">
        <v>5007</v>
      </c>
      <c r="E4801" t="s">
        <v>10</v>
      </c>
    </row>
    <row r="4802" spans="1:5" hidden="1" outlineLevel="1">
      <c r="A4802" s="2">
        <v>0</v>
      </c>
      <c r="B4802" s="26" t="s">
        <v>5008</v>
      </c>
      <c r="C4802" s="27">
        <v>0</v>
      </c>
      <c r="D4802" s="27">
        <v>0</v>
      </c>
      <c r="E4802" s="27">
        <v>0</v>
      </c>
    </row>
    <row r="4803" spans="1:5" hidden="1" outlineLevel="2">
      <c r="A4803" s="3" t="e">
        <f>(HYPERLINK("http://www.autodoc.ru/Web/price/art/5339AGNV?analog=on","5339AGNV"))*1</f>
        <v>#VALUE!</v>
      </c>
      <c r="B4803" s="1">
        <v>6963316</v>
      </c>
      <c r="C4803" t="s">
        <v>1542</v>
      </c>
      <c r="D4803" t="s">
        <v>5009</v>
      </c>
      <c r="E4803" t="s">
        <v>8</v>
      </c>
    </row>
    <row r="4804" spans="1:5" hidden="1" outlineLevel="2">
      <c r="A4804" s="3" t="e">
        <f>(HYPERLINK("http://www.autodoc.ru/Web/price/art/5339ASMTT?analog=on","5339ASMTT"))*1</f>
        <v>#VALUE!</v>
      </c>
      <c r="B4804" s="1">
        <v>6100985</v>
      </c>
      <c r="C4804" t="s">
        <v>19</v>
      </c>
      <c r="D4804" t="s">
        <v>5010</v>
      </c>
      <c r="E4804" t="s">
        <v>21</v>
      </c>
    </row>
    <row r="4805" spans="1:5" hidden="1" outlineLevel="2">
      <c r="A4805" s="3" t="e">
        <f>(HYPERLINK("http://www.autodoc.ru/Web/price/art/5339BGNTZ?analog=on","5339BGNTZ"))*1</f>
        <v>#VALUE!</v>
      </c>
      <c r="B4805" s="1">
        <v>6998900</v>
      </c>
      <c r="C4805" t="s">
        <v>3800</v>
      </c>
      <c r="D4805" t="s">
        <v>5011</v>
      </c>
      <c r="E4805" t="s">
        <v>23</v>
      </c>
    </row>
    <row r="4806" spans="1:5" hidden="1" outlineLevel="2">
      <c r="A4806" s="3" t="e">
        <f>(HYPERLINK("http://www.autodoc.ru/Web/price/art/5339LGNT2FD?analog=on","5339LGNT2FD"))*1</f>
        <v>#VALUE!</v>
      </c>
      <c r="B4806" s="1">
        <v>6994472</v>
      </c>
      <c r="C4806" t="s">
        <v>3800</v>
      </c>
      <c r="D4806" t="s">
        <v>5012</v>
      </c>
      <c r="E4806" t="s">
        <v>10</v>
      </c>
    </row>
    <row r="4807" spans="1:5" hidden="1" outlineLevel="2">
      <c r="A4807" s="3" t="e">
        <f>(HYPERLINK("http://www.autodoc.ru/Web/price/art/5339LGNT2RQOW?analog=on","5339LGNT2RQOW"))*1</f>
        <v>#VALUE!</v>
      </c>
      <c r="B4807" s="1">
        <v>6995563</v>
      </c>
      <c r="C4807" t="s">
        <v>3800</v>
      </c>
      <c r="D4807" t="s">
        <v>5013</v>
      </c>
      <c r="E4807" t="s">
        <v>10</v>
      </c>
    </row>
    <row r="4808" spans="1:5" hidden="1" outlineLevel="2">
      <c r="A4808" s="3" t="e">
        <f>(HYPERLINK("http://www.autodoc.ru/Web/price/art/5339RGNT2FD?analog=on","5339RGNT2FD"))*1</f>
        <v>#VALUE!</v>
      </c>
      <c r="B4808" s="1">
        <v>6994473</v>
      </c>
      <c r="C4808" t="s">
        <v>3800</v>
      </c>
      <c r="D4808" t="s">
        <v>5014</v>
      </c>
      <c r="E4808" t="s">
        <v>10</v>
      </c>
    </row>
    <row r="4809" spans="1:5" hidden="1" outlineLevel="2">
      <c r="A4809" s="3" t="e">
        <f>(HYPERLINK("http://www.autodoc.ru/Web/price/art/5339RGNT2RQOW?analog=on","5339RGNT2RQOW"))*1</f>
        <v>#VALUE!</v>
      </c>
      <c r="B4809" s="1">
        <v>6995564</v>
      </c>
      <c r="C4809" t="s">
        <v>3800</v>
      </c>
      <c r="D4809" t="s">
        <v>5015</v>
      </c>
      <c r="E4809" t="s">
        <v>10</v>
      </c>
    </row>
    <row r="4810" spans="1:5" hidden="1" outlineLevel="1">
      <c r="A4810" s="2">
        <v>0</v>
      </c>
      <c r="B4810" s="26" t="s">
        <v>5016</v>
      </c>
      <c r="C4810" s="27">
        <v>0</v>
      </c>
      <c r="D4810" s="27">
        <v>0</v>
      </c>
      <c r="E4810" s="27">
        <v>0</v>
      </c>
    </row>
    <row r="4811" spans="1:5" hidden="1" outlineLevel="2">
      <c r="A4811" s="3" t="e">
        <f>(HYPERLINK("http://www.autodoc.ru/Web/price/art/5320ACL?analog=on","5320ACL"))*1</f>
        <v>#VALUE!</v>
      </c>
      <c r="B4811" s="1">
        <v>6969701</v>
      </c>
      <c r="C4811" t="s">
        <v>772</v>
      </c>
      <c r="D4811" t="s">
        <v>5017</v>
      </c>
      <c r="E4811" t="s">
        <v>8</v>
      </c>
    </row>
    <row r="4812" spans="1:5" hidden="1" outlineLevel="2">
      <c r="A4812" s="3" t="e">
        <f>(HYPERLINK("http://www.autodoc.ru/Web/price/art/5320AGN?analog=on","5320AGN"))*1</f>
        <v>#VALUE!</v>
      </c>
      <c r="B4812" s="1">
        <v>6969702</v>
      </c>
      <c r="C4812" t="s">
        <v>772</v>
      </c>
      <c r="D4812" t="s">
        <v>5018</v>
      </c>
      <c r="E4812" t="s">
        <v>8</v>
      </c>
    </row>
    <row r="4813" spans="1:5" hidden="1" outlineLevel="2">
      <c r="A4813" s="3" t="e">
        <f>(HYPERLINK("http://www.autodoc.ru/Web/price/art/5320AGNBL?analog=on","5320AGNBL"))*1</f>
        <v>#VALUE!</v>
      </c>
      <c r="B4813" s="1">
        <v>6969706</v>
      </c>
      <c r="C4813" t="s">
        <v>772</v>
      </c>
      <c r="D4813" t="s">
        <v>5019</v>
      </c>
      <c r="E4813" t="s">
        <v>8</v>
      </c>
    </row>
    <row r="4814" spans="1:5" hidden="1" outlineLevel="2">
      <c r="A4814" s="3" t="e">
        <f>(HYPERLINK("http://www.autodoc.ru/Web/price/art/5320AGNGN?analog=on","5320AGNGN"))*1</f>
        <v>#VALUE!</v>
      </c>
      <c r="B4814" s="1">
        <v>6969703</v>
      </c>
      <c r="C4814" t="s">
        <v>772</v>
      </c>
      <c r="D4814" t="s">
        <v>5020</v>
      </c>
      <c r="E4814" t="s">
        <v>8</v>
      </c>
    </row>
    <row r="4815" spans="1:5" hidden="1" outlineLevel="2">
      <c r="A4815" s="3" t="e">
        <f>(HYPERLINK("http://www.autodoc.ru/Web/price/art/5320ASRS?analog=on","5320ASRS"))*1</f>
        <v>#VALUE!</v>
      </c>
      <c r="B4815" s="1">
        <v>6100396</v>
      </c>
      <c r="C4815" t="s">
        <v>19</v>
      </c>
      <c r="D4815" t="s">
        <v>5021</v>
      </c>
      <c r="E4815" t="s">
        <v>21</v>
      </c>
    </row>
    <row r="4816" spans="1:5" hidden="1" outlineLevel="2">
      <c r="A4816" s="3" t="e">
        <f>(HYPERLINK("http://www.autodoc.ru/Web/price/art/5320BGNS?analog=on","5320BGNS"))*1</f>
        <v>#VALUE!</v>
      </c>
      <c r="B4816" s="1">
        <v>6998954</v>
      </c>
      <c r="C4816" t="s">
        <v>5022</v>
      </c>
      <c r="D4816" t="s">
        <v>5023</v>
      </c>
      <c r="E4816" t="s">
        <v>23</v>
      </c>
    </row>
    <row r="4817" spans="1:5" hidden="1" outlineLevel="2">
      <c r="A4817" s="3" t="e">
        <f>(HYPERLINK("http://www.autodoc.ru/Web/price/art/5320BSRS?analog=on","5320BSRS"))*1</f>
        <v>#VALUE!</v>
      </c>
      <c r="B4817" s="1">
        <v>6100491</v>
      </c>
      <c r="C4817" t="s">
        <v>19</v>
      </c>
      <c r="D4817" t="s">
        <v>5024</v>
      </c>
      <c r="E4817" t="s">
        <v>21</v>
      </c>
    </row>
    <row r="4818" spans="1:5" hidden="1" outlineLevel="2">
      <c r="A4818" s="3" t="e">
        <f>(HYPERLINK("http://www.autodoc.ru/Web/price/art/5320LCLS4FD?analog=on","5320LCLS4FD"))*1</f>
        <v>#VALUE!</v>
      </c>
      <c r="B4818" s="1">
        <v>6995729</v>
      </c>
      <c r="C4818" t="s">
        <v>5022</v>
      </c>
      <c r="D4818" t="s">
        <v>5025</v>
      </c>
      <c r="E4818" t="s">
        <v>10</v>
      </c>
    </row>
    <row r="4819" spans="1:5" hidden="1" outlineLevel="2">
      <c r="A4819" s="3" t="e">
        <f>(HYPERLINK("http://www.autodoc.ru/Web/price/art/5320LCLS4RV?analog=on","5320LCLS4RV"))*1</f>
        <v>#VALUE!</v>
      </c>
      <c r="B4819" s="1">
        <v>6996751</v>
      </c>
      <c r="C4819" t="s">
        <v>5022</v>
      </c>
      <c r="D4819" t="s">
        <v>5026</v>
      </c>
      <c r="E4819" t="s">
        <v>10</v>
      </c>
    </row>
    <row r="4820" spans="1:5" hidden="1" outlineLevel="2">
      <c r="A4820" s="3" t="e">
        <f>(HYPERLINK("http://www.autodoc.ru/Web/price/art/5320LGNE5RV?analog=on","5320LGNE5RV"))*1</f>
        <v>#VALUE!</v>
      </c>
      <c r="B4820" s="1">
        <v>6996754</v>
      </c>
      <c r="C4820" t="s">
        <v>5022</v>
      </c>
      <c r="D4820" t="s">
        <v>5027</v>
      </c>
      <c r="E4820" t="s">
        <v>10</v>
      </c>
    </row>
    <row r="4821" spans="1:5" hidden="1" outlineLevel="2">
      <c r="A4821" s="3" t="e">
        <f>(HYPERLINK("http://www.autodoc.ru/Web/price/art/5320LGNS4FD?analog=on","5320LGNS4FD"))*1</f>
        <v>#VALUE!</v>
      </c>
      <c r="B4821" s="1">
        <v>6996755</v>
      </c>
      <c r="C4821" t="s">
        <v>5022</v>
      </c>
      <c r="D4821" t="s">
        <v>5028</v>
      </c>
      <c r="E4821" t="s">
        <v>10</v>
      </c>
    </row>
    <row r="4822" spans="1:5" hidden="1" outlineLevel="2">
      <c r="A4822" s="3" t="e">
        <f>(HYPERLINK("http://www.autodoc.ru/Web/price/art/5320LGNS4RD?analog=on","5320LGNS4RD"))*1</f>
        <v>#VALUE!</v>
      </c>
      <c r="B4822" s="1">
        <v>6996756</v>
      </c>
      <c r="C4822" t="s">
        <v>5022</v>
      </c>
      <c r="D4822" t="s">
        <v>5029</v>
      </c>
      <c r="E4822" t="s">
        <v>10</v>
      </c>
    </row>
    <row r="4823" spans="1:5" hidden="1" outlineLevel="2">
      <c r="A4823" s="3" t="e">
        <f>(HYPERLINK("http://www.autodoc.ru/Web/price/art/5320LGNS4RV?analog=on","5320LGNS4RV"))*1</f>
        <v>#VALUE!</v>
      </c>
      <c r="B4823" s="1">
        <v>6996757</v>
      </c>
      <c r="C4823" t="s">
        <v>5022</v>
      </c>
      <c r="D4823" t="s">
        <v>5030</v>
      </c>
      <c r="E4823" t="s">
        <v>10</v>
      </c>
    </row>
    <row r="4824" spans="1:5" hidden="1" outlineLevel="2">
      <c r="A4824" s="3" t="e">
        <f>(HYPERLINK("http://www.autodoc.ru/Web/price/art/5320RCLS4FD?analog=on","5320RCLS4FD"))*1</f>
        <v>#VALUE!</v>
      </c>
      <c r="B4824" s="1">
        <v>6995730</v>
      </c>
      <c r="C4824" t="s">
        <v>5022</v>
      </c>
      <c r="D4824" t="s">
        <v>5031</v>
      </c>
      <c r="E4824" t="s">
        <v>10</v>
      </c>
    </row>
    <row r="4825" spans="1:5" hidden="1" outlineLevel="2">
      <c r="A4825" s="3" t="e">
        <f>(HYPERLINK("http://www.autodoc.ru/Web/price/art/5320RCLS4RV?analog=on","5320RCLS4RV"))*1</f>
        <v>#VALUE!</v>
      </c>
      <c r="B4825" s="1">
        <v>6996753</v>
      </c>
      <c r="C4825" t="s">
        <v>5022</v>
      </c>
      <c r="D4825" t="s">
        <v>5032</v>
      </c>
      <c r="E4825" t="s">
        <v>10</v>
      </c>
    </row>
    <row r="4826" spans="1:5" hidden="1" outlineLevel="2">
      <c r="A4826" s="3" t="e">
        <f>(HYPERLINK("http://www.autodoc.ru/Web/price/art/5320RGNS4FD?analog=on","5320RGNS4FD"))*1</f>
        <v>#VALUE!</v>
      </c>
      <c r="B4826" s="1">
        <v>6996759</v>
      </c>
      <c r="C4826" t="s">
        <v>5022</v>
      </c>
      <c r="D4826" t="s">
        <v>5033</v>
      </c>
      <c r="E4826" t="s">
        <v>10</v>
      </c>
    </row>
    <row r="4827" spans="1:5" hidden="1" outlineLevel="2">
      <c r="A4827" s="3" t="e">
        <f>(HYPERLINK("http://www.autodoc.ru/Web/price/art/5320RGNS4RD?analog=on","5320RGNS4RD"))*1</f>
        <v>#VALUE!</v>
      </c>
      <c r="B4827" s="1">
        <v>6996760</v>
      </c>
      <c r="C4827" t="s">
        <v>5022</v>
      </c>
      <c r="D4827" t="s">
        <v>5034</v>
      </c>
      <c r="E4827" t="s">
        <v>10</v>
      </c>
    </row>
    <row r="4828" spans="1:5" hidden="1" outlineLevel="2">
      <c r="A4828" s="3" t="e">
        <f>(HYPERLINK("http://www.autodoc.ru/Web/price/art/5320RGNS4RV?analog=on","5320RGNS4RV"))*1</f>
        <v>#VALUE!</v>
      </c>
      <c r="B4828" s="1">
        <v>6996761</v>
      </c>
      <c r="C4828" t="s">
        <v>5022</v>
      </c>
      <c r="D4828" t="s">
        <v>5035</v>
      </c>
      <c r="E4828" t="s">
        <v>10</v>
      </c>
    </row>
    <row r="4829" spans="1:5" hidden="1" outlineLevel="1">
      <c r="A4829" s="2">
        <v>0</v>
      </c>
      <c r="B4829" s="26" t="s">
        <v>5036</v>
      </c>
      <c r="C4829" s="27">
        <v>0</v>
      </c>
      <c r="D4829" s="27">
        <v>0</v>
      </c>
      <c r="E4829" s="27">
        <v>0</v>
      </c>
    </row>
    <row r="4830" spans="1:5" hidden="1" outlineLevel="2">
      <c r="A4830" s="3" t="e">
        <f>(HYPERLINK("http://www.autodoc.ru/Web/price/art/5321AGN?analog=on","5321AGN"))*1</f>
        <v>#VALUE!</v>
      </c>
      <c r="B4830" s="1">
        <v>6963560</v>
      </c>
      <c r="C4830" t="s">
        <v>5037</v>
      </c>
      <c r="D4830" t="s">
        <v>5038</v>
      </c>
      <c r="E4830" t="s">
        <v>8</v>
      </c>
    </row>
    <row r="4831" spans="1:5" hidden="1" outlineLevel="1">
      <c r="A4831" s="2">
        <v>0</v>
      </c>
      <c r="B4831" s="26" t="s">
        <v>5039</v>
      </c>
      <c r="C4831" s="27">
        <v>0</v>
      </c>
      <c r="D4831" s="27">
        <v>0</v>
      </c>
      <c r="E4831" s="27">
        <v>0</v>
      </c>
    </row>
    <row r="4832" spans="1:5" hidden="1" outlineLevel="2">
      <c r="A4832" s="3" t="e">
        <f>(HYPERLINK("http://www.autodoc.ru/Web/price/art/5330AGN?analog=on","5330AGN"))*1</f>
        <v>#VALUE!</v>
      </c>
      <c r="B4832" s="1">
        <v>6969727</v>
      </c>
      <c r="C4832" t="s">
        <v>485</v>
      </c>
      <c r="D4832" t="s">
        <v>5040</v>
      </c>
      <c r="E4832" t="s">
        <v>8</v>
      </c>
    </row>
    <row r="4833" spans="1:5" hidden="1" outlineLevel="2">
      <c r="A4833" s="3" t="e">
        <f>(HYPERLINK("http://www.autodoc.ru/Web/price/art/5330AGNBL?analog=on","5330AGNBL"))*1</f>
        <v>#VALUE!</v>
      </c>
      <c r="B4833" s="1">
        <v>6969729</v>
      </c>
      <c r="C4833" t="s">
        <v>485</v>
      </c>
      <c r="D4833" t="s">
        <v>5041</v>
      </c>
      <c r="E4833" t="s">
        <v>8</v>
      </c>
    </row>
    <row r="4834" spans="1:5" hidden="1" outlineLevel="2">
      <c r="A4834" s="3" t="e">
        <f>(HYPERLINK("http://www.autodoc.ru/Web/price/art/5330AGNGN?analog=on","5330AGNGN"))*1</f>
        <v>#VALUE!</v>
      </c>
      <c r="B4834" s="1">
        <v>6969728</v>
      </c>
      <c r="C4834" t="s">
        <v>485</v>
      </c>
      <c r="D4834" t="s">
        <v>5042</v>
      </c>
      <c r="E4834" t="s">
        <v>8</v>
      </c>
    </row>
    <row r="4835" spans="1:5" hidden="1" outlineLevel="2">
      <c r="A4835" s="3" t="e">
        <f>(HYPERLINK("http://www.autodoc.ru/Web/price/art/5330BGNCK?analog=on","5330BGNCK"))*1</f>
        <v>#VALUE!</v>
      </c>
      <c r="B4835" s="1">
        <v>6998897</v>
      </c>
      <c r="C4835" t="s">
        <v>485</v>
      </c>
      <c r="D4835" t="s">
        <v>5043</v>
      </c>
      <c r="E4835" t="s">
        <v>23</v>
      </c>
    </row>
    <row r="4836" spans="1:5" hidden="1" outlineLevel="2">
      <c r="A4836" s="3" t="e">
        <f>(HYPERLINK("http://www.autodoc.ru/Web/price/art/5330LGNC2FDW?analog=on","5330LGNC2FDW"))*1</f>
        <v>#VALUE!</v>
      </c>
      <c r="B4836" s="1">
        <v>6994445</v>
      </c>
      <c r="C4836" t="s">
        <v>485</v>
      </c>
      <c r="D4836" t="s">
        <v>5044</v>
      </c>
      <c r="E4836" t="s">
        <v>10</v>
      </c>
    </row>
    <row r="4837" spans="1:5" hidden="1" outlineLevel="2">
      <c r="A4837" s="3" t="e">
        <f>(HYPERLINK("http://www.autodoc.ru/Web/price/art/5330RGNC2FDW?analog=on","5330RGNC2FDW"))*1</f>
        <v>#VALUE!</v>
      </c>
      <c r="B4837" s="1">
        <v>6994446</v>
      </c>
      <c r="C4837" t="s">
        <v>485</v>
      </c>
      <c r="D4837" t="s">
        <v>5045</v>
      </c>
      <c r="E4837" t="s">
        <v>10</v>
      </c>
    </row>
    <row r="4838" spans="1:5" hidden="1" outlineLevel="1">
      <c r="A4838" s="2">
        <v>0</v>
      </c>
      <c r="B4838" s="26" t="s">
        <v>5046</v>
      </c>
      <c r="C4838" s="27">
        <v>0</v>
      </c>
      <c r="D4838" s="27">
        <v>0</v>
      </c>
      <c r="E4838" s="27">
        <v>0</v>
      </c>
    </row>
    <row r="4839" spans="1:5" hidden="1" outlineLevel="2">
      <c r="A4839" s="3" t="e">
        <f>(HYPERLINK("http://www.autodoc.ru/Web/price/art/5328ACL?analog=on","5328ACL"))*1</f>
        <v>#VALUE!</v>
      </c>
      <c r="B4839" s="1">
        <v>6969720</v>
      </c>
      <c r="C4839" t="s">
        <v>5047</v>
      </c>
      <c r="D4839" t="s">
        <v>5048</v>
      </c>
      <c r="E4839" t="s">
        <v>8</v>
      </c>
    </row>
    <row r="4840" spans="1:5" hidden="1" outlineLevel="2">
      <c r="A4840" s="3" t="e">
        <f>(HYPERLINK("http://www.autodoc.ru/Web/price/art/5328AGN?analog=on","5328AGN"))*1</f>
        <v>#VALUE!</v>
      </c>
      <c r="B4840" s="1">
        <v>6969721</v>
      </c>
      <c r="C4840" t="s">
        <v>5047</v>
      </c>
      <c r="D4840" t="s">
        <v>5049</v>
      </c>
      <c r="E4840" t="s">
        <v>8</v>
      </c>
    </row>
    <row r="4841" spans="1:5" hidden="1" outlineLevel="2">
      <c r="A4841" s="3" t="e">
        <f>(HYPERLINK("http://www.autodoc.ru/Web/price/art/5328AGNBL?analog=on","5328AGNBL"))*1</f>
        <v>#VALUE!</v>
      </c>
      <c r="B4841" s="1">
        <v>6969723</v>
      </c>
      <c r="C4841" t="s">
        <v>5047</v>
      </c>
      <c r="D4841" t="s">
        <v>5050</v>
      </c>
      <c r="E4841" t="s">
        <v>8</v>
      </c>
    </row>
    <row r="4842" spans="1:5" hidden="1" outlineLevel="2">
      <c r="A4842" s="3" t="e">
        <f>(HYPERLINK("http://www.autodoc.ru/Web/price/art/5328AGNGN?analog=on","5328AGNGN"))*1</f>
        <v>#VALUE!</v>
      </c>
      <c r="B4842" s="1">
        <v>6969722</v>
      </c>
      <c r="C4842" t="s">
        <v>5047</v>
      </c>
      <c r="D4842" t="s">
        <v>5051</v>
      </c>
      <c r="E4842" t="s">
        <v>8</v>
      </c>
    </row>
    <row r="4843" spans="1:5" hidden="1" outlineLevel="2">
      <c r="A4843" s="3" t="e">
        <f>(HYPERLINK("http://www.autodoc.ru/Web/price/art/5328AGNGNVW?analog=on","5328AGNGNVW"))*1</f>
        <v>#VALUE!</v>
      </c>
      <c r="B4843" s="1">
        <v>6961167</v>
      </c>
      <c r="C4843" t="s">
        <v>5047</v>
      </c>
      <c r="D4843" t="s">
        <v>5052</v>
      </c>
      <c r="E4843" t="s">
        <v>8</v>
      </c>
    </row>
    <row r="4844" spans="1:5" hidden="1" outlineLevel="2">
      <c r="A4844" s="3" t="e">
        <f>(HYPERLINK("http://www.autodoc.ru/Web/price/art/5328AGNGNW?analog=on","5328AGNGNW"))*1</f>
        <v>#VALUE!</v>
      </c>
      <c r="B4844" s="1">
        <v>6969781</v>
      </c>
      <c r="C4844" t="s">
        <v>5047</v>
      </c>
      <c r="D4844" t="s">
        <v>5053</v>
      </c>
      <c r="E4844" t="s">
        <v>8</v>
      </c>
    </row>
    <row r="4845" spans="1:5" hidden="1" outlineLevel="2">
      <c r="A4845" s="3" t="e">
        <f>(HYPERLINK("http://www.autodoc.ru/Web/price/art/5328AGNW?analog=on","5328AGNW"))*1</f>
        <v>#VALUE!</v>
      </c>
      <c r="B4845" s="1">
        <v>6963698</v>
      </c>
      <c r="C4845" t="s">
        <v>5047</v>
      </c>
      <c r="D4845" t="s">
        <v>5054</v>
      </c>
      <c r="E4845" t="s">
        <v>8</v>
      </c>
    </row>
    <row r="4846" spans="1:5" hidden="1" outlineLevel="2">
      <c r="A4846" s="3" t="e">
        <f>(HYPERLINK("http://www.autodoc.ru/Web/price/art/5328ASGSB?analog=on","5328ASGSB"))*1</f>
        <v>#VALUE!</v>
      </c>
      <c r="B4846" s="1">
        <v>6100118</v>
      </c>
      <c r="C4846" t="s">
        <v>19</v>
      </c>
      <c r="D4846" t="s">
        <v>5055</v>
      </c>
      <c r="E4846" t="s">
        <v>21</v>
      </c>
    </row>
    <row r="4847" spans="1:5" hidden="1" outlineLevel="2">
      <c r="A4847" s="3" t="e">
        <f>(HYPERLINK("http://www.autodoc.ru/Web/price/art/5328BCLS?analog=on","5328BCLS"))*1</f>
        <v>#VALUE!</v>
      </c>
      <c r="B4847" s="1">
        <v>6998764</v>
      </c>
      <c r="C4847" t="s">
        <v>5047</v>
      </c>
      <c r="D4847" t="s">
        <v>5056</v>
      </c>
      <c r="E4847" t="s">
        <v>23</v>
      </c>
    </row>
    <row r="4848" spans="1:5" hidden="1" outlineLevel="2">
      <c r="A4848" s="3" t="e">
        <f>(HYPERLINK("http://www.autodoc.ru/Web/price/art/5328BGNE?analog=on","5328BGNE"))*1</f>
        <v>#VALUE!</v>
      </c>
      <c r="B4848" s="1">
        <v>6995305</v>
      </c>
      <c r="C4848" t="s">
        <v>5047</v>
      </c>
      <c r="D4848" t="s">
        <v>5057</v>
      </c>
      <c r="E4848" t="s">
        <v>23</v>
      </c>
    </row>
    <row r="4849" spans="1:5" hidden="1" outlineLevel="2">
      <c r="A4849" s="3" t="e">
        <f>(HYPERLINK("http://www.autodoc.ru/Web/price/art/5328BGNS?analog=on","5328BGNS"))*1</f>
        <v>#VALUE!</v>
      </c>
      <c r="B4849" s="1">
        <v>6995304</v>
      </c>
      <c r="C4849" t="s">
        <v>5047</v>
      </c>
      <c r="D4849" t="s">
        <v>5058</v>
      </c>
      <c r="E4849" t="s">
        <v>23</v>
      </c>
    </row>
    <row r="4850" spans="1:5" hidden="1" outlineLevel="2">
      <c r="A4850" s="3" t="e">
        <f>(HYPERLINK("http://www.autodoc.ru/Web/price/art/5328LCLS4FD?analog=on","5328LCLS4FD"))*1</f>
        <v>#VALUE!</v>
      </c>
      <c r="B4850" s="1">
        <v>6996770</v>
      </c>
      <c r="C4850" t="s">
        <v>5047</v>
      </c>
      <c r="D4850" t="s">
        <v>5059</v>
      </c>
      <c r="E4850" t="s">
        <v>10</v>
      </c>
    </row>
    <row r="4851" spans="1:5" hidden="1" outlineLevel="2">
      <c r="A4851" s="3" t="e">
        <f>(HYPERLINK("http://www.autodoc.ru/Web/price/art/5328LCLS4RD?analog=on","5328LCLS4RD"))*1</f>
        <v>#VALUE!</v>
      </c>
      <c r="B4851" s="1">
        <v>6996771</v>
      </c>
      <c r="C4851" t="s">
        <v>5047</v>
      </c>
      <c r="D4851" t="s">
        <v>5060</v>
      </c>
      <c r="E4851" t="s">
        <v>10</v>
      </c>
    </row>
    <row r="4852" spans="1:5" hidden="1" outlineLevel="2">
      <c r="A4852" s="3" t="e">
        <f>(HYPERLINK("http://www.autodoc.ru/Web/price/art/5328LCLS4RV?analog=on","5328LCLS4RV"))*1</f>
        <v>#VALUE!</v>
      </c>
      <c r="B4852" s="1">
        <v>6996772</v>
      </c>
      <c r="C4852" t="s">
        <v>5047</v>
      </c>
      <c r="D4852" t="s">
        <v>5061</v>
      </c>
      <c r="E4852" t="s">
        <v>10</v>
      </c>
    </row>
    <row r="4853" spans="1:5" hidden="1" outlineLevel="2">
      <c r="A4853" s="3" t="e">
        <f>(HYPERLINK("http://www.autodoc.ru/Web/price/art/5328LGNE5RD?analog=on","5328LGNE5RD"))*1</f>
        <v>#VALUE!</v>
      </c>
      <c r="B4853" s="1">
        <v>6996776</v>
      </c>
      <c r="C4853" t="s">
        <v>5047</v>
      </c>
      <c r="D4853" t="s">
        <v>5062</v>
      </c>
      <c r="E4853" t="s">
        <v>10</v>
      </c>
    </row>
    <row r="4854" spans="1:5" hidden="1" outlineLevel="2">
      <c r="A4854" s="3" t="e">
        <f>(HYPERLINK("http://www.autodoc.ru/Web/price/art/5328LGNE5RQ?analog=on","5328LGNE5RQ"))*1</f>
        <v>#VALUE!</v>
      </c>
      <c r="B4854" s="1">
        <v>6995735</v>
      </c>
      <c r="C4854" t="s">
        <v>5047</v>
      </c>
      <c r="D4854" t="s">
        <v>5063</v>
      </c>
      <c r="E4854" t="s">
        <v>10</v>
      </c>
    </row>
    <row r="4855" spans="1:5" hidden="1" outlineLevel="2">
      <c r="A4855" s="3" t="e">
        <f>(HYPERLINK("http://www.autodoc.ru/Web/price/art/5328LGNE5RV?analog=on","5328LGNE5RV"))*1</f>
        <v>#VALUE!</v>
      </c>
      <c r="B4855" s="1">
        <v>6995299</v>
      </c>
      <c r="C4855" t="s">
        <v>5047</v>
      </c>
      <c r="D4855" t="s">
        <v>5063</v>
      </c>
      <c r="E4855" t="s">
        <v>10</v>
      </c>
    </row>
    <row r="4856" spans="1:5" hidden="1" outlineLevel="2">
      <c r="A4856" s="3" t="e">
        <f>(HYPERLINK("http://www.autodoc.ru/Web/price/art/5328LGNS4FD?analog=on","5328LGNS4FD"))*1</f>
        <v>#VALUE!</v>
      </c>
      <c r="B4856" s="1">
        <v>6995300</v>
      </c>
      <c r="C4856" t="s">
        <v>5047</v>
      </c>
      <c r="D4856" t="s">
        <v>5064</v>
      </c>
      <c r="E4856" t="s">
        <v>10</v>
      </c>
    </row>
    <row r="4857" spans="1:5" hidden="1" outlineLevel="2">
      <c r="A4857" s="3" t="e">
        <f>(HYPERLINK("http://www.autodoc.ru/Web/price/art/5328LGNS4RD?analog=on","5328LGNS4RD"))*1</f>
        <v>#VALUE!</v>
      </c>
      <c r="B4857" s="1">
        <v>6995302</v>
      </c>
      <c r="C4857" t="s">
        <v>5047</v>
      </c>
      <c r="D4857" t="s">
        <v>5065</v>
      </c>
      <c r="E4857" t="s">
        <v>10</v>
      </c>
    </row>
    <row r="4858" spans="1:5" hidden="1" outlineLevel="2">
      <c r="A4858" s="3" t="e">
        <f>(HYPERLINK("http://www.autodoc.ru/Web/price/art/5328LGNS4RV?analog=on","5328LGNS4RV"))*1</f>
        <v>#VALUE!</v>
      </c>
      <c r="B4858" s="1">
        <v>6999101</v>
      </c>
      <c r="C4858" t="s">
        <v>5047</v>
      </c>
      <c r="D4858" t="s">
        <v>5066</v>
      </c>
      <c r="E4858" t="s">
        <v>10</v>
      </c>
    </row>
    <row r="4859" spans="1:5" hidden="1" outlineLevel="2">
      <c r="A4859" s="3" t="e">
        <f>(HYPERLINK("http://www.autodoc.ru/Web/price/art/5328RCLS4FD?analog=on","5328RCLS4FD"))*1</f>
        <v>#VALUE!</v>
      </c>
      <c r="B4859" s="1">
        <v>6996773</v>
      </c>
      <c r="C4859" t="s">
        <v>5047</v>
      </c>
      <c r="D4859" t="s">
        <v>5067</v>
      </c>
      <c r="E4859" t="s">
        <v>10</v>
      </c>
    </row>
    <row r="4860" spans="1:5" hidden="1" outlineLevel="2">
      <c r="A4860" s="3" t="e">
        <f>(HYPERLINK("http://www.autodoc.ru/Web/price/art/5328RCLS4RD?analog=on","5328RCLS4RD"))*1</f>
        <v>#VALUE!</v>
      </c>
      <c r="B4860" s="1">
        <v>6996774</v>
      </c>
      <c r="C4860" t="s">
        <v>5047</v>
      </c>
      <c r="D4860" t="s">
        <v>5068</v>
      </c>
      <c r="E4860" t="s">
        <v>10</v>
      </c>
    </row>
    <row r="4861" spans="1:5" hidden="1" outlineLevel="2">
      <c r="A4861" s="3" t="e">
        <f>(HYPERLINK("http://www.autodoc.ru/Web/price/art/5328RCLS4RV?analog=on","5328RCLS4RV"))*1</f>
        <v>#VALUE!</v>
      </c>
      <c r="B4861" s="1">
        <v>6996775</v>
      </c>
      <c r="C4861" t="s">
        <v>5047</v>
      </c>
      <c r="D4861" t="s">
        <v>5069</v>
      </c>
      <c r="E4861" t="s">
        <v>10</v>
      </c>
    </row>
    <row r="4862" spans="1:5" hidden="1" outlineLevel="2">
      <c r="A4862" s="3" t="e">
        <f>(HYPERLINK("http://www.autodoc.ru/Web/price/art/5328RGNE5RD?analog=on","5328RGNE5RD"))*1</f>
        <v>#VALUE!</v>
      </c>
      <c r="B4862" s="1">
        <v>6996777</v>
      </c>
      <c r="C4862" t="s">
        <v>5047</v>
      </c>
      <c r="D4862" t="s">
        <v>5070</v>
      </c>
      <c r="E4862" t="s">
        <v>10</v>
      </c>
    </row>
    <row r="4863" spans="1:5" hidden="1" outlineLevel="2">
      <c r="A4863" s="3" t="e">
        <f>(HYPERLINK("http://www.autodoc.ru/Web/price/art/5328RGNE5RQ?analog=on","5328RGNE5RQ"))*1</f>
        <v>#VALUE!</v>
      </c>
      <c r="B4863" s="1">
        <v>6995736</v>
      </c>
      <c r="C4863" t="s">
        <v>5047</v>
      </c>
      <c r="D4863" t="s">
        <v>5071</v>
      </c>
      <c r="E4863" t="s">
        <v>10</v>
      </c>
    </row>
    <row r="4864" spans="1:5" hidden="1" outlineLevel="2">
      <c r="A4864" s="3" t="e">
        <f>(HYPERLINK("http://www.autodoc.ru/Web/price/art/5328RGNE5RV?analog=on","5328RGNE5RV"))*1</f>
        <v>#VALUE!</v>
      </c>
      <c r="B4864" s="1">
        <v>6995298</v>
      </c>
      <c r="C4864" t="s">
        <v>5047</v>
      </c>
      <c r="D4864" t="s">
        <v>5071</v>
      </c>
      <c r="E4864" t="s">
        <v>10</v>
      </c>
    </row>
    <row r="4865" spans="1:5" hidden="1" outlineLevel="2">
      <c r="A4865" s="3" t="e">
        <f>(HYPERLINK("http://www.autodoc.ru/Web/price/art/5328RGNS4FD?analog=on","5328RGNS4FD"))*1</f>
        <v>#VALUE!</v>
      </c>
      <c r="B4865" s="1">
        <v>6995301</v>
      </c>
      <c r="C4865" t="s">
        <v>5047</v>
      </c>
      <c r="D4865" t="s">
        <v>5072</v>
      </c>
      <c r="E4865" t="s">
        <v>10</v>
      </c>
    </row>
    <row r="4866" spans="1:5" hidden="1" outlineLevel="2">
      <c r="A4866" s="3" t="e">
        <f>(HYPERLINK("http://www.autodoc.ru/Web/price/art/5328RGNS4RD?analog=on","5328RGNS4RD"))*1</f>
        <v>#VALUE!</v>
      </c>
      <c r="B4866" s="1">
        <v>6995303</v>
      </c>
      <c r="C4866" t="s">
        <v>5047</v>
      </c>
      <c r="D4866" t="s">
        <v>5073</v>
      </c>
      <c r="E4866" t="s">
        <v>10</v>
      </c>
    </row>
    <row r="4867" spans="1:5" hidden="1" outlineLevel="2">
      <c r="A4867" s="3" t="e">
        <f>(HYPERLINK("http://www.autodoc.ru/Web/price/art/5328RGNS4RV?analog=on","5328RGNS4RV"))*1</f>
        <v>#VALUE!</v>
      </c>
      <c r="B4867" s="1">
        <v>6999100</v>
      </c>
      <c r="C4867" t="s">
        <v>5047</v>
      </c>
      <c r="D4867" t="s">
        <v>5074</v>
      </c>
      <c r="E4867" t="s">
        <v>10</v>
      </c>
    </row>
    <row r="4868" spans="1:5" hidden="1" outlineLevel="1">
      <c r="A4868" s="2">
        <v>0</v>
      </c>
      <c r="B4868" s="26" t="s">
        <v>5075</v>
      </c>
      <c r="C4868" s="27">
        <v>0</v>
      </c>
      <c r="D4868" s="27">
        <v>0</v>
      </c>
      <c r="E4868" s="27">
        <v>0</v>
      </c>
    </row>
    <row r="4869" spans="1:5" hidden="1" outlineLevel="2">
      <c r="A4869" s="3" t="e">
        <f>(HYPERLINK("http://www.autodoc.ru/Web/price/art/5323ACL?analog=on","5323ACL"))*1</f>
        <v>#VALUE!</v>
      </c>
      <c r="B4869" s="1">
        <v>6964372</v>
      </c>
      <c r="C4869" t="s">
        <v>5076</v>
      </c>
      <c r="D4869" t="s">
        <v>5077</v>
      </c>
      <c r="E4869" t="s">
        <v>8</v>
      </c>
    </row>
    <row r="4870" spans="1:5" hidden="1" outlineLevel="2">
      <c r="A4870" s="3" t="e">
        <f>(HYPERLINK("http://www.autodoc.ru/Web/price/art/5323AGN?analog=on","5323AGN"))*1</f>
        <v>#VALUE!</v>
      </c>
      <c r="B4870" s="1">
        <v>6969725</v>
      </c>
      <c r="C4870" t="s">
        <v>5076</v>
      </c>
      <c r="D4870" t="s">
        <v>5078</v>
      </c>
      <c r="E4870" t="s">
        <v>8</v>
      </c>
    </row>
    <row r="4871" spans="1:5" hidden="1" outlineLevel="2">
      <c r="A4871" s="3" t="e">
        <f>(HYPERLINK("http://www.autodoc.ru/Web/price/art/5323AGNGN?analog=on","5323AGNGN"))*1</f>
        <v>#VALUE!</v>
      </c>
      <c r="B4871" s="1">
        <v>6969724</v>
      </c>
      <c r="C4871" t="s">
        <v>5076</v>
      </c>
      <c r="D4871" t="s">
        <v>5079</v>
      </c>
      <c r="E4871" t="s">
        <v>8</v>
      </c>
    </row>
    <row r="4872" spans="1:5" hidden="1" outlineLevel="2">
      <c r="A4872" s="3" t="e">
        <f>(HYPERLINK("http://www.autodoc.ru/Web/price/art/5323LGNS4FD?analog=on","5323LGNS4FD"))*1</f>
        <v>#VALUE!</v>
      </c>
      <c r="B4872" s="1">
        <v>6190242</v>
      </c>
      <c r="C4872" t="s">
        <v>5076</v>
      </c>
      <c r="D4872" t="s">
        <v>5080</v>
      </c>
      <c r="E4872" t="s">
        <v>10</v>
      </c>
    </row>
    <row r="4873" spans="1:5" hidden="1" outlineLevel="2">
      <c r="A4873" s="3" t="e">
        <f>(HYPERLINK("http://www.autodoc.ru/Web/price/art/5323LGNS4RV?analog=on","5323LGNS4RV"))*1</f>
        <v>#VALUE!</v>
      </c>
      <c r="B4873" s="1">
        <v>6190245</v>
      </c>
      <c r="C4873" t="s">
        <v>5076</v>
      </c>
      <c r="D4873" t="s">
        <v>5081</v>
      </c>
      <c r="E4873" t="s">
        <v>10</v>
      </c>
    </row>
    <row r="4874" spans="1:5" hidden="1" outlineLevel="2">
      <c r="A4874" s="3" t="e">
        <f>(HYPERLINK("http://www.autodoc.ru/Web/price/art/5323RGNS4FD?analog=on","5323RGNS4FD"))*1</f>
        <v>#VALUE!</v>
      </c>
      <c r="B4874" s="1">
        <v>6190250</v>
      </c>
      <c r="C4874" t="s">
        <v>5076</v>
      </c>
      <c r="D4874" t="s">
        <v>5082</v>
      </c>
      <c r="E4874" t="s">
        <v>10</v>
      </c>
    </row>
    <row r="4875" spans="1:5" hidden="1" outlineLevel="2">
      <c r="A4875" s="3" t="e">
        <f>(HYPERLINK("http://www.autodoc.ru/Web/price/art/5323RGNS4RV?analog=on","5323RGNS4RV"))*1</f>
        <v>#VALUE!</v>
      </c>
      <c r="B4875" s="1">
        <v>6190253</v>
      </c>
      <c r="C4875" t="s">
        <v>5076</v>
      </c>
      <c r="D4875" t="s">
        <v>5083</v>
      </c>
      <c r="E4875" t="s">
        <v>10</v>
      </c>
    </row>
    <row r="4876" spans="1:5" hidden="1" outlineLevel="1">
      <c r="A4876" s="2">
        <v>0</v>
      </c>
      <c r="B4876" s="26" t="s">
        <v>5084</v>
      </c>
      <c r="C4876" s="27">
        <v>0</v>
      </c>
      <c r="D4876" s="27">
        <v>0</v>
      </c>
      <c r="E4876" s="27">
        <v>0</v>
      </c>
    </row>
    <row r="4877" spans="1:5" hidden="1" outlineLevel="2">
      <c r="A4877" s="3" t="e">
        <f>(HYPERLINK("http://www.autodoc.ru/Web/price/art/5322LGNS4FD?analog=on","5322LGNS4FD"))*1</f>
        <v>#VALUE!</v>
      </c>
      <c r="B4877" s="1">
        <v>6995731</v>
      </c>
      <c r="C4877" t="s">
        <v>5076</v>
      </c>
      <c r="D4877" t="s">
        <v>5080</v>
      </c>
      <c r="E4877" t="s">
        <v>10</v>
      </c>
    </row>
    <row r="4878" spans="1:5" hidden="1" outlineLevel="2">
      <c r="A4878" s="3" t="e">
        <f>(HYPERLINK("http://www.autodoc.ru/Web/price/art/5322LGNS4RV?analog=on","5322LGNS4RV"))*1</f>
        <v>#VALUE!</v>
      </c>
      <c r="B4878" s="1">
        <v>6995732</v>
      </c>
      <c r="C4878" t="s">
        <v>5076</v>
      </c>
      <c r="D4878" t="s">
        <v>5081</v>
      </c>
      <c r="E4878" t="s">
        <v>10</v>
      </c>
    </row>
    <row r="4879" spans="1:5" hidden="1" outlineLevel="2">
      <c r="A4879" s="3" t="e">
        <f>(HYPERLINK("http://www.autodoc.ru/Web/price/art/5322RGNS4FD?analog=on","5322RGNS4FD"))*1</f>
        <v>#VALUE!</v>
      </c>
      <c r="B4879" s="1">
        <v>6995733</v>
      </c>
      <c r="C4879" t="s">
        <v>5076</v>
      </c>
      <c r="D4879" t="s">
        <v>5082</v>
      </c>
      <c r="E4879" t="s">
        <v>10</v>
      </c>
    </row>
    <row r="4880" spans="1:5" hidden="1" outlineLevel="2">
      <c r="A4880" s="3" t="e">
        <f>(HYPERLINK("http://www.autodoc.ru/Web/price/art/5322RGNS4RV?analog=on","5322RGNS4RV"))*1</f>
        <v>#VALUE!</v>
      </c>
      <c r="B4880" s="1">
        <v>6995734</v>
      </c>
      <c r="C4880" t="s">
        <v>5076</v>
      </c>
      <c r="D4880" t="s">
        <v>5083</v>
      </c>
      <c r="E4880" t="s">
        <v>10</v>
      </c>
    </row>
    <row r="4881" spans="1:5" hidden="1" outlineLevel="1">
      <c r="A4881" s="2">
        <v>0</v>
      </c>
      <c r="B4881" s="26" t="s">
        <v>5085</v>
      </c>
      <c r="C4881" s="27">
        <v>0</v>
      </c>
      <c r="D4881" s="27">
        <v>0</v>
      </c>
      <c r="E4881" s="27">
        <v>0</v>
      </c>
    </row>
    <row r="4882" spans="1:5" hidden="1" outlineLevel="2">
      <c r="A4882" s="3" t="e">
        <f>(HYPERLINK("http://www.autodoc.ru/Web/price/art/5325AGNGN?analog=on","5325AGNGN"))*1</f>
        <v>#VALUE!</v>
      </c>
      <c r="B4882" s="1">
        <v>6963747</v>
      </c>
      <c r="C4882" t="s">
        <v>1842</v>
      </c>
      <c r="D4882" t="s">
        <v>5086</v>
      </c>
      <c r="E4882" t="s">
        <v>8</v>
      </c>
    </row>
    <row r="4883" spans="1:5" hidden="1" outlineLevel="1">
      <c r="A4883" s="2">
        <v>0</v>
      </c>
      <c r="B4883" s="26" t="s">
        <v>5087</v>
      </c>
      <c r="C4883" s="27">
        <v>0</v>
      </c>
      <c r="D4883" s="27">
        <v>0</v>
      </c>
      <c r="E4883" s="27">
        <v>0</v>
      </c>
    </row>
    <row r="4884" spans="1:5" hidden="1" outlineLevel="2">
      <c r="A4884" s="3" t="e">
        <f>(HYPERLINK("http://www.autodoc.ru/Web/price/art/5331AGNGN?analog=on","5331AGNGN"))*1</f>
        <v>#VALUE!</v>
      </c>
      <c r="B4884" s="1">
        <v>6963699</v>
      </c>
      <c r="C4884" t="s">
        <v>5088</v>
      </c>
      <c r="D4884" t="s">
        <v>5089</v>
      </c>
      <c r="E4884" t="s">
        <v>8</v>
      </c>
    </row>
    <row r="4885" spans="1:5" hidden="1" outlineLevel="2">
      <c r="A4885" s="3" t="e">
        <f>(HYPERLINK("http://www.autodoc.ru/Web/price/art/5331LGNT2FD?analog=on","5331LGNT2FD"))*1</f>
        <v>#VALUE!</v>
      </c>
      <c r="B4885" s="1">
        <v>6999395</v>
      </c>
      <c r="C4885" t="s">
        <v>5088</v>
      </c>
      <c r="D4885" t="s">
        <v>5090</v>
      </c>
      <c r="E4885" t="s">
        <v>10</v>
      </c>
    </row>
    <row r="4886" spans="1:5" hidden="1" outlineLevel="2">
      <c r="A4886" s="3" t="e">
        <f>(HYPERLINK("http://www.autodoc.ru/Web/price/art/5331RGNT2FD?analog=on","5331RGNT2FD"))*1</f>
        <v>#VALUE!</v>
      </c>
      <c r="B4886" s="1">
        <v>6999396</v>
      </c>
      <c r="C4886" t="s">
        <v>5088</v>
      </c>
      <c r="D4886" t="s">
        <v>5091</v>
      </c>
      <c r="E4886" t="s">
        <v>10</v>
      </c>
    </row>
    <row r="4887" spans="1:5" hidden="1" outlineLevel="1">
      <c r="A4887" s="2">
        <v>0</v>
      </c>
      <c r="B4887" s="26" t="s">
        <v>5092</v>
      </c>
      <c r="C4887" s="27">
        <v>0</v>
      </c>
      <c r="D4887" s="27">
        <v>0</v>
      </c>
      <c r="E4887" s="27">
        <v>0</v>
      </c>
    </row>
    <row r="4888" spans="1:5" hidden="1" outlineLevel="2">
      <c r="A4888" s="3" t="e">
        <f>(HYPERLINK("http://www.autodoc.ru/Web/price/art/5333AGNGN?analog=on","5333AGNGN"))*1</f>
        <v>#VALUE!</v>
      </c>
      <c r="B4888" s="1">
        <v>6969779</v>
      </c>
      <c r="C4888" t="s">
        <v>1215</v>
      </c>
      <c r="D4888" t="s">
        <v>5093</v>
      </c>
      <c r="E4888" t="s">
        <v>8</v>
      </c>
    </row>
    <row r="4889" spans="1:5" hidden="1" outlineLevel="2">
      <c r="A4889" s="3" t="e">
        <f>(HYPERLINK("http://www.autodoc.ru/Web/price/art/5333AGNGNV?analog=on","5333AGNGNV"))*1</f>
        <v>#VALUE!</v>
      </c>
      <c r="B4889" s="1">
        <v>6969780</v>
      </c>
      <c r="C4889" t="s">
        <v>1215</v>
      </c>
      <c r="D4889" t="s">
        <v>5094</v>
      </c>
      <c r="E4889" t="s">
        <v>8</v>
      </c>
    </row>
    <row r="4890" spans="1:5" hidden="1" outlineLevel="2">
      <c r="A4890" s="3" t="e">
        <f>(HYPERLINK("http://www.autodoc.ru/Web/price/art/5333AGNGYMV?analog=on","5333AGNGYMV"))*1</f>
        <v>#VALUE!</v>
      </c>
      <c r="B4890" s="1">
        <v>6969717</v>
      </c>
      <c r="C4890" t="s">
        <v>1215</v>
      </c>
      <c r="D4890" t="s">
        <v>5095</v>
      </c>
      <c r="E4890" t="s">
        <v>8</v>
      </c>
    </row>
    <row r="4891" spans="1:5" hidden="1" outlineLevel="2">
      <c r="A4891" s="3" t="e">
        <f>(HYPERLINK("http://www.autodoc.ru/Web/price/art/5333AGNGYV?analog=on","5333AGNGYV"))*1</f>
        <v>#VALUE!</v>
      </c>
      <c r="B4891" s="1">
        <v>6961988</v>
      </c>
      <c r="C4891" t="s">
        <v>1215</v>
      </c>
      <c r="D4891" t="s">
        <v>5096</v>
      </c>
      <c r="E4891" t="s">
        <v>8</v>
      </c>
    </row>
    <row r="4892" spans="1:5" hidden="1" outlineLevel="2">
      <c r="A4892" s="3" t="e">
        <f>(HYPERLINK("http://www.autodoc.ru/Web/price/art/5333BGNSAK?analog=on","5333BGNSAK"))*1</f>
        <v>#VALUE!</v>
      </c>
      <c r="B4892" s="1">
        <v>6998654</v>
      </c>
      <c r="C4892" t="s">
        <v>1215</v>
      </c>
      <c r="D4892" t="s">
        <v>5097</v>
      </c>
      <c r="E4892" t="s">
        <v>23</v>
      </c>
    </row>
    <row r="4893" spans="1:5" hidden="1" outlineLevel="2">
      <c r="A4893" s="3" t="e">
        <f>(HYPERLINK("http://www.autodoc.ru/Web/price/art/5333LGNS4FDD?analog=on","5333LGNS4FDD"))*1</f>
        <v>#VALUE!</v>
      </c>
      <c r="B4893" s="1">
        <v>6994447</v>
      </c>
      <c r="C4893" t="s">
        <v>1215</v>
      </c>
      <c r="D4893" t="s">
        <v>5098</v>
      </c>
      <c r="E4893" t="s">
        <v>10</v>
      </c>
    </row>
    <row r="4894" spans="1:5" hidden="1" outlineLevel="2">
      <c r="A4894" s="3" t="e">
        <f>(HYPERLINK("http://www.autodoc.ru/Web/price/art/5333LGNS4RDD?analog=on","5333LGNS4RDD"))*1</f>
        <v>#VALUE!</v>
      </c>
      <c r="B4894" s="1">
        <v>6994448</v>
      </c>
      <c r="C4894" t="s">
        <v>1215</v>
      </c>
      <c r="D4894" t="s">
        <v>5099</v>
      </c>
      <c r="E4894" t="s">
        <v>10</v>
      </c>
    </row>
    <row r="4895" spans="1:5" hidden="1" outlineLevel="2">
      <c r="A4895" s="3" t="e">
        <f>(HYPERLINK("http://www.autodoc.ru/Web/price/art/5333LGNS4RDD1J?analog=on","5333LGNS4RDD1J"))*1</f>
        <v>#VALUE!</v>
      </c>
      <c r="B4895" s="1">
        <v>6994449</v>
      </c>
      <c r="C4895" t="s">
        <v>1215</v>
      </c>
      <c r="D4895" t="s">
        <v>5099</v>
      </c>
      <c r="E4895" t="s">
        <v>10</v>
      </c>
    </row>
    <row r="4896" spans="1:5" hidden="1" outlineLevel="2">
      <c r="A4896" s="3" t="e">
        <f>(HYPERLINK("http://www.autodoc.ru/Web/price/art/5333LGNS4RVD?analog=on","5333LGNS4RVD"))*1</f>
        <v>#VALUE!</v>
      </c>
      <c r="B4896" s="1">
        <v>6994450</v>
      </c>
      <c r="C4896" t="s">
        <v>1215</v>
      </c>
      <c r="D4896" t="s">
        <v>5100</v>
      </c>
      <c r="E4896" t="s">
        <v>10</v>
      </c>
    </row>
    <row r="4897" spans="1:5" hidden="1" outlineLevel="2">
      <c r="A4897" s="3" t="e">
        <f>(HYPERLINK("http://www.autodoc.ru/Web/price/art/5333RGNS4RDD1J?analog=on","5333RGNS4RDD1J"))*1</f>
        <v>#VALUE!</v>
      </c>
      <c r="B4897" s="1">
        <v>6994453</v>
      </c>
      <c r="C4897" t="s">
        <v>1215</v>
      </c>
      <c r="D4897" t="s">
        <v>5101</v>
      </c>
      <c r="E4897" t="s">
        <v>10</v>
      </c>
    </row>
    <row r="4898" spans="1:5" hidden="1" outlineLevel="1">
      <c r="A4898" s="2">
        <v>0</v>
      </c>
      <c r="B4898" s="26" t="s">
        <v>5102</v>
      </c>
      <c r="C4898" s="27">
        <v>0</v>
      </c>
      <c r="D4898" s="27">
        <v>0</v>
      </c>
      <c r="E4898" s="27">
        <v>0</v>
      </c>
    </row>
    <row r="4899" spans="1:5" hidden="1" outlineLevel="2">
      <c r="A4899" s="3" t="e">
        <f>(HYPERLINK("http://www.autodoc.ru/Web/price/art/5332BGNSAK?analog=on","5332BGNSAK"))*1</f>
        <v>#VALUE!</v>
      </c>
      <c r="B4899" s="1">
        <v>6190267</v>
      </c>
      <c r="C4899" t="s">
        <v>1215</v>
      </c>
      <c r="D4899" t="s">
        <v>5103</v>
      </c>
      <c r="E4899" t="s">
        <v>23</v>
      </c>
    </row>
    <row r="4900" spans="1:5" hidden="1" outlineLevel="2">
      <c r="A4900" s="3" t="e">
        <f>(HYPERLINK("http://www.autodoc.ru/Web/price/art/5332LGNS4FDD?analog=on","5332LGNS4FDD"))*1</f>
        <v>#VALUE!</v>
      </c>
      <c r="B4900" s="1">
        <v>6190268</v>
      </c>
      <c r="C4900" t="s">
        <v>1215</v>
      </c>
      <c r="D4900" t="s">
        <v>5104</v>
      </c>
      <c r="E4900" t="s">
        <v>10</v>
      </c>
    </row>
    <row r="4901" spans="1:5" hidden="1" outlineLevel="2">
      <c r="A4901" s="3" t="e">
        <f>(HYPERLINK("http://www.autodoc.ru/Web/price/art/5332LGNS4RDD?analog=on","5332LGNS4RDD"))*1</f>
        <v>#VALUE!</v>
      </c>
      <c r="B4901" s="1">
        <v>6190269</v>
      </c>
      <c r="C4901" t="s">
        <v>1215</v>
      </c>
      <c r="D4901" t="s">
        <v>5105</v>
      </c>
      <c r="E4901" t="s">
        <v>10</v>
      </c>
    </row>
    <row r="4902" spans="1:5" hidden="1" outlineLevel="2">
      <c r="A4902" s="3" t="e">
        <f>(HYPERLINK("http://www.autodoc.ru/Web/price/art/5332LGNS4RDD1J?analog=on","5332LGNS4RDD1J"))*1</f>
        <v>#VALUE!</v>
      </c>
      <c r="B4902" s="1">
        <v>6190270</v>
      </c>
      <c r="C4902" t="s">
        <v>1215</v>
      </c>
      <c r="D4902" t="s">
        <v>5105</v>
      </c>
      <c r="E4902" t="s">
        <v>10</v>
      </c>
    </row>
    <row r="4903" spans="1:5" hidden="1" outlineLevel="2">
      <c r="A4903" s="3" t="e">
        <f>(HYPERLINK("http://www.autodoc.ru/Web/price/art/5332LGNS4RVD?analog=on","5332LGNS4RVD"))*1</f>
        <v>#VALUE!</v>
      </c>
      <c r="B4903" s="1">
        <v>6190271</v>
      </c>
      <c r="C4903" t="s">
        <v>1215</v>
      </c>
      <c r="D4903" t="s">
        <v>5106</v>
      </c>
      <c r="E4903" t="s">
        <v>10</v>
      </c>
    </row>
    <row r="4904" spans="1:5" hidden="1" outlineLevel="2">
      <c r="A4904" s="3" t="e">
        <f>(HYPERLINK("http://www.autodoc.ru/Web/price/art/5332RGNS4RDD1J?analog=on","5332RGNS4RDD1J"))*1</f>
        <v>#VALUE!</v>
      </c>
      <c r="B4904" s="1">
        <v>6190274</v>
      </c>
      <c r="C4904" t="s">
        <v>1215</v>
      </c>
      <c r="D4904" t="s">
        <v>5107</v>
      </c>
      <c r="E4904" t="s">
        <v>10</v>
      </c>
    </row>
    <row r="4905" spans="1:5" hidden="1" outlineLevel="1">
      <c r="A4905" s="2">
        <v>0</v>
      </c>
      <c r="B4905" s="26" t="s">
        <v>5108</v>
      </c>
      <c r="C4905" s="27">
        <v>0</v>
      </c>
      <c r="D4905" s="27">
        <v>0</v>
      </c>
      <c r="E4905" s="27">
        <v>0</v>
      </c>
    </row>
    <row r="4906" spans="1:5" hidden="1" outlineLevel="2">
      <c r="A4906" s="3" t="e">
        <f>(HYPERLINK("http://www.autodoc.ru/Web/price/art/5335AGNGN?analog=on","5335AGNGN"))*1</f>
        <v>#VALUE!</v>
      </c>
      <c r="B4906" s="1">
        <v>6964518</v>
      </c>
      <c r="C4906" t="s">
        <v>58</v>
      </c>
      <c r="D4906" t="s">
        <v>5109</v>
      </c>
      <c r="E4906" t="s">
        <v>8</v>
      </c>
    </row>
    <row r="4907" spans="1:5" hidden="1" outlineLevel="2">
      <c r="A4907" s="3" t="e">
        <f>(HYPERLINK("http://www.autodoc.ru/Web/price/art/5335AGNGY?analog=on","5335AGNGY"))*1</f>
        <v>#VALUE!</v>
      </c>
      <c r="B4907" s="1">
        <v>6962946</v>
      </c>
      <c r="C4907" t="s">
        <v>58</v>
      </c>
      <c r="D4907" t="s">
        <v>5110</v>
      </c>
      <c r="E4907" t="s">
        <v>8</v>
      </c>
    </row>
    <row r="4908" spans="1:5" hidden="1" outlineLevel="2">
      <c r="A4908" s="3" t="e">
        <f>(HYPERLINK("http://www.autodoc.ru/Web/price/art/5335AGNGYMV?analog=on","5335AGNGYMV"))*1</f>
        <v>#VALUE!</v>
      </c>
      <c r="B4908" s="1">
        <v>6962165</v>
      </c>
      <c r="C4908" t="s">
        <v>58</v>
      </c>
      <c r="D4908" t="s">
        <v>5111</v>
      </c>
      <c r="E4908" t="s">
        <v>8</v>
      </c>
    </row>
    <row r="4909" spans="1:5" hidden="1" outlineLevel="2">
      <c r="A4909" s="3" t="e">
        <f>(HYPERLINK("http://www.autodoc.ru/Web/price/art/5335AGNGYPV?analog=on","5335AGNGYPV"))*1</f>
        <v>#VALUE!</v>
      </c>
      <c r="B4909" s="1">
        <v>6962947</v>
      </c>
      <c r="C4909" t="s">
        <v>58</v>
      </c>
      <c r="D4909" t="s">
        <v>5112</v>
      </c>
      <c r="E4909" t="s">
        <v>8</v>
      </c>
    </row>
    <row r="4910" spans="1:5" hidden="1" outlineLevel="2">
      <c r="A4910" s="3" t="e">
        <f>(HYPERLINK("http://www.autodoc.ru/Web/price/art/5335BGNCAK?analog=on","5335BGNCAK"))*1</f>
        <v>#VALUE!</v>
      </c>
      <c r="B4910" s="1">
        <v>6962920</v>
      </c>
      <c r="C4910" t="s">
        <v>58</v>
      </c>
      <c r="D4910" t="s">
        <v>5113</v>
      </c>
      <c r="E4910" t="s">
        <v>23</v>
      </c>
    </row>
    <row r="4911" spans="1:5" hidden="1" outlineLevel="1">
      <c r="A4911" s="2">
        <v>0</v>
      </c>
      <c r="B4911" s="26" t="s">
        <v>5114</v>
      </c>
      <c r="C4911" s="27">
        <v>0</v>
      </c>
      <c r="D4911" s="27">
        <v>0</v>
      </c>
      <c r="E4911" s="27">
        <v>0</v>
      </c>
    </row>
    <row r="4912" spans="1:5" hidden="1" outlineLevel="2">
      <c r="A4912" s="3" t="e">
        <f>(HYPERLINK("http://www.autodoc.ru/Web/price/art/5356AGSMVW1H?analog=on","5356AGSMVW1H"))*1</f>
        <v>#VALUE!</v>
      </c>
      <c r="B4912" s="1">
        <v>6962096</v>
      </c>
      <c r="C4912" t="s">
        <v>425</v>
      </c>
      <c r="D4912" t="s">
        <v>5115</v>
      </c>
      <c r="E4912" t="s">
        <v>8</v>
      </c>
    </row>
    <row r="4913" spans="1:5" hidden="1" outlineLevel="2">
      <c r="A4913" s="3" t="e">
        <f>(HYPERLINK("http://www.autodoc.ru/Web/price/art/5356LGST2FD?analog=on","5356LGST2FD"))*1</f>
        <v>#VALUE!</v>
      </c>
      <c r="B4913" s="1">
        <v>6999983</v>
      </c>
      <c r="C4913" t="s">
        <v>425</v>
      </c>
      <c r="D4913" t="s">
        <v>5116</v>
      </c>
      <c r="E4913" t="s">
        <v>10</v>
      </c>
    </row>
    <row r="4914" spans="1:5" hidden="1" outlineLevel="2">
      <c r="A4914" s="3" t="e">
        <f>(HYPERLINK("http://www.autodoc.ru/Web/price/art/5356RGST2FD?analog=on","5356RGST2FD"))*1</f>
        <v>#VALUE!</v>
      </c>
      <c r="B4914" s="1">
        <v>6900070</v>
      </c>
      <c r="C4914" t="s">
        <v>425</v>
      </c>
      <c r="D4914" t="s">
        <v>5117</v>
      </c>
      <c r="E4914" t="s">
        <v>10</v>
      </c>
    </row>
    <row r="4915" spans="1:5" hidden="1" outlineLevel="1">
      <c r="A4915" s="2">
        <v>0</v>
      </c>
      <c r="B4915" s="26" t="s">
        <v>5118</v>
      </c>
      <c r="C4915" s="27">
        <v>0</v>
      </c>
      <c r="D4915" s="27">
        <v>0</v>
      </c>
      <c r="E4915" s="27">
        <v>0</v>
      </c>
    </row>
    <row r="4916" spans="1:5" hidden="1" outlineLevel="2">
      <c r="A4916" s="3" t="e">
        <f>(HYPERLINK("http://www.autodoc.ru/Web/price/art/5326ACL?analog=on","5326ACL"))*1</f>
        <v>#VALUE!</v>
      </c>
      <c r="B4916" s="1">
        <v>6969730</v>
      </c>
      <c r="C4916" t="s">
        <v>5119</v>
      </c>
      <c r="D4916" t="s">
        <v>5120</v>
      </c>
      <c r="E4916" t="s">
        <v>8</v>
      </c>
    </row>
    <row r="4917" spans="1:5" hidden="1" outlineLevel="2">
      <c r="A4917" s="3" t="e">
        <f>(HYPERLINK("http://www.autodoc.ru/Web/price/art/5326AGN?analog=on","5326AGN"))*1</f>
        <v>#VALUE!</v>
      </c>
      <c r="B4917" s="1">
        <v>6969731</v>
      </c>
      <c r="C4917" t="s">
        <v>5119</v>
      </c>
      <c r="D4917" t="s">
        <v>5121</v>
      </c>
      <c r="E4917" t="s">
        <v>8</v>
      </c>
    </row>
    <row r="4918" spans="1:5" hidden="1" outlineLevel="2">
      <c r="A4918" s="3" t="e">
        <f>(HYPERLINK("http://www.autodoc.ru/Web/price/art/5326AGNBL?analog=on","5326AGNBL"))*1</f>
        <v>#VALUE!</v>
      </c>
      <c r="B4918" s="1">
        <v>6969736</v>
      </c>
      <c r="C4918" t="s">
        <v>5119</v>
      </c>
      <c r="D4918" t="s">
        <v>5122</v>
      </c>
      <c r="E4918" t="s">
        <v>8</v>
      </c>
    </row>
    <row r="4919" spans="1:5" hidden="1" outlineLevel="2">
      <c r="A4919" s="3" t="e">
        <f>(HYPERLINK("http://www.autodoc.ru/Web/price/art/5326AGNGN?analog=on","5326AGNGN"))*1</f>
        <v>#VALUE!</v>
      </c>
      <c r="B4919" s="1">
        <v>6969732</v>
      </c>
      <c r="C4919" t="s">
        <v>5119</v>
      </c>
      <c r="D4919" t="s">
        <v>5123</v>
      </c>
      <c r="E4919" t="s">
        <v>8</v>
      </c>
    </row>
    <row r="4920" spans="1:5" hidden="1" outlineLevel="2">
      <c r="A4920" s="3" t="e">
        <f>(HYPERLINK("http://www.autodoc.ru/Web/price/art/5326BCLS?analog=on","5326BCLS"))*1</f>
        <v>#VALUE!</v>
      </c>
      <c r="B4920" s="1">
        <v>6998762</v>
      </c>
      <c r="C4920" t="s">
        <v>5119</v>
      </c>
      <c r="D4920" t="s">
        <v>5124</v>
      </c>
      <c r="E4920" t="s">
        <v>23</v>
      </c>
    </row>
    <row r="4921" spans="1:5" hidden="1" outlineLevel="2">
      <c r="A4921" s="3" t="e">
        <f>(HYPERLINK("http://www.autodoc.ru/Web/price/art/5326BGNS?analog=on","5326BGNS"))*1</f>
        <v>#VALUE!</v>
      </c>
      <c r="B4921" s="1">
        <v>6998763</v>
      </c>
      <c r="C4921" t="s">
        <v>5119</v>
      </c>
      <c r="D4921" t="s">
        <v>5125</v>
      </c>
      <c r="E4921" t="s">
        <v>23</v>
      </c>
    </row>
    <row r="4922" spans="1:5" hidden="1" outlineLevel="2">
      <c r="A4922" s="3" t="e">
        <f>(HYPERLINK("http://www.autodoc.ru/Web/price/art/5326LCLS4FD?analog=on","5326LCLS4FD"))*1</f>
        <v>#VALUE!</v>
      </c>
      <c r="B4922" s="1">
        <v>6996762</v>
      </c>
      <c r="C4922" t="s">
        <v>5119</v>
      </c>
      <c r="D4922" t="s">
        <v>5126</v>
      </c>
      <c r="E4922" t="s">
        <v>10</v>
      </c>
    </row>
    <row r="4923" spans="1:5" hidden="1" outlineLevel="2">
      <c r="A4923" s="3" t="e">
        <f>(HYPERLINK("http://www.autodoc.ru/Web/price/art/5326LCLS4RD?analog=on","5326LCLS4RD"))*1</f>
        <v>#VALUE!</v>
      </c>
      <c r="B4923" s="1">
        <v>6996763</v>
      </c>
      <c r="C4923" t="s">
        <v>5119</v>
      </c>
      <c r="D4923" t="s">
        <v>5127</v>
      </c>
      <c r="E4923" t="s">
        <v>10</v>
      </c>
    </row>
    <row r="4924" spans="1:5" hidden="1" outlineLevel="2">
      <c r="A4924" s="3" t="e">
        <f>(HYPERLINK("http://www.autodoc.ru/Web/price/art/5326LCLS4RV?analog=on","5326LCLS4RV"))*1</f>
        <v>#VALUE!</v>
      </c>
      <c r="B4924" s="1">
        <v>6996764</v>
      </c>
      <c r="C4924" t="s">
        <v>5119</v>
      </c>
      <c r="D4924" t="s">
        <v>5128</v>
      </c>
      <c r="E4924" t="s">
        <v>10</v>
      </c>
    </row>
    <row r="4925" spans="1:5" hidden="1" outlineLevel="2">
      <c r="A4925" s="3" t="e">
        <f>(HYPERLINK("http://www.autodoc.ru/Web/price/art/5326LGNS4FD?analog=on","5326LGNS4FD"))*1</f>
        <v>#VALUE!</v>
      </c>
      <c r="B4925" s="1">
        <v>6999032</v>
      </c>
      <c r="C4925" t="s">
        <v>5119</v>
      </c>
      <c r="D4925" t="s">
        <v>5129</v>
      </c>
      <c r="E4925" t="s">
        <v>10</v>
      </c>
    </row>
    <row r="4926" spans="1:5" hidden="1" outlineLevel="2">
      <c r="A4926" s="3" t="e">
        <f>(HYPERLINK("http://www.autodoc.ru/Web/price/art/5326LGNS4RD?analog=on","5326LGNS4RD"))*1</f>
        <v>#VALUE!</v>
      </c>
      <c r="B4926" s="1">
        <v>6996768</v>
      </c>
      <c r="C4926" t="s">
        <v>5119</v>
      </c>
      <c r="D4926" t="s">
        <v>5130</v>
      </c>
      <c r="E4926" t="s">
        <v>10</v>
      </c>
    </row>
    <row r="4927" spans="1:5" hidden="1" outlineLevel="2">
      <c r="A4927" s="3" t="e">
        <f>(HYPERLINK("http://www.autodoc.ru/Web/price/art/5326LGNS4RV?analog=on","5326LGNS4RV"))*1</f>
        <v>#VALUE!</v>
      </c>
      <c r="B4927" s="1">
        <v>6999099</v>
      </c>
      <c r="C4927" t="s">
        <v>5119</v>
      </c>
      <c r="D4927" t="s">
        <v>5131</v>
      </c>
      <c r="E4927" t="s">
        <v>10</v>
      </c>
    </row>
    <row r="4928" spans="1:5" hidden="1" outlineLevel="2">
      <c r="A4928" s="3" t="e">
        <f>(HYPERLINK("http://www.autodoc.ru/Web/price/art/5326RCLS4FD?analog=on","5326RCLS4FD"))*1</f>
        <v>#VALUE!</v>
      </c>
      <c r="B4928" s="1">
        <v>6996765</v>
      </c>
      <c r="C4928" t="s">
        <v>5119</v>
      </c>
      <c r="D4928" t="s">
        <v>5132</v>
      </c>
      <c r="E4928" t="s">
        <v>10</v>
      </c>
    </row>
    <row r="4929" spans="1:5" hidden="1" outlineLevel="2">
      <c r="A4929" s="3" t="e">
        <f>(HYPERLINK("http://www.autodoc.ru/Web/price/art/5326RCLS4RD?analog=on","5326RCLS4RD"))*1</f>
        <v>#VALUE!</v>
      </c>
      <c r="B4929" s="1">
        <v>6996766</v>
      </c>
      <c r="C4929" t="s">
        <v>5119</v>
      </c>
      <c r="D4929" t="s">
        <v>5133</v>
      </c>
      <c r="E4929" t="s">
        <v>10</v>
      </c>
    </row>
    <row r="4930" spans="1:5" hidden="1" outlineLevel="2">
      <c r="A4930" s="3" t="e">
        <f>(HYPERLINK("http://www.autodoc.ru/Web/price/art/5326RCLS4RV?analog=on","5326RCLS4RV"))*1</f>
        <v>#VALUE!</v>
      </c>
      <c r="B4930" s="1">
        <v>6996767</v>
      </c>
      <c r="C4930" t="s">
        <v>5119</v>
      </c>
      <c r="D4930" t="s">
        <v>5134</v>
      </c>
      <c r="E4930" t="s">
        <v>10</v>
      </c>
    </row>
    <row r="4931" spans="1:5" hidden="1" outlineLevel="2">
      <c r="A4931" s="3" t="e">
        <f>(HYPERLINK("http://www.autodoc.ru/Web/price/art/5326RGNS4FD?analog=on","5326RGNS4FD"))*1</f>
        <v>#VALUE!</v>
      </c>
      <c r="B4931" s="1">
        <v>6999031</v>
      </c>
      <c r="C4931" t="s">
        <v>5119</v>
      </c>
      <c r="D4931" t="s">
        <v>5135</v>
      </c>
      <c r="E4931" t="s">
        <v>10</v>
      </c>
    </row>
    <row r="4932" spans="1:5" hidden="1" outlineLevel="2">
      <c r="A4932" s="3" t="e">
        <f>(HYPERLINK("http://www.autodoc.ru/Web/price/art/5326RGNS4RD?analog=on","5326RGNS4RD"))*1</f>
        <v>#VALUE!</v>
      </c>
      <c r="B4932" s="1">
        <v>6996769</v>
      </c>
      <c r="C4932" t="s">
        <v>5119</v>
      </c>
      <c r="D4932" t="s">
        <v>5136</v>
      </c>
      <c r="E4932" t="s">
        <v>10</v>
      </c>
    </row>
    <row r="4933" spans="1:5" hidden="1" outlineLevel="2">
      <c r="A4933" s="3" t="e">
        <f>(HYPERLINK("http://www.autodoc.ru/Web/price/art/5326RGNS4RV?analog=on","5326RGNS4RV"))*1</f>
        <v>#VALUE!</v>
      </c>
      <c r="B4933" s="1">
        <v>6999098</v>
      </c>
      <c r="C4933" t="s">
        <v>5119</v>
      </c>
      <c r="D4933" t="s">
        <v>5137</v>
      </c>
      <c r="E4933" t="s">
        <v>10</v>
      </c>
    </row>
    <row r="4934" spans="1:5" hidden="1" outlineLevel="1">
      <c r="A4934" s="2">
        <v>0</v>
      </c>
      <c r="B4934" s="26" t="s">
        <v>5138</v>
      </c>
      <c r="C4934" s="27">
        <v>0</v>
      </c>
      <c r="D4934" s="27">
        <v>0</v>
      </c>
      <c r="E4934" s="27">
        <v>0</v>
      </c>
    </row>
    <row r="4935" spans="1:5" hidden="1" outlineLevel="2">
      <c r="A4935" s="3" t="e">
        <f>(HYPERLINK("http://www.autodoc.ru/Web/price/art/5329ACL?analog=on","5329ACL"))*1</f>
        <v>#VALUE!</v>
      </c>
      <c r="B4935" s="1">
        <v>6969733</v>
      </c>
      <c r="C4935" t="s">
        <v>5047</v>
      </c>
      <c r="D4935" t="s">
        <v>5139</v>
      </c>
      <c r="E4935" t="s">
        <v>8</v>
      </c>
    </row>
    <row r="4936" spans="1:5" hidden="1" outlineLevel="2">
      <c r="A4936" s="3" t="e">
        <f>(HYPERLINK("http://www.autodoc.ru/Web/price/art/5329AGN?analog=on","5329AGN"))*1</f>
        <v>#VALUE!</v>
      </c>
      <c r="B4936" s="1">
        <v>6969734</v>
      </c>
      <c r="C4936" t="s">
        <v>5047</v>
      </c>
      <c r="D4936" t="s">
        <v>5140</v>
      </c>
      <c r="E4936" t="s">
        <v>8</v>
      </c>
    </row>
    <row r="4937" spans="1:5" hidden="1" outlineLevel="2">
      <c r="A4937" s="3" t="e">
        <f>(HYPERLINK("http://www.autodoc.ru/Web/price/art/5329AGNBL?analog=on","5329AGNBL"))*1</f>
        <v>#VALUE!</v>
      </c>
      <c r="B4937" s="1">
        <v>6969937</v>
      </c>
      <c r="C4937" t="s">
        <v>5047</v>
      </c>
      <c r="D4937" t="s">
        <v>5141</v>
      </c>
      <c r="E4937" t="s">
        <v>8</v>
      </c>
    </row>
    <row r="4938" spans="1:5" hidden="1" outlineLevel="2">
      <c r="A4938" s="3" t="e">
        <f>(HYPERLINK("http://www.autodoc.ru/Web/price/art/5329AGNGN?analog=on","5329AGNGN"))*1</f>
        <v>#VALUE!</v>
      </c>
      <c r="B4938" s="1">
        <v>6969735</v>
      </c>
      <c r="C4938" t="s">
        <v>5047</v>
      </c>
      <c r="D4938" t="s">
        <v>5142</v>
      </c>
      <c r="E4938" t="s">
        <v>8</v>
      </c>
    </row>
    <row r="4939" spans="1:5" hidden="1" outlineLevel="2">
      <c r="A4939" s="3" t="e">
        <f>(HYPERLINK("http://www.autodoc.ru/Web/price/art/5329LCLS4FD?analog=on","5329LCLS4FD"))*1</f>
        <v>#VALUE!</v>
      </c>
      <c r="B4939" s="1">
        <v>6190255</v>
      </c>
      <c r="C4939" t="s">
        <v>5047</v>
      </c>
      <c r="D4939" t="s">
        <v>5143</v>
      </c>
      <c r="E4939" t="s">
        <v>10</v>
      </c>
    </row>
    <row r="4940" spans="1:5" hidden="1" outlineLevel="2">
      <c r="A4940" s="3" t="e">
        <f>(HYPERLINK("http://www.autodoc.ru/Web/price/art/5329LCLS4RD?analog=on","5329LCLS4RD"))*1</f>
        <v>#VALUE!</v>
      </c>
      <c r="B4940" s="1">
        <v>6190256</v>
      </c>
      <c r="C4940" t="s">
        <v>5047</v>
      </c>
      <c r="D4940" t="s">
        <v>5144</v>
      </c>
      <c r="E4940" t="s">
        <v>10</v>
      </c>
    </row>
    <row r="4941" spans="1:5" hidden="1" outlineLevel="2">
      <c r="A4941" s="3" t="e">
        <f>(HYPERLINK("http://www.autodoc.ru/Web/price/art/5329LCLS4RV?analog=on","5329LCLS4RV"))*1</f>
        <v>#VALUE!</v>
      </c>
      <c r="B4941" s="1">
        <v>6190257</v>
      </c>
      <c r="C4941" t="s">
        <v>5047</v>
      </c>
      <c r="D4941" t="s">
        <v>5145</v>
      </c>
      <c r="E4941" t="s">
        <v>10</v>
      </c>
    </row>
    <row r="4942" spans="1:5" hidden="1" outlineLevel="2">
      <c r="A4942" s="3" t="e">
        <f>(HYPERLINK("http://www.autodoc.ru/Web/price/art/5329LGNS4FD?analog=on","5329LGNS4FD"))*1</f>
        <v>#VALUE!</v>
      </c>
      <c r="B4942" s="1">
        <v>6190258</v>
      </c>
      <c r="C4942" t="s">
        <v>5047</v>
      </c>
      <c r="D4942" t="s">
        <v>5146</v>
      </c>
      <c r="E4942" t="s">
        <v>10</v>
      </c>
    </row>
    <row r="4943" spans="1:5" hidden="1" outlineLevel="2">
      <c r="A4943" s="3" t="e">
        <f>(HYPERLINK("http://www.autodoc.ru/Web/price/art/5329LGNS4RD?analog=on","5329LGNS4RD"))*1</f>
        <v>#VALUE!</v>
      </c>
      <c r="B4943" s="1">
        <v>6190259</v>
      </c>
      <c r="C4943" t="s">
        <v>5047</v>
      </c>
      <c r="D4943" t="s">
        <v>5147</v>
      </c>
      <c r="E4943" t="s">
        <v>10</v>
      </c>
    </row>
    <row r="4944" spans="1:5" hidden="1" outlineLevel="2">
      <c r="A4944" s="3" t="e">
        <f>(HYPERLINK("http://www.autodoc.ru/Web/price/art/5329LGNS4RV?analog=on","5329LGNS4RV"))*1</f>
        <v>#VALUE!</v>
      </c>
      <c r="B4944" s="1">
        <v>6190260</v>
      </c>
      <c r="C4944" t="s">
        <v>5047</v>
      </c>
      <c r="D4944" t="s">
        <v>5148</v>
      </c>
      <c r="E4944" t="s">
        <v>10</v>
      </c>
    </row>
    <row r="4945" spans="1:5" hidden="1" outlineLevel="2">
      <c r="A4945" s="3" t="e">
        <f>(HYPERLINK("http://www.autodoc.ru/Web/price/art/5329RCLS4FD?analog=on","5329RCLS4FD"))*1</f>
        <v>#VALUE!</v>
      </c>
      <c r="B4945" s="1">
        <v>6190261</v>
      </c>
      <c r="C4945" t="s">
        <v>5047</v>
      </c>
      <c r="D4945" t="s">
        <v>5149</v>
      </c>
      <c r="E4945" t="s">
        <v>10</v>
      </c>
    </row>
    <row r="4946" spans="1:5" hidden="1" outlineLevel="2">
      <c r="A4946" s="3" t="e">
        <f>(HYPERLINK("http://www.autodoc.ru/Web/price/art/5329RCLS4RD?analog=on","5329RCLS4RD"))*1</f>
        <v>#VALUE!</v>
      </c>
      <c r="B4946" s="1">
        <v>6190262</v>
      </c>
      <c r="C4946" t="s">
        <v>5047</v>
      </c>
      <c r="D4946" t="s">
        <v>5150</v>
      </c>
      <c r="E4946" t="s">
        <v>10</v>
      </c>
    </row>
    <row r="4947" spans="1:5" hidden="1" outlineLevel="2">
      <c r="A4947" s="3" t="e">
        <f>(HYPERLINK("http://www.autodoc.ru/Web/price/art/5329RCLS4RV?analog=on","5329RCLS4RV"))*1</f>
        <v>#VALUE!</v>
      </c>
      <c r="B4947" s="1">
        <v>6190263</v>
      </c>
      <c r="C4947" t="s">
        <v>5047</v>
      </c>
      <c r="D4947" t="s">
        <v>5151</v>
      </c>
      <c r="E4947" t="s">
        <v>10</v>
      </c>
    </row>
    <row r="4948" spans="1:5" hidden="1" outlineLevel="2">
      <c r="A4948" s="3" t="e">
        <f>(HYPERLINK("http://www.autodoc.ru/Web/price/art/5329RGNS4FD?analog=on","5329RGNS4FD"))*1</f>
        <v>#VALUE!</v>
      </c>
      <c r="B4948" s="1">
        <v>6190264</v>
      </c>
      <c r="C4948" t="s">
        <v>5047</v>
      </c>
      <c r="D4948" t="s">
        <v>5152</v>
      </c>
      <c r="E4948" t="s">
        <v>10</v>
      </c>
    </row>
    <row r="4949" spans="1:5" hidden="1" outlineLevel="2">
      <c r="A4949" s="3" t="e">
        <f>(HYPERLINK("http://www.autodoc.ru/Web/price/art/5329RGNS4RD?analog=on","5329RGNS4RD"))*1</f>
        <v>#VALUE!</v>
      </c>
      <c r="B4949" s="1">
        <v>6190265</v>
      </c>
      <c r="C4949" t="s">
        <v>5047</v>
      </c>
      <c r="D4949" t="s">
        <v>5153</v>
      </c>
      <c r="E4949" t="s">
        <v>10</v>
      </c>
    </row>
    <row r="4950" spans="1:5" hidden="1" outlineLevel="2">
      <c r="A4950" s="3" t="e">
        <f>(HYPERLINK("http://www.autodoc.ru/Web/price/art/5329RGNS4RV?analog=on","5329RGNS4RV"))*1</f>
        <v>#VALUE!</v>
      </c>
      <c r="B4950" s="1">
        <v>6190266</v>
      </c>
      <c r="C4950" t="s">
        <v>5047</v>
      </c>
      <c r="D4950" t="s">
        <v>5154</v>
      </c>
      <c r="E4950" t="s">
        <v>10</v>
      </c>
    </row>
    <row r="4951" spans="1:5" hidden="1" outlineLevel="1">
      <c r="A4951" s="2">
        <v>0</v>
      </c>
      <c r="B4951" s="26" t="s">
        <v>5155</v>
      </c>
      <c r="C4951" s="27">
        <v>0</v>
      </c>
      <c r="D4951" s="27">
        <v>0</v>
      </c>
      <c r="E4951" s="27">
        <v>0</v>
      </c>
    </row>
    <row r="4952" spans="1:5" hidden="1" outlineLevel="2">
      <c r="A4952" s="3" t="e">
        <f>(HYPERLINK("http://www.autodoc.ru/Web/price/art/5334ACL?analog=on","5334ACL"))*1</f>
        <v>#VALUE!</v>
      </c>
      <c r="B4952" s="1">
        <v>6963390</v>
      </c>
      <c r="C4952" t="s">
        <v>1785</v>
      </c>
      <c r="D4952" t="s">
        <v>5156</v>
      </c>
      <c r="E4952" t="s">
        <v>8</v>
      </c>
    </row>
    <row r="4953" spans="1:5" hidden="1" outlineLevel="2">
      <c r="A4953" s="3" t="e">
        <f>(HYPERLINK("http://www.autodoc.ru/Web/price/art/5334AGN?analog=on","5334AGN"))*1</f>
        <v>#VALUE!</v>
      </c>
      <c r="B4953" s="1">
        <v>6969756</v>
      </c>
      <c r="C4953" t="s">
        <v>1785</v>
      </c>
      <c r="D4953" t="s">
        <v>5157</v>
      </c>
      <c r="E4953" t="s">
        <v>8</v>
      </c>
    </row>
    <row r="4954" spans="1:5" hidden="1" outlineLevel="2">
      <c r="A4954" s="3" t="e">
        <f>(HYPERLINK("http://www.autodoc.ru/Web/price/art/5334AGNBL?analog=on","5334AGNBL"))*1</f>
        <v>#VALUE!</v>
      </c>
      <c r="B4954" s="1">
        <v>6969755</v>
      </c>
      <c r="C4954" t="s">
        <v>1785</v>
      </c>
      <c r="D4954" t="s">
        <v>5158</v>
      </c>
      <c r="E4954" t="s">
        <v>8</v>
      </c>
    </row>
    <row r="4955" spans="1:5" hidden="1" outlineLevel="2">
      <c r="A4955" s="3" t="e">
        <f>(HYPERLINK("http://www.autodoc.ru/Web/price/art/5334AGNGN?analog=on","5334AGNGN"))*1</f>
        <v>#VALUE!</v>
      </c>
      <c r="B4955" s="1">
        <v>6969757</v>
      </c>
      <c r="C4955" t="s">
        <v>1785</v>
      </c>
      <c r="D4955" t="s">
        <v>5159</v>
      </c>
      <c r="E4955" t="s">
        <v>8</v>
      </c>
    </row>
    <row r="4956" spans="1:5" hidden="1" outlineLevel="2">
      <c r="A4956" s="3" t="e">
        <f>(HYPERLINK("http://www.autodoc.ru/Web/price/art/5334AGNGNV?analog=on","5334AGNGNV"))*1</f>
        <v>#VALUE!</v>
      </c>
      <c r="B4956" s="1">
        <v>6969772</v>
      </c>
      <c r="C4956" t="s">
        <v>1785</v>
      </c>
      <c r="D4956" t="s">
        <v>5160</v>
      </c>
      <c r="E4956" t="s">
        <v>8</v>
      </c>
    </row>
    <row r="4957" spans="1:5" hidden="1" outlineLevel="2">
      <c r="A4957" s="3" t="e">
        <f>(HYPERLINK("http://www.autodoc.ru/Web/price/art/5334AGNGYMV?analog=on","5334AGNGYMV"))*1</f>
        <v>#VALUE!</v>
      </c>
      <c r="B4957" s="1">
        <v>6969714</v>
      </c>
      <c r="C4957" t="s">
        <v>1785</v>
      </c>
      <c r="D4957" t="s">
        <v>5161</v>
      </c>
      <c r="E4957" t="s">
        <v>8</v>
      </c>
    </row>
    <row r="4958" spans="1:5" hidden="1" outlineLevel="2">
      <c r="A4958" s="3" t="e">
        <f>(HYPERLINK("http://www.autodoc.ru/Web/price/art/5334AGNGYPV?analog=on","5334AGNGYPV"))*1</f>
        <v>#VALUE!</v>
      </c>
      <c r="B4958" s="1">
        <v>6962450</v>
      </c>
      <c r="C4958" t="s">
        <v>1785</v>
      </c>
      <c r="D4958" t="s">
        <v>5162</v>
      </c>
      <c r="E4958" t="s">
        <v>8</v>
      </c>
    </row>
    <row r="4959" spans="1:5" hidden="1" outlineLevel="2">
      <c r="A4959" s="3" t="e">
        <f>(HYPERLINK("http://www.autodoc.ru/Web/price/art/5334AGNGYV?analog=on","5334AGNGYV"))*1</f>
        <v>#VALUE!</v>
      </c>
      <c r="B4959" s="1">
        <v>6969773</v>
      </c>
      <c r="C4959" t="s">
        <v>1785</v>
      </c>
      <c r="D4959" t="s">
        <v>5163</v>
      </c>
      <c r="E4959" t="s">
        <v>8</v>
      </c>
    </row>
    <row r="4960" spans="1:5" hidden="1" outlineLevel="2">
      <c r="A4960" s="3" t="e">
        <f>(HYPERLINK("http://www.autodoc.ru/Web/price/art/5334ASMST?analog=on","5334ASMST"))*1</f>
        <v>#VALUE!</v>
      </c>
      <c r="B4960" s="1">
        <v>6101273</v>
      </c>
      <c r="C4960" t="s">
        <v>19</v>
      </c>
      <c r="D4960" t="s">
        <v>5164</v>
      </c>
      <c r="E4960" t="s">
        <v>21</v>
      </c>
    </row>
    <row r="4961" spans="1:5" hidden="1" outlineLevel="2">
      <c r="A4961" s="3" t="e">
        <f>(HYPERLINK("http://www.autodoc.ru/Web/price/art/5334ASMST1C?analog=on","5334ASMST1C"))*1</f>
        <v>#VALUE!</v>
      </c>
      <c r="B4961" s="1">
        <v>6102164</v>
      </c>
      <c r="C4961" t="s">
        <v>19</v>
      </c>
      <c r="D4961" t="s">
        <v>5165</v>
      </c>
      <c r="E4961" t="s">
        <v>21</v>
      </c>
    </row>
    <row r="4962" spans="1:5" hidden="1" outlineLevel="2">
      <c r="A4962" s="3" t="e">
        <f>(HYPERLINK("http://www.autodoc.ru/Web/price/art/5334BGNE?analog=on","5334BGNE"))*1</f>
        <v>#VALUE!</v>
      </c>
      <c r="B4962" s="1">
        <v>6998765</v>
      </c>
      <c r="C4962" t="s">
        <v>1785</v>
      </c>
      <c r="D4962" t="s">
        <v>5166</v>
      </c>
      <c r="E4962" t="s">
        <v>23</v>
      </c>
    </row>
    <row r="4963" spans="1:5" hidden="1" outlineLevel="2">
      <c r="A4963" s="3" t="e">
        <f>(HYPERLINK("http://www.autodoc.ru/Web/price/art/5334BGNEAX?analog=on","5334BGNEAX"))*1</f>
        <v>#VALUE!</v>
      </c>
      <c r="B4963" s="1">
        <v>6998766</v>
      </c>
      <c r="C4963" t="s">
        <v>1785</v>
      </c>
      <c r="D4963" t="s">
        <v>5167</v>
      </c>
      <c r="E4963" t="s">
        <v>23</v>
      </c>
    </row>
    <row r="4964" spans="1:5" hidden="1" outlineLevel="2">
      <c r="A4964" s="3" t="e">
        <f>(HYPERLINK("http://www.autodoc.ru/Web/price/art/5334BGNS?analog=on","5334BGNS"))*1</f>
        <v>#VALUE!</v>
      </c>
      <c r="B4964" s="1">
        <v>6998176</v>
      </c>
      <c r="C4964" t="s">
        <v>1785</v>
      </c>
      <c r="D4964" t="s">
        <v>5168</v>
      </c>
      <c r="E4964" t="s">
        <v>23</v>
      </c>
    </row>
    <row r="4965" spans="1:5" hidden="1" outlineLevel="2">
      <c r="A4965" s="3" t="e">
        <f>(HYPERLINK("http://www.autodoc.ru/Web/price/art/5334BGNSA?analog=on","5334BGNSA"))*1</f>
        <v>#VALUE!</v>
      </c>
      <c r="B4965" s="1">
        <v>6998177</v>
      </c>
      <c r="C4965" t="s">
        <v>1785</v>
      </c>
      <c r="D4965" t="s">
        <v>5169</v>
      </c>
      <c r="E4965" t="s">
        <v>23</v>
      </c>
    </row>
    <row r="4966" spans="1:5" hidden="1" outlineLevel="2">
      <c r="A4966" s="3" t="e">
        <f>(HYPERLINK("http://www.autodoc.ru/Web/price/art/5334LCLS4FD?analog=on","5334LCLS4FD"))*1</f>
        <v>#VALUE!</v>
      </c>
      <c r="B4966" s="1">
        <v>6995737</v>
      </c>
      <c r="C4966" t="s">
        <v>1785</v>
      </c>
      <c r="D4966" t="s">
        <v>5170</v>
      </c>
      <c r="E4966" t="s">
        <v>10</v>
      </c>
    </row>
    <row r="4967" spans="1:5" hidden="1" outlineLevel="2">
      <c r="A4967" s="3" t="e">
        <f>(HYPERLINK("http://www.autodoc.ru/Web/price/art/5334LCLS4RV?analog=on","5334LCLS4RV"))*1</f>
        <v>#VALUE!</v>
      </c>
      <c r="B4967" s="1">
        <v>6995406</v>
      </c>
      <c r="C4967" t="s">
        <v>1785</v>
      </c>
      <c r="D4967" t="s">
        <v>5171</v>
      </c>
      <c r="E4967" t="s">
        <v>10</v>
      </c>
    </row>
    <row r="4968" spans="1:5" hidden="1" outlineLevel="2">
      <c r="A4968" s="3" t="e">
        <f>(HYPERLINK("http://www.autodoc.ru/Web/price/art/5334LGNE5RD?analog=on","5334LGNE5RD"))*1</f>
        <v>#VALUE!</v>
      </c>
      <c r="B4968" s="1">
        <v>6994455</v>
      </c>
      <c r="C4968" t="s">
        <v>1785</v>
      </c>
      <c r="D4968" t="s">
        <v>5172</v>
      </c>
      <c r="E4968" t="s">
        <v>10</v>
      </c>
    </row>
    <row r="4969" spans="1:5" hidden="1" outlineLevel="2">
      <c r="A4969" s="3" t="e">
        <f>(HYPERLINK("http://www.autodoc.ru/Web/price/art/5334LGNE5RQA?analog=on","5334LGNE5RQA"))*1</f>
        <v>#VALUE!</v>
      </c>
      <c r="B4969" s="1">
        <v>6994456</v>
      </c>
      <c r="C4969" t="s">
        <v>1785</v>
      </c>
      <c r="D4969" t="s">
        <v>5173</v>
      </c>
      <c r="E4969" t="s">
        <v>10</v>
      </c>
    </row>
    <row r="4970" spans="1:5" hidden="1" outlineLevel="2">
      <c r="A4970" s="3" t="e">
        <f>(HYPERLINK("http://www.autodoc.ru/Web/price/art/5334LGNE5RV?analog=on","5334LGNE5RV"))*1</f>
        <v>#VALUE!</v>
      </c>
      <c r="B4970" s="1">
        <v>6994457</v>
      </c>
      <c r="C4970" t="s">
        <v>1785</v>
      </c>
      <c r="D4970" t="s">
        <v>5174</v>
      </c>
      <c r="E4970" t="s">
        <v>10</v>
      </c>
    </row>
    <row r="4971" spans="1:5" hidden="1" outlineLevel="2">
      <c r="A4971" s="3" t="e">
        <f>(HYPERLINK("http://www.autodoc.ru/Web/price/art/5334LGNS4FD?analog=on","5334LGNS4FD"))*1</f>
        <v>#VALUE!</v>
      </c>
      <c r="B4971" s="1">
        <v>6998179</v>
      </c>
      <c r="C4971" t="s">
        <v>1785</v>
      </c>
      <c r="D4971" t="s">
        <v>5175</v>
      </c>
      <c r="E4971" t="s">
        <v>10</v>
      </c>
    </row>
    <row r="4972" spans="1:5" hidden="1" outlineLevel="2">
      <c r="A4972" s="3" t="e">
        <f>(HYPERLINK("http://www.autodoc.ru/Web/price/art/5334LGNS4RD?analog=on","5334LGNS4RD"))*1</f>
        <v>#VALUE!</v>
      </c>
      <c r="B4972" s="1">
        <v>6995739</v>
      </c>
      <c r="C4972" t="s">
        <v>1785</v>
      </c>
      <c r="D4972" t="s">
        <v>5176</v>
      </c>
      <c r="E4972" t="s">
        <v>10</v>
      </c>
    </row>
    <row r="4973" spans="1:5" hidden="1" outlineLevel="2">
      <c r="A4973" s="3" t="e">
        <f>(HYPERLINK("http://www.autodoc.ru/Web/price/art/5334LGNS4RV?analog=on","5334LGNS4RV"))*1</f>
        <v>#VALUE!</v>
      </c>
      <c r="B4973" s="1">
        <v>6995740</v>
      </c>
      <c r="C4973" t="s">
        <v>1785</v>
      </c>
      <c r="D4973" t="s">
        <v>5177</v>
      </c>
      <c r="E4973" t="s">
        <v>10</v>
      </c>
    </row>
    <row r="4974" spans="1:5" hidden="1" outlineLevel="2">
      <c r="A4974" s="3" t="e">
        <f>(HYPERLINK("http://www.autodoc.ru/Web/price/art/5334RCLS4FD?analog=on","5334RCLS4FD"))*1</f>
        <v>#VALUE!</v>
      </c>
      <c r="B4974" s="1">
        <v>6995738</v>
      </c>
      <c r="C4974" t="s">
        <v>1785</v>
      </c>
      <c r="D4974" t="s">
        <v>5178</v>
      </c>
      <c r="E4974" t="s">
        <v>10</v>
      </c>
    </row>
    <row r="4975" spans="1:5" hidden="1" outlineLevel="2">
      <c r="A4975" s="3" t="e">
        <f>(HYPERLINK("http://www.autodoc.ru/Web/price/art/5334RCLS4RD?analog=on","5334RCLS4RD"))*1</f>
        <v>#VALUE!</v>
      </c>
      <c r="B4975" s="1">
        <v>6995407</v>
      </c>
      <c r="C4975" t="s">
        <v>1785</v>
      </c>
      <c r="D4975" t="s">
        <v>5179</v>
      </c>
      <c r="E4975" t="s">
        <v>10</v>
      </c>
    </row>
    <row r="4976" spans="1:5" hidden="1" outlineLevel="2">
      <c r="A4976" s="3" t="e">
        <f>(HYPERLINK("http://www.autodoc.ru/Web/price/art/5334RCLS4RV?analog=on","5334RCLS4RV"))*1</f>
        <v>#VALUE!</v>
      </c>
      <c r="B4976" s="1">
        <v>6995408</v>
      </c>
      <c r="C4976" t="s">
        <v>1785</v>
      </c>
      <c r="D4976" t="s">
        <v>5180</v>
      </c>
      <c r="E4976" t="s">
        <v>10</v>
      </c>
    </row>
    <row r="4977" spans="1:5" hidden="1" outlineLevel="2">
      <c r="A4977" s="3" t="e">
        <f>(HYPERLINK("http://www.autodoc.ru/Web/price/art/5334RGNE5RD?analog=on","5334RGNE5RD"))*1</f>
        <v>#VALUE!</v>
      </c>
      <c r="B4977" s="1">
        <v>6994458</v>
      </c>
      <c r="C4977" t="s">
        <v>1785</v>
      </c>
      <c r="D4977" t="s">
        <v>5181</v>
      </c>
      <c r="E4977" t="s">
        <v>10</v>
      </c>
    </row>
    <row r="4978" spans="1:5" hidden="1" outlineLevel="2">
      <c r="A4978" s="3" t="e">
        <f>(HYPERLINK("http://www.autodoc.ru/Web/price/art/5334RGNE5RV?analog=on","5334RGNE5RV"))*1</f>
        <v>#VALUE!</v>
      </c>
      <c r="B4978" s="1">
        <v>6994461</v>
      </c>
      <c r="C4978" t="s">
        <v>1785</v>
      </c>
      <c r="D4978" t="s">
        <v>5182</v>
      </c>
      <c r="E4978" t="s">
        <v>10</v>
      </c>
    </row>
    <row r="4979" spans="1:5" hidden="1" outlineLevel="2">
      <c r="A4979" s="3" t="e">
        <f>(HYPERLINK("http://www.autodoc.ru/Web/price/art/5334RGNS4FD?analog=on","5334RGNS4FD"))*1</f>
        <v>#VALUE!</v>
      </c>
      <c r="B4979" s="1">
        <v>6998178</v>
      </c>
      <c r="C4979" t="s">
        <v>1785</v>
      </c>
      <c r="D4979" t="s">
        <v>5183</v>
      </c>
      <c r="E4979" t="s">
        <v>10</v>
      </c>
    </row>
    <row r="4980" spans="1:5" hidden="1" outlineLevel="2">
      <c r="A4980" s="3" t="e">
        <f>(HYPERLINK("http://www.autodoc.ru/Web/price/art/5334RGNS4RD?analog=on","5334RGNS4RD"))*1</f>
        <v>#VALUE!</v>
      </c>
      <c r="B4980" s="1">
        <v>6995741</v>
      </c>
      <c r="C4980" t="s">
        <v>1785</v>
      </c>
      <c r="D4980" t="s">
        <v>5184</v>
      </c>
      <c r="E4980" t="s">
        <v>10</v>
      </c>
    </row>
    <row r="4981" spans="1:5" hidden="1" outlineLevel="2">
      <c r="A4981" s="3" t="e">
        <f>(HYPERLINK("http://www.autodoc.ru/Web/price/art/5334RGNS4RV?analog=on","5334RGNS4RV"))*1</f>
        <v>#VALUE!</v>
      </c>
      <c r="B4981" s="1">
        <v>6995742</v>
      </c>
      <c r="C4981" t="s">
        <v>1785</v>
      </c>
      <c r="D4981" t="s">
        <v>5185</v>
      </c>
      <c r="E4981" t="s">
        <v>10</v>
      </c>
    </row>
    <row r="4982" spans="1:5" hidden="1" outlineLevel="1">
      <c r="A4982" s="2">
        <v>0</v>
      </c>
      <c r="B4982" s="26" t="s">
        <v>5186</v>
      </c>
      <c r="C4982" s="27">
        <v>0</v>
      </c>
      <c r="D4982" s="27">
        <v>0</v>
      </c>
      <c r="E4982" s="27">
        <v>0</v>
      </c>
    </row>
    <row r="4983" spans="1:5" hidden="1" outlineLevel="2">
      <c r="A4983" s="3" t="e">
        <f>(HYPERLINK("http://www.autodoc.ru/Web/price/art/5351ABSGYMVW?analog=on","5351ABSGYMVW"))*1</f>
        <v>#VALUE!</v>
      </c>
      <c r="B4983" s="1">
        <v>6960939</v>
      </c>
      <c r="C4983" t="s">
        <v>216</v>
      </c>
      <c r="D4983" t="s">
        <v>5187</v>
      </c>
      <c r="E4983" t="s">
        <v>8</v>
      </c>
    </row>
    <row r="4984" spans="1:5" hidden="1" outlineLevel="2">
      <c r="A4984" s="3" t="e">
        <f>(HYPERLINK("http://www.autodoc.ru/Web/price/art/5351ABSGYMVW6T?analog=on","5351ABSGYMVW6T"))*1</f>
        <v>#VALUE!</v>
      </c>
      <c r="B4984" s="1">
        <v>6961141</v>
      </c>
      <c r="C4984" t="s">
        <v>896</v>
      </c>
      <c r="D4984" t="s">
        <v>5188</v>
      </c>
      <c r="E4984" t="s">
        <v>8</v>
      </c>
    </row>
    <row r="4985" spans="1:5" hidden="1" outlineLevel="2">
      <c r="A4985" s="3" t="e">
        <f>(HYPERLINK("http://www.autodoc.ru/Web/price/art/5351ABSGYMVW7T?analog=on","5351ABSGYMVW7T"))*1</f>
        <v>#VALUE!</v>
      </c>
      <c r="B4985" s="1">
        <v>6961066</v>
      </c>
      <c r="C4985" t="s">
        <v>896</v>
      </c>
      <c r="D4985" t="s">
        <v>5189</v>
      </c>
      <c r="E4985" t="s">
        <v>8</v>
      </c>
    </row>
    <row r="4986" spans="1:5" hidden="1" outlineLevel="2">
      <c r="A4986" s="3" t="e">
        <f>(HYPERLINK("http://www.autodoc.ru/Web/price/art/5351ABSGYPVW?analog=on","5351ABSGYPVW"))*1</f>
        <v>#VALUE!</v>
      </c>
      <c r="B4986" s="1">
        <v>6962403</v>
      </c>
      <c r="C4986" t="s">
        <v>896</v>
      </c>
      <c r="D4986" t="s">
        <v>5190</v>
      </c>
      <c r="E4986" t="s">
        <v>8</v>
      </c>
    </row>
    <row r="4987" spans="1:5" hidden="1" outlineLevel="2">
      <c r="A4987" s="3" t="e">
        <f>(HYPERLINK("http://www.autodoc.ru/Web/price/art/5351ABSGYPVW1T?analog=on","5351ABSGYPVW1T"))*1</f>
        <v>#VALUE!</v>
      </c>
      <c r="B4987" s="1">
        <v>6960936</v>
      </c>
      <c r="C4987" t="s">
        <v>216</v>
      </c>
      <c r="D4987" t="s">
        <v>5191</v>
      </c>
      <c r="E4987" t="s">
        <v>8</v>
      </c>
    </row>
    <row r="4988" spans="1:5" hidden="1" outlineLevel="2">
      <c r="A4988" s="3" t="e">
        <f>(HYPERLINK("http://www.autodoc.ru/Web/price/art/5351ABSMVW?analog=on","5351ABSMVW"))*1</f>
        <v>#VALUE!</v>
      </c>
      <c r="B4988" s="1">
        <v>6960938</v>
      </c>
      <c r="C4988" t="s">
        <v>216</v>
      </c>
      <c r="D4988" t="s">
        <v>5192</v>
      </c>
      <c r="E4988" t="s">
        <v>8</v>
      </c>
    </row>
    <row r="4989" spans="1:5" hidden="1" outlineLevel="2">
      <c r="A4989" s="3" t="e">
        <f>(HYPERLINK("http://www.autodoc.ru/Web/price/art/5351ABSMVW6T?analog=on","5351ABSMVW6T"))*1</f>
        <v>#VALUE!</v>
      </c>
      <c r="B4989" s="1">
        <v>6962401</v>
      </c>
      <c r="C4989" t="s">
        <v>896</v>
      </c>
      <c r="D4989" t="s">
        <v>5193</v>
      </c>
      <c r="E4989" t="s">
        <v>8</v>
      </c>
    </row>
    <row r="4990" spans="1:5" hidden="1" outlineLevel="2">
      <c r="A4990" s="3" t="e">
        <f>(HYPERLINK("http://www.autodoc.ru/Web/price/art/5351ABSMVW7T?analog=on","5351ABSMVW7T"))*1</f>
        <v>#VALUE!</v>
      </c>
      <c r="B4990" s="1">
        <v>6961137</v>
      </c>
      <c r="C4990" t="s">
        <v>896</v>
      </c>
      <c r="D4990" t="s">
        <v>5194</v>
      </c>
      <c r="E4990" t="s">
        <v>8</v>
      </c>
    </row>
    <row r="4991" spans="1:5" hidden="1" outlineLevel="2">
      <c r="A4991" s="3" t="e">
        <f>(HYPERLINK("http://www.autodoc.ru/Web/price/art/5351AGSGYMVW?analog=on","5351AGSGYMVW"))*1</f>
        <v>#VALUE!</v>
      </c>
      <c r="B4991" s="1">
        <v>6960940</v>
      </c>
      <c r="C4991" t="s">
        <v>216</v>
      </c>
      <c r="D4991" t="s">
        <v>5195</v>
      </c>
      <c r="E4991" t="s">
        <v>8</v>
      </c>
    </row>
    <row r="4992" spans="1:5" hidden="1" outlineLevel="2">
      <c r="A4992" s="3" t="e">
        <f>(HYPERLINK("http://www.autodoc.ru/Web/price/art/5351AGSGYMVW6T?analog=on","5351AGSGYMVW6T"))*1</f>
        <v>#VALUE!</v>
      </c>
      <c r="B4992" s="1">
        <v>6961138</v>
      </c>
      <c r="C4992" t="s">
        <v>896</v>
      </c>
      <c r="D4992" t="s">
        <v>5196</v>
      </c>
      <c r="E4992" t="s">
        <v>8</v>
      </c>
    </row>
    <row r="4993" spans="1:5" hidden="1" outlineLevel="2">
      <c r="A4993" s="3" t="e">
        <f>(HYPERLINK("http://www.autodoc.ru/Web/price/art/5351AGSGYMVW7T?analog=on","5351AGSGYMVW7T"))*1</f>
        <v>#VALUE!</v>
      </c>
      <c r="B4993" s="1">
        <v>6961067</v>
      </c>
      <c r="C4993" t="s">
        <v>896</v>
      </c>
      <c r="D4993" t="s">
        <v>5197</v>
      </c>
      <c r="E4993" t="s">
        <v>8</v>
      </c>
    </row>
    <row r="4994" spans="1:5" hidden="1" outlineLevel="2">
      <c r="A4994" s="3" t="e">
        <f>(HYPERLINK("http://www.autodoc.ru/Web/price/art/5351AGSGYPVW1T?analog=on","5351AGSGYPVW1T"))*1</f>
        <v>#VALUE!</v>
      </c>
      <c r="B4994" s="1">
        <v>6960937</v>
      </c>
      <c r="C4994" t="s">
        <v>216</v>
      </c>
      <c r="D4994" t="s">
        <v>5198</v>
      </c>
      <c r="E4994" t="s">
        <v>8</v>
      </c>
    </row>
    <row r="4995" spans="1:5" hidden="1" outlineLevel="2">
      <c r="A4995" s="3" t="e">
        <f>(HYPERLINK("http://www.autodoc.ru/Web/price/art/5351AGSMVW6T?analog=on","5351AGSMVW6T"))*1</f>
        <v>#VALUE!</v>
      </c>
      <c r="B4995" s="1">
        <v>6961558</v>
      </c>
      <c r="C4995" t="s">
        <v>896</v>
      </c>
      <c r="D4995" t="s">
        <v>5199</v>
      </c>
      <c r="E4995" t="s">
        <v>8</v>
      </c>
    </row>
    <row r="4996" spans="1:5" hidden="1" outlineLevel="2">
      <c r="A4996" s="3" t="e">
        <f>(HYPERLINK("http://www.autodoc.ru/Web/price/art/5351AGSMVW7T?analog=on","5351AGSMVW7T"))*1</f>
        <v>#VALUE!</v>
      </c>
      <c r="B4996" s="1">
        <v>6961717</v>
      </c>
      <c r="C4996" t="s">
        <v>896</v>
      </c>
      <c r="D4996" t="s">
        <v>5200</v>
      </c>
      <c r="E4996" t="s">
        <v>8</v>
      </c>
    </row>
    <row r="4997" spans="1:5" hidden="1" outlineLevel="2">
      <c r="A4997" s="3" t="e">
        <f>(HYPERLINK("http://www.autodoc.ru/Web/price/art/5351ASMST?analog=on","5351ASMST"))*1</f>
        <v>#VALUE!</v>
      </c>
      <c r="B4997" s="1">
        <v>6100292</v>
      </c>
      <c r="C4997" t="s">
        <v>19</v>
      </c>
      <c r="D4997" t="s">
        <v>5201</v>
      </c>
      <c r="E4997" t="s">
        <v>21</v>
      </c>
    </row>
    <row r="4998" spans="1:5" hidden="1" outlineLevel="2">
      <c r="A4998" s="3" t="e">
        <f>(HYPERLINK("http://www.autodoc.ru/Web/price/art/5351BBSSAGJPX?analog=on","5351BBSSAGJPX"))*1</f>
        <v>#VALUE!</v>
      </c>
      <c r="B4998" s="1">
        <v>6980314</v>
      </c>
      <c r="C4998" t="s">
        <v>216</v>
      </c>
      <c r="D4998" t="s">
        <v>5202</v>
      </c>
      <c r="E4998" t="s">
        <v>23</v>
      </c>
    </row>
    <row r="4999" spans="1:5" hidden="1" outlineLevel="2">
      <c r="A4999" s="3" t="e">
        <f>(HYPERLINK("http://www.autodoc.ru/Web/price/art/5351BGSEGJX?analog=on","5351BGSEGJX"))*1</f>
        <v>#VALUE!</v>
      </c>
      <c r="B4999" s="1">
        <v>6996094</v>
      </c>
      <c r="C4999" t="s">
        <v>261</v>
      </c>
      <c r="D4999" t="s">
        <v>5203</v>
      </c>
      <c r="E4999" t="s">
        <v>23</v>
      </c>
    </row>
    <row r="5000" spans="1:5" hidden="1" outlineLevel="2">
      <c r="A5000" s="3" t="e">
        <f>(HYPERLINK("http://www.autodoc.ru/Web/price/art/5351BGSSAGJPX?analog=on","5351BGSSAGJPX"))*1</f>
        <v>#VALUE!</v>
      </c>
      <c r="B5000" s="1">
        <v>6980315</v>
      </c>
      <c r="C5000" t="s">
        <v>216</v>
      </c>
      <c r="D5000" t="s">
        <v>5204</v>
      </c>
      <c r="E5000" t="s">
        <v>23</v>
      </c>
    </row>
    <row r="5001" spans="1:5" hidden="1" outlineLevel="2">
      <c r="A5001" s="3" t="e">
        <f>(HYPERLINK("http://www.autodoc.ru/Web/price/art/5351LBSE5RD1H?analog=on","5351LBSE5RD1H"))*1</f>
        <v>#VALUE!</v>
      </c>
      <c r="B5001" s="1">
        <v>6997014</v>
      </c>
      <c r="C5001" t="s">
        <v>896</v>
      </c>
      <c r="D5001" t="s">
        <v>5205</v>
      </c>
      <c r="E5001" t="s">
        <v>10</v>
      </c>
    </row>
    <row r="5002" spans="1:5" hidden="1" outlineLevel="2">
      <c r="A5002" s="3" t="e">
        <f>(HYPERLINK("http://www.autodoc.ru/Web/price/art/5351LBSS4FD?analog=on","5351LBSS4FD"))*1</f>
        <v>#VALUE!</v>
      </c>
      <c r="B5002" s="1">
        <v>6980518</v>
      </c>
      <c r="C5002" t="s">
        <v>216</v>
      </c>
      <c r="D5002" t="s">
        <v>5206</v>
      </c>
      <c r="E5002" t="s">
        <v>10</v>
      </c>
    </row>
    <row r="5003" spans="1:5" hidden="1" outlineLevel="2">
      <c r="A5003" s="3" t="e">
        <f>(HYPERLINK("http://www.autodoc.ru/Web/price/art/5351LBSS4RD?analog=on","5351LBSS4RD"))*1</f>
        <v>#VALUE!</v>
      </c>
      <c r="B5003" s="1">
        <v>6980519</v>
      </c>
      <c r="C5003" t="s">
        <v>216</v>
      </c>
      <c r="D5003" t="s">
        <v>5207</v>
      </c>
      <c r="E5003" t="s">
        <v>10</v>
      </c>
    </row>
    <row r="5004" spans="1:5" hidden="1" outlineLevel="2">
      <c r="A5004" s="3" t="e">
        <f>(HYPERLINK("http://www.autodoc.ru/Web/price/art/5351LBSS4RVZ?analog=on","5351LBSS4RVZ"))*1</f>
        <v>#VALUE!</v>
      </c>
      <c r="B5004" s="1">
        <v>6980520</v>
      </c>
      <c r="C5004" t="s">
        <v>216</v>
      </c>
      <c r="D5004" t="s">
        <v>5208</v>
      </c>
      <c r="E5004" t="s">
        <v>10</v>
      </c>
    </row>
    <row r="5005" spans="1:5" hidden="1" outlineLevel="2">
      <c r="A5005" s="3" t="e">
        <f>(HYPERLINK("http://www.autodoc.ru/Web/price/art/5351LGSE5RD?analog=on","5351LGSE5RD"))*1</f>
        <v>#VALUE!</v>
      </c>
      <c r="B5005" s="1">
        <v>6999483</v>
      </c>
      <c r="C5005" t="s">
        <v>641</v>
      </c>
      <c r="D5005" t="s">
        <v>5209</v>
      </c>
      <c r="E5005" t="s">
        <v>10</v>
      </c>
    </row>
    <row r="5006" spans="1:5" hidden="1" outlineLevel="2">
      <c r="A5006" s="3" t="e">
        <f>(HYPERLINK("http://www.autodoc.ru/Web/price/art/5351LGSE5RD1H?analog=on","5351LGSE5RD1H"))*1</f>
        <v>#VALUE!</v>
      </c>
      <c r="B5006" s="1">
        <v>6997015</v>
      </c>
      <c r="C5006" t="s">
        <v>896</v>
      </c>
      <c r="D5006" t="s">
        <v>5210</v>
      </c>
      <c r="E5006" t="s">
        <v>10</v>
      </c>
    </row>
    <row r="5007" spans="1:5" hidden="1" outlineLevel="2">
      <c r="A5007" s="3" t="e">
        <f>(HYPERLINK("http://www.autodoc.ru/Web/price/art/5351LGSS4FD?analog=on","5351LGSS4FD"))*1</f>
        <v>#VALUE!</v>
      </c>
      <c r="B5007" s="1">
        <v>6993125</v>
      </c>
      <c r="C5007" t="s">
        <v>216</v>
      </c>
      <c r="D5007" t="s">
        <v>5211</v>
      </c>
      <c r="E5007" t="s">
        <v>10</v>
      </c>
    </row>
    <row r="5008" spans="1:5" hidden="1" outlineLevel="2">
      <c r="A5008" s="3" t="e">
        <f>(HYPERLINK("http://www.autodoc.ru/Web/price/art/5351LGSS4FD1H?analog=on","5351LGSS4FD1H"))*1</f>
        <v>#VALUE!</v>
      </c>
      <c r="B5008" s="1">
        <v>6995990</v>
      </c>
      <c r="C5008" t="s">
        <v>896</v>
      </c>
      <c r="D5008" t="s">
        <v>5212</v>
      </c>
      <c r="E5008" t="s">
        <v>10</v>
      </c>
    </row>
    <row r="5009" spans="1:5" hidden="1" outlineLevel="2">
      <c r="A5009" s="3" t="e">
        <f>(HYPERLINK("http://www.autodoc.ru/Web/price/art/5351LGSS4RD?analog=on","5351LGSS4RD"))*1</f>
        <v>#VALUE!</v>
      </c>
      <c r="B5009" s="1">
        <v>6980100</v>
      </c>
      <c r="C5009" t="s">
        <v>5213</v>
      </c>
      <c r="D5009" t="s">
        <v>5214</v>
      </c>
      <c r="E5009" t="s">
        <v>10</v>
      </c>
    </row>
    <row r="5010" spans="1:5" hidden="1" outlineLevel="2">
      <c r="A5010" s="3" t="e">
        <f>(HYPERLINK("http://www.autodoc.ru/Web/price/art/5351LGSS4RD1H?analog=on","5351LGSS4RD1H"))*1</f>
        <v>#VALUE!</v>
      </c>
      <c r="B5010" s="1">
        <v>6997484</v>
      </c>
      <c r="C5010" t="s">
        <v>896</v>
      </c>
      <c r="D5010" t="s">
        <v>5215</v>
      </c>
      <c r="E5010" t="s">
        <v>10</v>
      </c>
    </row>
    <row r="5011" spans="1:5" hidden="1" outlineLevel="2">
      <c r="A5011" s="3" t="e">
        <f>(HYPERLINK("http://www.autodoc.ru/Web/price/art/5351RBSE5RD1H?analog=on","5351RBSE5RD1H"))*1</f>
        <v>#VALUE!</v>
      </c>
      <c r="B5011" s="1">
        <v>6997016</v>
      </c>
      <c r="C5011" t="s">
        <v>896</v>
      </c>
      <c r="D5011" t="s">
        <v>5216</v>
      </c>
      <c r="E5011" t="s">
        <v>10</v>
      </c>
    </row>
    <row r="5012" spans="1:5" hidden="1" outlineLevel="2">
      <c r="A5012" s="3" t="e">
        <f>(HYPERLINK("http://www.autodoc.ru/Web/price/art/5351RBSS4FD?analog=on","5351RBSS4FD"))*1</f>
        <v>#VALUE!</v>
      </c>
      <c r="B5012" s="1">
        <v>6980522</v>
      </c>
      <c r="C5012" t="s">
        <v>216</v>
      </c>
      <c r="D5012" t="s">
        <v>5217</v>
      </c>
      <c r="E5012" t="s">
        <v>10</v>
      </c>
    </row>
    <row r="5013" spans="1:5" hidden="1" outlineLevel="2">
      <c r="A5013" s="3" t="e">
        <f>(HYPERLINK("http://www.autodoc.ru/Web/price/art/5351RBSS4RD?analog=on","5351RBSS4RD"))*1</f>
        <v>#VALUE!</v>
      </c>
      <c r="B5013" s="1">
        <v>6980523</v>
      </c>
      <c r="C5013" t="s">
        <v>216</v>
      </c>
      <c r="D5013" t="s">
        <v>5218</v>
      </c>
      <c r="E5013" t="s">
        <v>10</v>
      </c>
    </row>
    <row r="5014" spans="1:5" hidden="1" outlineLevel="2">
      <c r="A5014" s="3" t="e">
        <f>(HYPERLINK("http://www.autodoc.ru/Web/price/art/5351RBSS4RVZ?analog=on","5351RBSS4RVZ"))*1</f>
        <v>#VALUE!</v>
      </c>
      <c r="B5014" s="1">
        <v>6980524</v>
      </c>
      <c r="C5014" t="s">
        <v>216</v>
      </c>
      <c r="D5014" t="s">
        <v>5219</v>
      </c>
      <c r="E5014" t="s">
        <v>10</v>
      </c>
    </row>
    <row r="5015" spans="1:5" hidden="1" outlineLevel="2">
      <c r="A5015" s="3" t="e">
        <f>(HYPERLINK("http://www.autodoc.ru/Web/price/art/5351RGSE5RD?analog=on","5351RGSE5RD"))*1</f>
        <v>#VALUE!</v>
      </c>
      <c r="B5015" s="1">
        <v>6993934</v>
      </c>
      <c r="C5015" t="s">
        <v>641</v>
      </c>
      <c r="D5015" t="s">
        <v>5220</v>
      </c>
      <c r="E5015" t="s">
        <v>10</v>
      </c>
    </row>
    <row r="5016" spans="1:5" hidden="1" outlineLevel="2">
      <c r="A5016" s="3" t="e">
        <f>(HYPERLINK("http://www.autodoc.ru/Web/price/art/5351RGSE5RD1H?analog=on","5351RGSE5RD1H"))*1</f>
        <v>#VALUE!</v>
      </c>
      <c r="B5016" s="1">
        <v>6993935</v>
      </c>
      <c r="C5016" t="s">
        <v>896</v>
      </c>
      <c r="D5016" t="s">
        <v>5221</v>
      </c>
      <c r="E5016" t="s">
        <v>10</v>
      </c>
    </row>
    <row r="5017" spans="1:5" hidden="1" outlineLevel="2">
      <c r="A5017" s="3" t="e">
        <f>(HYPERLINK("http://www.autodoc.ru/Web/price/art/5351RGSS4FD?analog=on","5351RGSS4FD"))*1</f>
        <v>#VALUE!</v>
      </c>
      <c r="B5017" s="1">
        <v>6993135</v>
      </c>
      <c r="C5017" t="s">
        <v>216</v>
      </c>
      <c r="D5017" t="s">
        <v>5222</v>
      </c>
      <c r="E5017" t="s">
        <v>10</v>
      </c>
    </row>
    <row r="5018" spans="1:5" hidden="1" outlineLevel="2">
      <c r="A5018" s="3" t="e">
        <f>(HYPERLINK("http://www.autodoc.ru/Web/price/art/5351RGSS4FD1H?analog=on","5351RGSS4FD1H"))*1</f>
        <v>#VALUE!</v>
      </c>
      <c r="B5018" s="1">
        <v>6993936</v>
      </c>
      <c r="C5018" t="s">
        <v>896</v>
      </c>
      <c r="D5018" t="s">
        <v>5223</v>
      </c>
      <c r="E5018" t="s">
        <v>10</v>
      </c>
    </row>
    <row r="5019" spans="1:5" hidden="1" outlineLevel="2">
      <c r="A5019" s="3" t="e">
        <f>(HYPERLINK("http://www.autodoc.ru/Web/price/art/5351RGSS4RD?analog=on","5351RGSS4RD"))*1</f>
        <v>#VALUE!</v>
      </c>
      <c r="B5019" s="1">
        <v>6993878</v>
      </c>
      <c r="C5019" t="s">
        <v>5213</v>
      </c>
      <c r="D5019" t="s">
        <v>5224</v>
      </c>
      <c r="E5019" t="s">
        <v>10</v>
      </c>
    </row>
    <row r="5020" spans="1:5" hidden="1" outlineLevel="2">
      <c r="A5020" s="3" t="e">
        <f>(HYPERLINK("http://www.autodoc.ru/Web/price/art/5351RGSS4RD1H?analog=on","5351RGSS4RD1H"))*1</f>
        <v>#VALUE!</v>
      </c>
      <c r="B5020" s="1">
        <v>6993937</v>
      </c>
      <c r="C5020" t="s">
        <v>896</v>
      </c>
      <c r="D5020" t="s">
        <v>5225</v>
      </c>
      <c r="E5020" t="s">
        <v>10</v>
      </c>
    </row>
    <row r="5021" spans="1:5" hidden="1" outlineLevel="2">
      <c r="A5021" s="3" t="e">
        <f>(HYPERLINK("http://www.autodoc.ru/Web/price/art/5351RGSS4RVZ?analog=on","5351RGSS4RVZ"))*1</f>
        <v>#VALUE!</v>
      </c>
      <c r="B5021" s="1">
        <v>6980525</v>
      </c>
      <c r="C5021" t="s">
        <v>216</v>
      </c>
      <c r="D5021" t="s">
        <v>5226</v>
      </c>
      <c r="E5021" t="s">
        <v>10</v>
      </c>
    </row>
    <row r="5022" spans="1:5" hidden="1" outlineLevel="1">
      <c r="A5022" s="2">
        <v>0</v>
      </c>
      <c r="B5022" s="26" t="s">
        <v>5227</v>
      </c>
      <c r="C5022" s="27">
        <v>0</v>
      </c>
      <c r="D5022" s="27">
        <v>0</v>
      </c>
      <c r="E5022" s="27">
        <v>0</v>
      </c>
    </row>
    <row r="5023" spans="1:5" hidden="1" outlineLevel="2">
      <c r="A5023" s="3" t="e">
        <f>(HYPERLINK("http://www.autodoc.ru/Web/price/art/5352AGSGYMVW?analog=on","5352AGSGYMVW"))*1</f>
        <v>#VALUE!</v>
      </c>
      <c r="B5023" s="1">
        <v>6950086</v>
      </c>
      <c r="C5023" t="s">
        <v>261</v>
      </c>
      <c r="D5023" t="s">
        <v>5228</v>
      </c>
      <c r="E5023" t="s">
        <v>8</v>
      </c>
    </row>
    <row r="5024" spans="1:5" hidden="1" outlineLevel="2">
      <c r="A5024" s="3" t="e">
        <f>(HYPERLINK("http://www.autodoc.ru/Web/price/art/5352AGSGYMVW6T?analog=on","5352AGSGYMVW6T"))*1</f>
        <v>#VALUE!</v>
      </c>
      <c r="B5024" s="1">
        <v>6961991</v>
      </c>
      <c r="C5024" t="s">
        <v>896</v>
      </c>
      <c r="D5024" t="s">
        <v>5229</v>
      </c>
      <c r="E5024" t="s">
        <v>8</v>
      </c>
    </row>
    <row r="5025" spans="1:5" hidden="1" outlineLevel="2">
      <c r="A5025" s="3" t="e">
        <f>(HYPERLINK("http://www.autodoc.ru/Web/price/art/5352AGSGYMVW7T?analog=on","5352AGSGYMVW7T"))*1</f>
        <v>#VALUE!</v>
      </c>
      <c r="B5025" s="1">
        <v>6961990</v>
      </c>
      <c r="C5025" t="s">
        <v>896</v>
      </c>
      <c r="D5025" t="s">
        <v>5229</v>
      </c>
      <c r="E5025" t="s">
        <v>8</v>
      </c>
    </row>
    <row r="5026" spans="1:5" hidden="1" outlineLevel="2">
      <c r="A5026" s="3" t="e">
        <f>(HYPERLINK("http://www.autodoc.ru/Web/price/art/5352ASMCT?analog=on","5352ASMCT"))*1</f>
        <v>#VALUE!</v>
      </c>
      <c r="B5026" s="1">
        <v>6101652</v>
      </c>
      <c r="C5026" t="s">
        <v>19</v>
      </c>
      <c r="D5026" t="s">
        <v>5230</v>
      </c>
      <c r="E5026" t="s">
        <v>21</v>
      </c>
    </row>
    <row r="5027" spans="1:5" hidden="1" outlineLevel="2">
      <c r="A5027" s="3" t="e">
        <f>(HYPERLINK("http://www.autodoc.ru/Web/price/art/5352BGSCAGPXW?analog=on","5352BGSCAGPXW"))*1</f>
        <v>#VALUE!</v>
      </c>
      <c r="B5027" s="1">
        <v>6980317</v>
      </c>
      <c r="C5027" t="s">
        <v>261</v>
      </c>
      <c r="D5027" t="s">
        <v>5231</v>
      </c>
      <c r="E5027" t="s">
        <v>23</v>
      </c>
    </row>
    <row r="5028" spans="1:5" hidden="1" outlineLevel="2">
      <c r="A5028" s="3" t="e">
        <f>(HYPERLINK("http://www.autodoc.ru/Web/price/art/5352LGSC2FD?analog=on","5352LGSC2FD"))*1</f>
        <v>#VALUE!</v>
      </c>
      <c r="B5028" s="1">
        <v>6980526</v>
      </c>
      <c r="C5028" t="s">
        <v>261</v>
      </c>
      <c r="D5028" t="s">
        <v>5232</v>
      </c>
      <c r="E5028" t="s">
        <v>10</v>
      </c>
    </row>
    <row r="5029" spans="1:5" hidden="1" outlineLevel="2">
      <c r="A5029" s="3" t="e">
        <f>(HYPERLINK("http://www.autodoc.ru/Web/price/art/5352RGSC2FD?analog=on","5352RGSC2FD"))*1</f>
        <v>#VALUE!</v>
      </c>
      <c r="B5029" s="1">
        <v>6980101</v>
      </c>
      <c r="C5029" t="s">
        <v>261</v>
      </c>
      <c r="D5029" t="s">
        <v>5233</v>
      </c>
      <c r="E5029" t="s">
        <v>10</v>
      </c>
    </row>
    <row r="5030" spans="1:5" hidden="1" outlineLevel="1">
      <c r="A5030" s="2">
        <v>0</v>
      </c>
      <c r="B5030" s="26" t="s">
        <v>5234</v>
      </c>
      <c r="C5030" s="27">
        <v>0</v>
      </c>
      <c r="D5030" s="27">
        <v>0</v>
      </c>
      <c r="E5030" s="27">
        <v>0</v>
      </c>
    </row>
    <row r="5031" spans="1:5" hidden="1" outlineLevel="2">
      <c r="A5031" s="3" t="e">
        <f>(HYPERLINK("http://www.autodoc.ru/Web/price/art/5364AGAMVZ1A?analog=on","5364AGAMVZ1A"))*1</f>
        <v>#VALUE!</v>
      </c>
      <c r="B5031" s="1">
        <v>6962871</v>
      </c>
      <c r="C5031" t="s">
        <v>3406</v>
      </c>
      <c r="D5031" t="s">
        <v>5235</v>
      </c>
      <c r="E5031" t="s">
        <v>8</v>
      </c>
    </row>
    <row r="5032" spans="1:5" hidden="1" outlineLevel="2">
      <c r="A5032" s="3" t="e">
        <f>(HYPERLINK("http://www.autodoc.ru/Web/price/art/5364AGSAMVZ1F?analog=on","5364AGSAMVZ1F"))*1</f>
        <v>#VALUE!</v>
      </c>
      <c r="B5032" s="1">
        <v>6962872</v>
      </c>
      <c r="C5032" t="s">
        <v>3406</v>
      </c>
      <c r="D5032" t="s">
        <v>5236</v>
      </c>
      <c r="E5032" t="s">
        <v>8</v>
      </c>
    </row>
    <row r="5033" spans="1:5" hidden="1" outlineLevel="2">
      <c r="A5033" s="3" t="e">
        <f>(HYPERLINK("http://www.autodoc.ru/Web/price/art/5364AGSAMVZ?analog=on","5364AGSAMVZ"))*1</f>
        <v>#VALUE!</v>
      </c>
      <c r="B5033" s="1">
        <v>6962630</v>
      </c>
      <c r="C5033" t="s">
        <v>3406</v>
      </c>
      <c r="D5033" t="s">
        <v>5237</v>
      </c>
      <c r="E5033" t="s">
        <v>8</v>
      </c>
    </row>
    <row r="5034" spans="1:5" hidden="1" outlineLevel="2">
      <c r="A5034" s="3" t="e">
        <f>(HYPERLINK("http://www.autodoc.ru/Web/price/art/5364AGSMVZ?analog=on","5364AGSMVZ"))*1</f>
        <v>#VALUE!</v>
      </c>
      <c r="B5034" s="1">
        <v>6962335</v>
      </c>
      <c r="C5034" t="s">
        <v>3406</v>
      </c>
      <c r="D5034" t="s">
        <v>5238</v>
      </c>
      <c r="E5034" t="s">
        <v>8</v>
      </c>
    </row>
    <row r="5035" spans="1:5" hidden="1" outlineLevel="2">
      <c r="A5035" s="3" t="e">
        <f>(HYPERLINK("http://www.autodoc.ru/Web/price/art/5364AGSMVZ1K?analog=on","5364AGSMVZ1K"))*1</f>
        <v>#VALUE!</v>
      </c>
      <c r="B5035" s="1">
        <v>6965486</v>
      </c>
      <c r="C5035" t="s">
        <v>3406</v>
      </c>
      <c r="D5035" t="s">
        <v>5239</v>
      </c>
      <c r="E5035" t="s">
        <v>8</v>
      </c>
    </row>
    <row r="5036" spans="1:5" hidden="1" outlineLevel="2">
      <c r="A5036" s="3" t="e">
        <f>(HYPERLINK("http://www.autodoc.ru/Web/price/art/5364ASMST?analog=on","5364ASMST"))*1</f>
        <v>#VALUE!</v>
      </c>
      <c r="B5036" s="1">
        <v>6102637</v>
      </c>
      <c r="C5036" t="s">
        <v>290</v>
      </c>
      <c r="D5036" t="s">
        <v>5240</v>
      </c>
      <c r="E5036" t="s">
        <v>21</v>
      </c>
    </row>
    <row r="5037" spans="1:5" hidden="1" outlineLevel="2">
      <c r="A5037" s="3" t="e">
        <f>(HYPERLINK("http://www.autodoc.ru/Web/price/art/5364BGSEA?analog=on","5364BGSEA"))*1</f>
        <v>#VALUE!</v>
      </c>
      <c r="B5037" s="1">
        <v>6993787</v>
      </c>
      <c r="C5037" t="s">
        <v>3406</v>
      </c>
      <c r="D5037" t="s">
        <v>5241</v>
      </c>
      <c r="E5037" t="s">
        <v>23</v>
      </c>
    </row>
    <row r="5038" spans="1:5" hidden="1" outlineLevel="2">
      <c r="A5038" s="3" t="e">
        <f>(HYPERLINK("http://www.autodoc.ru/Web/price/art/5364BGSEAJX1F?analog=on","5364BGSEAJX1F"))*1</f>
        <v>#VALUE!</v>
      </c>
      <c r="B5038" s="1">
        <v>6993951</v>
      </c>
      <c r="C5038" t="s">
        <v>3406</v>
      </c>
      <c r="D5038" t="s">
        <v>5242</v>
      </c>
      <c r="E5038" t="s">
        <v>23</v>
      </c>
    </row>
    <row r="5039" spans="1:5" hidden="1" outlineLevel="2">
      <c r="A5039" s="3" t="e">
        <f>(HYPERLINK("http://www.autodoc.ru/Web/price/art/5364BGSEAX?analog=on","5364BGSEAX"))*1</f>
        <v>#VALUE!</v>
      </c>
      <c r="B5039" s="1">
        <v>6993952</v>
      </c>
      <c r="C5039" t="s">
        <v>3406</v>
      </c>
      <c r="D5039" t="s">
        <v>5243</v>
      </c>
      <c r="E5039" t="s">
        <v>23</v>
      </c>
    </row>
    <row r="5040" spans="1:5" hidden="1" outlineLevel="2">
      <c r="A5040" s="3" t="e">
        <f>(HYPERLINK("http://www.autodoc.ru/Web/price/art/5364BYPEAJX1F?analog=on","5364BYPEAJX1F"))*1</f>
        <v>#VALUE!</v>
      </c>
      <c r="B5040" s="1">
        <v>6998549</v>
      </c>
      <c r="C5040" t="s">
        <v>3406</v>
      </c>
      <c r="D5040" t="s">
        <v>5244</v>
      </c>
      <c r="E5040" t="s">
        <v>23</v>
      </c>
    </row>
    <row r="5041" spans="1:5" hidden="1" outlineLevel="2">
      <c r="A5041" s="3" t="e">
        <f>(HYPERLINK("http://www.autodoc.ru/Web/price/art/5364BGSSAG?analog=on","5364BGSSAG"))*1</f>
        <v>#VALUE!</v>
      </c>
      <c r="B5041" s="1">
        <v>6901379</v>
      </c>
      <c r="C5041" t="s">
        <v>3406</v>
      </c>
      <c r="D5041" t="s">
        <v>5245</v>
      </c>
      <c r="E5041" t="s">
        <v>23</v>
      </c>
    </row>
    <row r="5042" spans="1:5" hidden="1" outlineLevel="2">
      <c r="A5042" s="3" t="e">
        <f>(HYPERLINK("http://www.autodoc.ru/Web/price/art/5364LGSE5RD?analog=on","5364LGSE5RD"))*1</f>
        <v>#VALUE!</v>
      </c>
      <c r="B5042" s="1">
        <v>6993781</v>
      </c>
      <c r="C5042" t="s">
        <v>3406</v>
      </c>
      <c r="D5042" t="s">
        <v>5246</v>
      </c>
      <c r="E5042" t="s">
        <v>10</v>
      </c>
    </row>
    <row r="5043" spans="1:5" hidden="1" outlineLevel="2">
      <c r="A5043" s="3" t="e">
        <f>(HYPERLINK("http://www.autodoc.ru/Web/price/art/OLD-5364LGSE5RV?analog=on","OLD-5364LGSE5RV"))*1</f>
        <v>#VALUE!</v>
      </c>
      <c r="B5043" s="1">
        <v>6993783</v>
      </c>
      <c r="C5043" t="s">
        <v>3406</v>
      </c>
      <c r="D5043" t="s">
        <v>5247</v>
      </c>
      <c r="E5043" t="s">
        <v>10</v>
      </c>
    </row>
    <row r="5044" spans="1:5" hidden="1" outlineLevel="2">
      <c r="A5044" s="3" t="e">
        <f>(HYPERLINK("http://www.autodoc.ru/Web/price/art/5364LGSS4FD?analog=on","5364LGSS4FD"))*1</f>
        <v>#VALUE!</v>
      </c>
      <c r="B5044" s="1">
        <v>6901381</v>
      </c>
      <c r="C5044" t="s">
        <v>3406</v>
      </c>
      <c r="D5044" t="s">
        <v>5248</v>
      </c>
      <c r="E5044" t="s">
        <v>10</v>
      </c>
    </row>
    <row r="5045" spans="1:5" hidden="1" outlineLevel="2">
      <c r="A5045" s="3" t="e">
        <f>(HYPERLINK("http://www.autodoc.ru/Web/price/art/OLD5364LGSS4RD?analog=on","OLD5364LGSS4RD"))*1</f>
        <v>#VALUE!</v>
      </c>
      <c r="B5045" s="1">
        <v>6995983</v>
      </c>
      <c r="C5045" t="s">
        <v>3406</v>
      </c>
      <c r="D5045" t="s">
        <v>5249</v>
      </c>
      <c r="E5045" t="s">
        <v>10</v>
      </c>
    </row>
    <row r="5046" spans="1:5" hidden="1" outlineLevel="2">
      <c r="A5046" s="3" t="e">
        <f>(HYPERLINK("http://www.autodoc.ru/Web/price/art/5364RGSE5RD?analog=on","5364RGSE5RD"))*1</f>
        <v>#VALUE!</v>
      </c>
      <c r="B5046" s="1">
        <v>6993782</v>
      </c>
      <c r="C5046" t="s">
        <v>3406</v>
      </c>
      <c r="D5046" t="s">
        <v>5250</v>
      </c>
      <c r="E5046" t="s">
        <v>10</v>
      </c>
    </row>
    <row r="5047" spans="1:5" hidden="1" outlineLevel="2">
      <c r="A5047" s="3" t="e">
        <f>(HYPERLINK("http://www.autodoc.ru/Web/price/art/OLD-5364RGSE5RV?analog=on","OLD-5364RGSE5RV"))*1</f>
        <v>#VALUE!</v>
      </c>
      <c r="B5047" s="1">
        <v>6993784</v>
      </c>
      <c r="C5047" t="s">
        <v>3406</v>
      </c>
      <c r="D5047" t="s">
        <v>5251</v>
      </c>
      <c r="E5047" t="s">
        <v>10</v>
      </c>
    </row>
    <row r="5048" spans="1:5" hidden="1" outlineLevel="2">
      <c r="A5048" s="3" t="e">
        <f>(HYPERLINK("http://www.autodoc.ru/Web/price/art/5364RGSS4FD?analog=on","5364RGSS4FD"))*1</f>
        <v>#VALUE!</v>
      </c>
      <c r="B5048" s="1">
        <v>6901380</v>
      </c>
      <c r="C5048" t="s">
        <v>3406</v>
      </c>
      <c r="D5048" t="s">
        <v>5252</v>
      </c>
      <c r="E5048" t="s">
        <v>10</v>
      </c>
    </row>
    <row r="5049" spans="1:5" hidden="1" outlineLevel="2">
      <c r="A5049" s="3" t="e">
        <f>(HYPERLINK("http://www.autodoc.ru/Web/price/art/5364RGSS4RD?analog=on","5364RGSS4RD"))*1</f>
        <v>#VALUE!</v>
      </c>
      <c r="B5049" s="1">
        <v>6995984</v>
      </c>
      <c r="C5049" t="s">
        <v>3406</v>
      </c>
      <c r="D5049" t="s">
        <v>5253</v>
      </c>
      <c r="E5049" t="s">
        <v>10</v>
      </c>
    </row>
    <row r="5050" spans="1:5" hidden="1" outlineLevel="1">
      <c r="A5050" s="2">
        <v>0</v>
      </c>
      <c r="B5050" s="26" t="s">
        <v>5254</v>
      </c>
      <c r="C5050" s="27">
        <v>0</v>
      </c>
      <c r="D5050" s="27">
        <v>0</v>
      </c>
      <c r="E5050" s="27">
        <v>0</v>
      </c>
    </row>
    <row r="5051" spans="1:5" hidden="1" outlineLevel="2">
      <c r="A5051" s="3" t="e">
        <f>(HYPERLINK("http://www.autodoc.ru/Web/price/art/5341ABSGYV?analog=on","5341ABSGYV"))*1</f>
        <v>#VALUE!</v>
      </c>
      <c r="B5051" s="1">
        <v>6960952</v>
      </c>
      <c r="C5051" t="s">
        <v>323</v>
      </c>
      <c r="D5051" t="s">
        <v>5255</v>
      </c>
      <c r="E5051" t="s">
        <v>8</v>
      </c>
    </row>
    <row r="5052" spans="1:5" hidden="1" outlineLevel="2">
      <c r="A5052" s="3" t="e">
        <f>(HYPERLINK("http://www.autodoc.ru/Web/price/art/5341ABSMV?analog=on","5341ABSMV"))*1</f>
        <v>#VALUE!</v>
      </c>
      <c r="B5052" s="1">
        <v>6962673</v>
      </c>
      <c r="C5052" t="s">
        <v>323</v>
      </c>
      <c r="D5052" t="s">
        <v>5256</v>
      </c>
      <c r="E5052" t="s">
        <v>8</v>
      </c>
    </row>
    <row r="5053" spans="1:5" hidden="1" outlineLevel="2">
      <c r="A5053" s="3" t="e">
        <f>(HYPERLINK("http://www.autodoc.ru/Web/price/art/5341AGNGYMV?analog=on","5341AGNGYMV"))*1</f>
        <v>#VALUE!</v>
      </c>
      <c r="B5053" s="1">
        <v>6963317</v>
      </c>
      <c r="C5053" t="s">
        <v>323</v>
      </c>
      <c r="D5053" t="s">
        <v>5257</v>
      </c>
      <c r="E5053" t="s">
        <v>8</v>
      </c>
    </row>
    <row r="5054" spans="1:5" hidden="1" outlineLevel="2">
      <c r="A5054" s="3" t="e">
        <f>(HYPERLINK("http://www.autodoc.ru/Web/price/art/5341AGNGYMV1P?analog=on","5341AGNGYMV1P"))*1</f>
        <v>#VALUE!</v>
      </c>
      <c r="B5054" s="1">
        <v>6965362</v>
      </c>
      <c r="C5054" t="s">
        <v>323</v>
      </c>
      <c r="D5054" t="s">
        <v>5258</v>
      </c>
      <c r="E5054" t="s">
        <v>8</v>
      </c>
    </row>
    <row r="5055" spans="1:5" hidden="1" outlineLevel="2">
      <c r="A5055" s="3" t="e">
        <f>(HYPERLINK("http://www.autodoc.ru/Web/price/art/5341AGNGYPV?analog=on","5341AGNGYPV"))*1</f>
        <v>#VALUE!</v>
      </c>
      <c r="B5055" s="1">
        <v>6950174</v>
      </c>
      <c r="C5055" t="s">
        <v>323</v>
      </c>
      <c r="D5055" t="s">
        <v>5259</v>
      </c>
      <c r="E5055" t="s">
        <v>8</v>
      </c>
    </row>
    <row r="5056" spans="1:5" hidden="1" outlineLevel="2">
      <c r="A5056" s="3" t="e">
        <f>(HYPERLINK("http://www.autodoc.ru/Web/price/art/5341AGNGYV?analog=on","5341AGNGYV"))*1</f>
        <v>#VALUE!</v>
      </c>
      <c r="B5056" s="1">
        <v>6963701</v>
      </c>
      <c r="C5056" t="s">
        <v>323</v>
      </c>
      <c r="D5056" t="s">
        <v>5260</v>
      </c>
      <c r="E5056" t="s">
        <v>8</v>
      </c>
    </row>
    <row r="5057" spans="1:5" hidden="1" outlineLevel="2">
      <c r="A5057" s="3" t="e">
        <f>(HYPERLINK("http://www.autodoc.ru/Web/price/art/5341AGNGYV1P?analog=on","5341AGNGYV1P"))*1</f>
        <v>#VALUE!</v>
      </c>
      <c r="B5057" s="1">
        <v>6965363</v>
      </c>
      <c r="C5057" t="s">
        <v>323</v>
      </c>
      <c r="D5057" t="s">
        <v>5261</v>
      </c>
      <c r="E5057" t="s">
        <v>8</v>
      </c>
    </row>
    <row r="5058" spans="1:5" hidden="1" outlineLevel="2">
      <c r="A5058" s="3" t="e">
        <f>(HYPERLINK("http://www.autodoc.ru/Web/price/art/5341AGNMV?analog=on","5341AGNMV"))*1</f>
        <v>#VALUE!</v>
      </c>
      <c r="B5058" s="1">
        <v>6965361</v>
      </c>
      <c r="C5058" t="s">
        <v>323</v>
      </c>
      <c r="D5058" t="s">
        <v>5262</v>
      </c>
      <c r="E5058" t="s">
        <v>8</v>
      </c>
    </row>
    <row r="5059" spans="1:5" hidden="1" outlineLevel="2">
      <c r="A5059" s="3" t="e">
        <f>(HYPERLINK("http://www.autodoc.ru/Web/price/art/5341AGNPV?analog=on","5341AGNPV"))*1</f>
        <v>#VALUE!</v>
      </c>
      <c r="B5059" s="1">
        <v>6962948</v>
      </c>
      <c r="C5059" t="s">
        <v>323</v>
      </c>
      <c r="D5059" t="s">
        <v>5263</v>
      </c>
      <c r="E5059" t="s">
        <v>8</v>
      </c>
    </row>
    <row r="5060" spans="1:5" hidden="1" outlineLevel="2">
      <c r="A5060" s="3" t="e">
        <f>(HYPERLINK("http://www.autodoc.ru/Web/price/art/5341AGNV?analog=on","5341AGNV"))*1</f>
        <v>#VALUE!</v>
      </c>
      <c r="B5060" s="1">
        <v>6963318</v>
      </c>
      <c r="C5060" t="s">
        <v>323</v>
      </c>
      <c r="D5060" t="s">
        <v>5264</v>
      </c>
      <c r="E5060" t="s">
        <v>8</v>
      </c>
    </row>
    <row r="5061" spans="1:5" hidden="1" outlineLevel="2">
      <c r="A5061" s="3" t="e">
        <f>(HYPERLINK("http://www.autodoc.ru/Web/price/art/5341BGNCAZ?analog=on","5341BGNCAZ"))*1</f>
        <v>#VALUE!</v>
      </c>
      <c r="B5061" s="1">
        <v>6998693</v>
      </c>
      <c r="C5061" t="s">
        <v>1710</v>
      </c>
      <c r="D5061" t="s">
        <v>5265</v>
      </c>
      <c r="E5061" t="s">
        <v>23</v>
      </c>
    </row>
    <row r="5062" spans="1:5" hidden="1" outlineLevel="2">
      <c r="A5062" s="3" t="e">
        <f>(HYPERLINK("http://www.autodoc.ru/Web/price/art/5341LGNC2FD?analog=on","5341LGNC2FD"))*1</f>
        <v>#VALUE!</v>
      </c>
      <c r="B5062" s="1">
        <v>6994474</v>
      </c>
      <c r="C5062" t="s">
        <v>1710</v>
      </c>
      <c r="D5062" t="s">
        <v>5266</v>
      </c>
      <c r="E5062" t="s">
        <v>10</v>
      </c>
    </row>
    <row r="5063" spans="1:5" hidden="1" outlineLevel="2">
      <c r="A5063" s="3" t="e">
        <f>(HYPERLINK("http://www.autodoc.ru/Web/price/art/5341LGNC2FD1B?analog=on","5341LGNC2FD1B"))*1</f>
        <v>#VALUE!</v>
      </c>
      <c r="B5063" s="1">
        <v>6999978</v>
      </c>
      <c r="C5063" t="s">
        <v>1710</v>
      </c>
      <c r="D5063" t="s">
        <v>5266</v>
      </c>
      <c r="E5063" t="s">
        <v>10</v>
      </c>
    </row>
    <row r="5064" spans="1:5" hidden="1" outlineLevel="2">
      <c r="A5064" s="3" t="e">
        <f>(HYPERLINK("http://www.autodoc.ru/Web/price/art/5341LGNC2RQ?analog=on","5341LGNC2RQ"))*1</f>
        <v>#VALUE!</v>
      </c>
      <c r="B5064" s="1">
        <v>6994475</v>
      </c>
      <c r="C5064" t="s">
        <v>1710</v>
      </c>
      <c r="D5064" t="s">
        <v>5267</v>
      </c>
      <c r="E5064" t="s">
        <v>10</v>
      </c>
    </row>
    <row r="5065" spans="1:5" hidden="1" outlineLevel="2">
      <c r="A5065" s="3" t="e">
        <f>(HYPERLINK("http://www.autodoc.ru/Web/price/art/5341RGNC2FD?analog=on","5341RGNC2FD"))*1</f>
        <v>#VALUE!</v>
      </c>
      <c r="B5065" s="1">
        <v>6994477</v>
      </c>
      <c r="C5065" t="s">
        <v>1710</v>
      </c>
      <c r="D5065" t="s">
        <v>5268</v>
      </c>
      <c r="E5065" t="s">
        <v>10</v>
      </c>
    </row>
    <row r="5066" spans="1:5" hidden="1" outlineLevel="2">
      <c r="A5066" s="3" t="e">
        <f>(HYPERLINK("http://www.autodoc.ru/Web/price/art/5341RGNC2FD1B?analog=on","5341RGNC2FD1B"))*1</f>
        <v>#VALUE!</v>
      </c>
      <c r="B5066" s="1">
        <v>6900066</v>
      </c>
      <c r="C5066" t="s">
        <v>1710</v>
      </c>
      <c r="D5066" t="s">
        <v>5268</v>
      </c>
      <c r="E5066" t="s">
        <v>10</v>
      </c>
    </row>
    <row r="5067" spans="1:5" hidden="1" outlineLevel="2">
      <c r="A5067" s="3" t="e">
        <f>(HYPERLINK("http://www.autodoc.ru/Web/price/art/5341RGNC2RQ?analog=on","5341RGNC2RQ"))*1</f>
        <v>#VALUE!</v>
      </c>
      <c r="B5067" s="1">
        <v>6994478</v>
      </c>
      <c r="C5067" t="s">
        <v>1710</v>
      </c>
      <c r="D5067" t="s">
        <v>5269</v>
      </c>
      <c r="E5067" t="s">
        <v>10</v>
      </c>
    </row>
    <row r="5068" spans="1:5" hidden="1" outlineLevel="2">
      <c r="A5068" s="3" t="e">
        <f>(HYPERLINK("http://www.autodoc.ru/Web/price/art/5341RGNT2FD?analog=on","5341RGNT2FD"))*1</f>
        <v>#VALUE!</v>
      </c>
      <c r="B5068" s="1">
        <v>6994479</v>
      </c>
      <c r="C5068" t="s">
        <v>1710</v>
      </c>
      <c r="D5068" t="s">
        <v>5270</v>
      </c>
      <c r="E5068" t="s">
        <v>10</v>
      </c>
    </row>
    <row r="5069" spans="1:5" hidden="1" outlineLevel="1">
      <c r="A5069" s="2">
        <v>0</v>
      </c>
      <c r="B5069" s="26" t="s">
        <v>5271</v>
      </c>
      <c r="C5069" s="27">
        <v>0</v>
      </c>
      <c r="D5069" s="27">
        <v>0</v>
      </c>
      <c r="E5069" s="27">
        <v>0</v>
      </c>
    </row>
    <row r="5070" spans="1:5" hidden="1" outlineLevel="2">
      <c r="A5070" s="3" t="e">
        <f>(HYPERLINK("http://www.autodoc.ru/Web/price/art/5353ABSGYMVW?analog=on","5353ABSGYMVW"))*1</f>
        <v>#VALUE!</v>
      </c>
      <c r="B5070" s="1">
        <v>6961191</v>
      </c>
      <c r="C5070" t="s">
        <v>1338</v>
      </c>
      <c r="D5070" t="s">
        <v>5272</v>
      </c>
      <c r="E5070" t="s">
        <v>8</v>
      </c>
    </row>
    <row r="5071" spans="1:5" hidden="1" outlineLevel="2">
      <c r="A5071" s="3" t="e">
        <f>(HYPERLINK("http://www.autodoc.ru/Web/price/art/5353ABSGYMW?analog=on","5353ABSGYMW"))*1</f>
        <v>#VALUE!</v>
      </c>
      <c r="B5071" s="1">
        <v>6961329</v>
      </c>
      <c r="C5071" t="s">
        <v>1338</v>
      </c>
      <c r="D5071" t="s">
        <v>5273</v>
      </c>
      <c r="E5071" t="s">
        <v>8</v>
      </c>
    </row>
    <row r="5072" spans="1:5" hidden="1" outlineLevel="2">
      <c r="A5072" s="3" t="e">
        <f>(HYPERLINK("http://www.autodoc.ru/Web/price/art/5353ABSMVW?analog=on","5353ABSMVW"))*1</f>
        <v>#VALUE!</v>
      </c>
      <c r="B5072" s="1">
        <v>6961192</v>
      </c>
      <c r="C5072" t="s">
        <v>1338</v>
      </c>
      <c r="D5072" t="s">
        <v>5274</v>
      </c>
      <c r="E5072" t="s">
        <v>8</v>
      </c>
    </row>
    <row r="5073" spans="1:5" hidden="1" outlineLevel="2">
      <c r="A5073" s="3" t="e">
        <f>(HYPERLINK("http://www.autodoc.ru/Web/price/art/5353ABSMW?analog=on","5353ABSMW"))*1</f>
        <v>#VALUE!</v>
      </c>
      <c r="B5073" s="1">
        <v>6961330</v>
      </c>
      <c r="C5073" t="s">
        <v>1338</v>
      </c>
      <c r="D5073" t="s">
        <v>5275</v>
      </c>
      <c r="E5073" t="s">
        <v>8</v>
      </c>
    </row>
    <row r="5074" spans="1:5" hidden="1" outlineLevel="2">
      <c r="A5074" s="3" t="e">
        <f>(HYPERLINK("http://www.autodoc.ru/Web/price/art/5353AGSGYMVW?analog=on","5353AGSGYMVW"))*1</f>
        <v>#VALUE!</v>
      </c>
      <c r="B5074" s="1">
        <v>6961333</v>
      </c>
      <c r="C5074" t="s">
        <v>1338</v>
      </c>
      <c r="D5074" t="s">
        <v>5276</v>
      </c>
      <c r="E5074" t="s">
        <v>8</v>
      </c>
    </row>
    <row r="5075" spans="1:5" hidden="1" outlineLevel="2">
      <c r="A5075" s="3" t="e">
        <f>(HYPERLINK("http://www.autodoc.ru/Web/price/art/5353AGSMW?analog=on","5353AGSMW"))*1</f>
        <v>#VALUE!</v>
      </c>
      <c r="B5075" s="1">
        <v>6962632</v>
      </c>
      <c r="C5075" t="s">
        <v>1338</v>
      </c>
      <c r="D5075" t="s">
        <v>5277</v>
      </c>
      <c r="E5075" t="s">
        <v>8</v>
      </c>
    </row>
    <row r="5076" spans="1:5" hidden="1" outlineLevel="2">
      <c r="A5076" s="3" t="e">
        <f>(HYPERLINK("http://www.autodoc.ru/Web/price/art/5353BGSCAGQZ?analog=on","5353BGSCAGQZ"))*1</f>
        <v>#VALUE!</v>
      </c>
      <c r="B5076" s="1">
        <v>6999904</v>
      </c>
      <c r="C5076" t="s">
        <v>1338</v>
      </c>
      <c r="D5076" t="s">
        <v>5278</v>
      </c>
      <c r="E5076" t="s">
        <v>23</v>
      </c>
    </row>
    <row r="5077" spans="1:5" hidden="1" outlineLevel="2">
      <c r="A5077" s="3" t="e">
        <f>(HYPERLINK("http://www.autodoc.ru/Web/price/art/5353LBSC2FD?analog=on","5353LBSC2FD"))*1</f>
        <v>#VALUE!</v>
      </c>
      <c r="B5077" s="1">
        <v>6999981</v>
      </c>
      <c r="C5077" t="s">
        <v>1338</v>
      </c>
      <c r="D5077" t="s">
        <v>5279</v>
      </c>
      <c r="E5077" t="s">
        <v>10</v>
      </c>
    </row>
    <row r="5078" spans="1:5" hidden="1" outlineLevel="2">
      <c r="A5078" s="3" t="e">
        <f>(HYPERLINK("http://www.autodoc.ru/Web/price/art/5353LGSC2FD?analog=on","5353LGSC2FD"))*1</f>
        <v>#VALUE!</v>
      </c>
      <c r="B5078" s="1">
        <v>6999982</v>
      </c>
      <c r="C5078" t="s">
        <v>1338</v>
      </c>
      <c r="D5078" t="s">
        <v>5280</v>
      </c>
      <c r="E5078" t="s">
        <v>10</v>
      </c>
    </row>
    <row r="5079" spans="1:5" hidden="1" outlineLevel="2">
      <c r="A5079" s="3" t="e">
        <f>(HYPERLINK("http://www.autodoc.ru/Web/price/art/5353RBSC2FD?analog=on","5353RBSC2FD"))*1</f>
        <v>#VALUE!</v>
      </c>
      <c r="B5079" s="1">
        <v>6900069</v>
      </c>
      <c r="C5079" t="s">
        <v>1338</v>
      </c>
      <c r="D5079" t="s">
        <v>5281</v>
      </c>
      <c r="E5079" t="s">
        <v>10</v>
      </c>
    </row>
    <row r="5080" spans="1:5" hidden="1" outlineLevel="2">
      <c r="A5080" s="3" t="e">
        <f>(HYPERLINK("http://www.autodoc.ru/Web/price/art/5353RGSC2FD?analog=on","5353RGSC2FD"))*1</f>
        <v>#VALUE!</v>
      </c>
      <c r="B5080" s="1">
        <v>6993883</v>
      </c>
      <c r="C5080" t="s">
        <v>1338</v>
      </c>
      <c r="D5080" t="s">
        <v>5282</v>
      </c>
      <c r="E5080" t="s">
        <v>10</v>
      </c>
    </row>
    <row r="5081" spans="1:5" hidden="1" outlineLevel="1">
      <c r="A5081" s="2">
        <v>0</v>
      </c>
      <c r="B5081" s="26" t="s">
        <v>5283</v>
      </c>
      <c r="C5081" s="27">
        <v>0</v>
      </c>
      <c r="D5081" s="27">
        <v>0</v>
      </c>
      <c r="E5081" s="27">
        <v>0</v>
      </c>
    </row>
    <row r="5082" spans="1:5" hidden="1" outlineLevel="2">
      <c r="A5082" s="3" t="e">
        <f>(HYPERLINK("http://www.autodoc.ru/Web/price/art/5337ABSGYV?analog=on","5337ABSGYV"))*1</f>
        <v>#VALUE!</v>
      </c>
      <c r="B5082" s="1">
        <v>6969778</v>
      </c>
      <c r="C5082" t="s">
        <v>1770</v>
      </c>
      <c r="D5082" t="s">
        <v>5284</v>
      </c>
      <c r="E5082" t="s">
        <v>8</v>
      </c>
    </row>
    <row r="5083" spans="1:5" hidden="1" outlineLevel="2">
      <c r="A5083" s="3" t="e">
        <f>(HYPERLINK("http://www.autodoc.ru/Web/price/art/5337ABSMV?analog=on","5337ABSMV"))*1</f>
        <v>#VALUE!</v>
      </c>
      <c r="B5083" s="1">
        <v>6969716</v>
      </c>
      <c r="C5083" t="s">
        <v>1770</v>
      </c>
      <c r="D5083" t="s">
        <v>5285</v>
      </c>
      <c r="E5083" t="s">
        <v>8</v>
      </c>
    </row>
    <row r="5084" spans="1:5" hidden="1" outlineLevel="2">
      <c r="A5084" s="3" t="e">
        <f>(HYPERLINK("http://www.autodoc.ru/Web/price/art/5337ABSV?analog=on","5337ABSV"))*1</f>
        <v>#VALUE!</v>
      </c>
      <c r="B5084" s="1">
        <v>6969777</v>
      </c>
      <c r="C5084" t="s">
        <v>1770</v>
      </c>
      <c r="D5084" t="s">
        <v>5286</v>
      </c>
      <c r="E5084" t="s">
        <v>8</v>
      </c>
    </row>
    <row r="5085" spans="1:5" hidden="1" outlineLevel="2">
      <c r="A5085" s="3" t="e">
        <f>(HYPERLINK("http://www.autodoc.ru/Web/price/art/5337AGNGNV?analog=on","5337AGNGNV"))*1</f>
        <v>#VALUE!</v>
      </c>
      <c r="B5085" s="1">
        <v>6969776</v>
      </c>
      <c r="C5085" t="s">
        <v>1770</v>
      </c>
      <c r="D5085" t="s">
        <v>5287</v>
      </c>
      <c r="E5085" t="s">
        <v>8</v>
      </c>
    </row>
    <row r="5086" spans="1:5" hidden="1" outlineLevel="2">
      <c r="A5086" s="3" t="e">
        <f>(HYPERLINK("http://www.autodoc.ru/Web/price/art/5337AGNGYMV?analog=on","5337AGNGYMV"))*1</f>
        <v>#VALUE!</v>
      </c>
      <c r="B5086" s="1">
        <v>6969715</v>
      </c>
      <c r="C5086" t="s">
        <v>1770</v>
      </c>
      <c r="D5086" t="s">
        <v>5288</v>
      </c>
      <c r="E5086" t="s">
        <v>8</v>
      </c>
    </row>
    <row r="5087" spans="1:5" hidden="1" outlineLevel="2">
      <c r="A5087" s="3" t="e">
        <f>(HYPERLINK("http://www.autodoc.ru/Web/price/art/5337AGNGYPV?analog=on","5337AGNGYPV"))*1</f>
        <v>#VALUE!</v>
      </c>
      <c r="B5087" s="1">
        <v>6969775</v>
      </c>
      <c r="C5087" t="s">
        <v>1770</v>
      </c>
      <c r="D5087" t="s">
        <v>5289</v>
      </c>
      <c r="E5087" t="s">
        <v>8</v>
      </c>
    </row>
    <row r="5088" spans="1:5" hidden="1" outlineLevel="2">
      <c r="A5088" s="3" t="e">
        <f>(HYPERLINK("http://www.autodoc.ru/Web/price/art/5337AGNGYV?analog=on","5337AGNGYV"))*1</f>
        <v>#VALUE!</v>
      </c>
      <c r="B5088" s="1">
        <v>6969774</v>
      </c>
      <c r="C5088" t="s">
        <v>1770</v>
      </c>
      <c r="D5088" t="s">
        <v>5290</v>
      </c>
      <c r="E5088" t="s">
        <v>8</v>
      </c>
    </row>
    <row r="5089" spans="1:5" hidden="1" outlineLevel="2">
      <c r="A5089" s="3" t="e">
        <f>(HYPERLINK("http://www.autodoc.ru/Web/price/art/5337ASMST?analog=on","5337ASMST"))*1</f>
        <v>#VALUE!</v>
      </c>
      <c r="B5089" s="1">
        <v>6101171</v>
      </c>
      <c r="C5089" t="s">
        <v>19</v>
      </c>
      <c r="D5089" t="s">
        <v>5291</v>
      </c>
      <c r="E5089" t="s">
        <v>21</v>
      </c>
    </row>
    <row r="5090" spans="1:5" hidden="1" outlineLevel="2">
      <c r="A5090" s="3" t="e">
        <f>(HYPERLINK("http://www.autodoc.ru/Web/price/art/5337BBSEB?analog=on","5337BBSEB"))*1</f>
        <v>#VALUE!</v>
      </c>
      <c r="B5090" s="1">
        <v>6995313</v>
      </c>
      <c r="C5090" t="s">
        <v>1770</v>
      </c>
      <c r="D5090" t="s">
        <v>5292</v>
      </c>
      <c r="E5090" t="s">
        <v>23</v>
      </c>
    </row>
    <row r="5091" spans="1:5" hidden="1" outlineLevel="2">
      <c r="A5091" s="3" t="e">
        <f>(HYPERLINK("http://www.autodoc.ru/Web/price/art/5337BBSSA?analog=on","5337BBSSA"))*1</f>
        <v>#VALUE!</v>
      </c>
      <c r="B5091" s="1">
        <v>6998767</v>
      </c>
      <c r="C5091" t="s">
        <v>1770</v>
      </c>
      <c r="D5091" t="s">
        <v>5293</v>
      </c>
      <c r="E5091" t="s">
        <v>23</v>
      </c>
    </row>
    <row r="5092" spans="1:5" hidden="1" outlineLevel="2">
      <c r="A5092" s="3" t="e">
        <f>(HYPERLINK("http://www.autodoc.ru/Web/price/art/5337BGNEB?analog=on","5337BGNEB"))*1</f>
        <v>#VALUE!</v>
      </c>
      <c r="B5092" s="1">
        <v>6995312</v>
      </c>
      <c r="C5092" t="s">
        <v>1770</v>
      </c>
      <c r="D5092" t="s">
        <v>5294</v>
      </c>
      <c r="E5092" t="s">
        <v>23</v>
      </c>
    </row>
    <row r="5093" spans="1:5" hidden="1" outlineLevel="2">
      <c r="A5093" s="3" t="e">
        <f>(HYPERLINK("http://www.autodoc.ru/Web/price/art/5337BGNSA?analog=on","5337BGNSA"))*1</f>
        <v>#VALUE!</v>
      </c>
      <c r="B5093" s="1">
        <v>6998898</v>
      </c>
      <c r="C5093" t="s">
        <v>1770</v>
      </c>
      <c r="D5093" t="s">
        <v>5295</v>
      </c>
      <c r="E5093" t="s">
        <v>23</v>
      </c>
    </row>
    <row r="5094" spans="1:5" hidden="1" outlineLevel="2">
      <c r="A5094" s="3" t="e">
        <f>(HYPERLINK("http://www.autodoc.ru/Web/price/art/5337BGNSAB?analog=on","5337BGNSAB"))*1</f>
        <v>#VALUE!</v>
      </c>
      <c r="B5094" s="1">
        <v>6992773</v>
      </c>
      <c r="C5094" t="s">
        <v>1770</v>
      </c>
      <c r="D5094" t="s">
        <v>5296</v>
      </c>
      <c r="E5094" t="s">
        <v>23</v>
      </c>
    </row>
    <row r="5095" spans="1:5" hidden="1" outlineLevel="2">
      <c r="A5095" s="3" t="e">
        <f>(HYPERLINK("http://www.autodoc.ru/Web/price/art/5337BGNSAK?analog=on","5337BGNSAK"))*1</f>
        <v>#VALUE!</v>
      </c>
      <c r="B5095" s="1">
        <v>6998899</v>
      </c>
      <c r="C5095" t="s">
        <v>1770</v>
      </c>
      <c r="D5095" t="s">
        <v>5297</v>
      </c>
      <c r="E5095" t="s">
        <v>23</v>
      </c>
    </row>
    <row r="5096" spans="1:5" hidden="1" outlineLevel="2">
      <c r="A5096" s="3" t="e">
        <f>(HYPERLINK("http://www.autodoc.ru/Web/price/art/5337LBSE5RD?analog=on","5337LBSE5RD"))*1</f>
        <v>#VALUE!</v>
      </c>
      <c r="B5096" s="1">
        <v>6994462</v>
      </c>
      <c r="C5096" t="s">
        <v>1770</v>
      </c>
      <c r="D5096" t="s">
        <v>5298</v>
      </c>
      <c r="E5096" t="s">
        <v>10</v>
      </c>
    </row>
    <row r="5097" spans="1:5" hidden="1" outlineLevel="2">
      <c r="A5097" s="3" t="e">
        <f>(HYPERLINK("http://www.autodoc.ru/Web/price/art/5337LBSE5RQAX?analog=on","5337LBSE5RQAX"))*1</f>
        <v>#VALUE!</v>
      </c>
      <c r="B5097" s="1">
        <v>6995557</v>
      </c>
      <c r="C5097" t="s">
        <v>1770</v>
      </c>
      <c r="D5097" t="s">
        <v>5299</v>
      </c>
      <c r="E5097" t="s">
        <v>10</v>
      </c>
    </row>
    <row r="5098" spans="1:5" hidden="1" outlineLevel="2">
      <c r="A5098" s="3" t="e">
        <f>(HYPERLINK("http://www.autodoc.ru/Web/price/art/5337LBSE5RV?analog=on","5337LBSE5RV"))*1</f>
        <v>#VALUE!</v>
      </c>
      <c r="B5098" s="1">
        <v>6994463</v>
      </c>
      <c r="C5098" t="s">
        <v>1770</v>
      </c>
      <c r="D5098" t="s">
        <v>5300</v>
      </c>
      <c r="E5098" t="s">
        <v>10</v>
      </c>
    </row>
    <row r="5099" spans="1:5" hidden="1" outlineLevel="2">
      <c r="A5099" s="3" t="e">
        <f>(HYPERLINK("http://www.autodoc.ru/Web/price/art/5337LBSS4RV?analog=on","5337LBSS4RV"))*1</f>
        <v>#VALUE!</v>
      </c>
      <c r="B5099" s="1">
        <v>6994200</v>
      </c>
      <c r="C5099" t="s">
        <v>1770</v>
      </c>
      <c r="D5099" t="s">
        <v>5301</v>
      </c>
      <c r="E5099" t="s">
        <v>10</v>
      </c>
    </row>
    <row r="5100" spans="1:5" hidden="1" outlineLevel="2">
      <c r="A5100" s="3" t="e">
        <f>(HYPERLINK("http://www.autodoc.ru/Web/price/art/5337LGNE5RD?analog=on","5337LGNE5RD"))*1</f>
        <v>#VALUE!</v>
      </c>
      <c r="B5100" s="1">
        <v>6994466</v>
      </c>
      <c r="C5100" t="s">
        <v>1770</v>
      </c>
      <c r="D5100" t="s">
        <v>5302</v>
      </c>
      <c r="E5100" t="s">
        <v>10</v>
      </c>
    </row>
    <row r="5101" spans="1:5" hidden="1" outlineLevel="2">
      <c r="A5101" s="3" t="e">
        <f>(HYPERLINK("http://www.autodoc.ru/Web/price/art/5337LGNE5RQA?analog=on","5337LGNE5RQA"))*1</f>
        <v>#VALUE!</v>
      </c>
      <c r="B5101" s="1">
        <v>6994467</v>
      </c>
      <c r="C5101" t="s">
        <v>1770</v>
      </c>
      <c r="D5101" t="s">
        <v>5303</v>
      </c>
      <c r="E5101" t="s">
        <v>10</v>
      </c>
    </row>
    <row r="5102" spans="1:5" hidden="1" outlineLevel="2">
      <c r="A5102" s="3" t="e">
        <f>(HYPERLINK("http://www.autodoc.ru/Web/price/art/5337LGNE5RQAX?analog=on","5337LGNE5RQAX"))*1</f>
        <v>#VALUE!</v>
      </c>
      <c r="B5102" s="1">
        <v>6995561</v>
      </c>
      <c r="C5102" t="s">
        <v>1770</v>
      </c>
      <c r="D5102" t="s">
        <v>5304</v>
      </c>
      <c r="E5102" t="s">
        <v>10</v>
      </c>
    </row>
    <row r="5103" spans="1:5" hidden="1" outlineLevel="2">
      <c r="A5103" s="3" t="e">
        <f>(HYPERLINK("http://www.autodoc.ru/Web/price/art/5337LGNE5RV?analog=on","5337LGNE5RV"))*1</f>
        <v>#VALUE!</v>
      </c>
      <c r="B5103" s="1">
        <v>6994468</v>
      </c>
      <c r="C5103" t="s">
        <v>1770</v>
      </c>
      <c r="D5103" t="s">
        <v>5305</v>
      </c>
      <c r="E5103" t="s">
        <v>10</v>
      </c>
    </row>
    <row r="5104" spans="1:5" hidden="1" outlineLevel="2">
      <c r="A5104" s="3" t="e">
        <f>(HYPERLINK("http://www.autodoc.ru/Web/price/art/5337LGNS4FD?analog=on","5337LGNS4FD"))*1</f>
        <v>#VALUE!</v>
      </c>
      <c r="B5104" s="1">
        <v>6995211</v>
      </c>
      <c r="C5104" t="s">
        <v>1770</v>
      </c>
      <c r="D5104" t="s">
        <v>5306</v>
      </c>
      <c r="E5104" t="s">
        <v>10</v>
      </c>
    </row>
    <row r="5105" spans="1:5" hidden="1" outlineLevel="2">
      <c r="A5105" s="3" t="e">
        <f>(HYPERLINK("http://www.autodoc.ru/Web/price/art/5337LGNS4RD?analog=on","5337LGNS4RD"))*1</f>
        <v>#VALUE!</v>
      </c>
      <c r="B5105" s="1">
        <v>6995213</v>
      </c>
      <c r="C5105" t="s">
        <v>1770</v>
      </c>
      <c r="D5105" t="s">
        <v>5307</v>
      </c>
      <c r="E5105" t="s">
        <v>10</v>
      </c>
    </row>
    <row r="5106" spans="1:5" hidden="1" outlineLevel="2">
      <c r="A5106" s="3" t="e">
        <f>(HYPERLINK("http://www.autodoc.ru/Web/price/art/5337LGNS4RV?analog=on","5337LGNS4RV"))*1</f>
        <v>#VALUE!</v>
      </c>
      <c r="B5106" s="1">
        <v>6995215</v>
      </c>
      <c r="C5106" t="s">
        <v>1770</v>
      </c>
      <c r="D5106" t="s">
        <v>5308</v>
      </c>
      <c r="E5106" t="s">
        <v>10</v>
      </c>
    </row>
    <row r="5107" spans="1:5" hidden="1" outlineLevel="2">
      <c r="A5107" s="3" t="e">
        <f>(HYPERLINK("http://www.autodoc.ru/Web/price/art/5337RBSE5RD?analog=on","5337RBSE5RD"))*1</f>
        <v>#VALUE!</v>
      </c>
      <c r="B5107" s="1">
        <v>6994464</v>
      </c>
      <c r="C5107" t="s">
        <v>1770</v>
      </c>
      <c r="D5107" t="s">
        <v>5309</v>
      </c>
      <c r="E5107" t="s">
        <v>10</v>
      </c>
    </row>
    <row r="5108" spans="1:5" hidden="1" outlineLevel="2">
      <c r="A5108" s="3" t="e">
        <f>(HYPERLINK("http://www.autodoc.ru/Web/price/art/5337RBSE5RQX?analog=on","5337RBSE5RQX"))*1</f>
        <v>#VALUE!</v>
      </c>
      <c r="B5108" s="1">
        <v>6995559</v>
      </c>
      <c r="C5108" t="s">
        <v>1770</v>
      </c>
      <c r="D5108" t="s">
        <v>5310</v>
      </c>
      <c r="E5108" t="s">
        <v>10</v>
      </c>
    </row>
    <row r="5109" spans="1:5" hidden="1" outlineLevel="2">
      <c r="A5109" s="3" t="e">
        <f>(HYPERLINK("http://www.autodoc.ru/Web/price/art/5337RBSE5RV?analog=on","5337RBSE5RV"))*1</f>
        <v>#VALUE!</v>
      </c>
      <c r="B5109" s="1">
        <v>6994465</v>
      </c>
      <c r="C5109" t="s">
        <v>1770</v>
      </c>
      <c r="D5109" t="s">
        <v>5311</v>
      </c>
      <c r="E5109" t="s">
        <v>10</v>
      </c>
    </row>
    <row r="5110" spans="1:5" hidden="1" outlineLevel="2">
      <c r="A5110" s="3" t="e">
        <f>(HYPERLINK("http://www.autodoc.ru/Web/price/art/5337RBSS4RD?analog=on","5337RBSS4RD"))*1</f>
        <v>#VALUE!</v>
      </c>
      <c r="B5110" s="1">
        <v>6994201</v>
      </c>
      <c r="C5110" t="s">
        <v>1770</v>
      </c>
      <c r="D5110" t="s">
        <v>5312</v>
      </c>
      <c r="E5110" t="s">
        <v>10</v>
      </c>
    </row>
    <row r="5111" spans="1:5" hidden="1" outlineLevel="2">
      <c r="A5111" s="3" t="e">
        <f>(HYPERLINK("http://www.autodoc.ru/Web/price/art/5337RGNE5RD?analog=on","5337RGNE5RD"))*1</f>
        <v>#VALUE!</v>
      </c>
      <c r="B5111" s="1">
        <v>6994469</v>
      </c>
      <c r="C5111" t="s">
        <v>1770</v>
      </c>
      <c r="D5111" t="s">
        <v>5313</v>
      </c>
      <c r="E5111" t="s">
        <v>10</v>
      </c>
    </row>
    <row r="5112" spans="1:5" hidden="1" outlineLevel="2">
      <c r="A5112" s="3" t="e">
        <f>(HYPERLINK("http://www.autodoc.ru/Web/price/art/5337RGNE5RQ?analog=on","5337RGNE5RQ"))*1</f>
        <v>#VALUE!</v>
      </c>
      <c r="B5112" s="1">
        <v>6994470</v>
      </c>
      <c r="C5112" t="s">
        <v>1770</v>
      </c>
      <c r="D5112" t="s">
        <v>5314</v>
      </c>
      <c r="E5112" t="s">
        <v>10</v>
      </c>
    </row>
    <row r="5113" spans="1:5" hidden="1" outlineLevel="2">
      <c r="A5113" s="3" t="e">
        <f>(HYPERLINK("http://www.autodoc.ru/Web/price/art/5337RGNE5RQX?analog=on","5337RGNE5RQX"))*1</f>
        <v>#VALUE!</v>
      </c>
      <c r="B5113" s="1">
        <v>6995562</v>
      </c>
      <c r="C5113" t="s">
        <v>1770</v>
      </c>
      <c r="D5113" t="s">
        <v>5315</v>
      </c>
      <c r="E5113" t="s">
        <v>10</v>
      </c>
    </row>
    <row r="5114" spans="1:5" hidden="1" outlineLevel="2">
      <c r="A5114" s="3" t="e">
        <f>(HYPERLINK("http://www.autodoc.ru/Web/price/art/5337RGNE5RV?analog=on","5337RGNE5RV"))*1</f>
        <v>#VALUE!</v>
      </c>
      <c r="B5114" s="1">
        <v>6994471</v>
      </c>
      <c r="C5114" t="s">
        <v>1770</v>
      </c>
      <c r="D5114" t="s">
        <v>5316</v>
      </c>
      <c r="E5114" t="s">
        <v>10</v>
      </c>
    </row>
    <row r="5115" spans="1:5" hidden="1" outlineLevel="2">
      <c r="A5115" s="3" t="e">
        <f>(HYPERLINK("http://www.autodoc.ru/Web/price/art/5337RGNS4FD?analog=on","5337RGNS4FD"))*1</f>
        <v>#VALUE!</v>
      </c>
      <c r="B5115" s="1">
        <v>6995210</v>
      </c>
      <c r="C5115" t="s">
        <v>1770</v>
      </c>
      <c r="D5115" t="s">
        <v>5317</v>
      </c>
      <c r="E5115" t="s">
        <v>10</v>
      </c>
    </row>
    <row r="5116" spans="1:5" hidden="1" outlineLevel="2">
      <c r="A5116" s="3" t="e">
        <f>(HYPERLINK("http://www.autodoc.ru/Web/price/art/5337RGNS4RD?analog=on","5337RGNS4RD"))*1</f>
        <v>#VALUE!</v>
      </c>
      <c r="B5116" s="1">
        <v>6995212</v>
      </c>
      <c r="C5116" t="s">
        <v>1770</v>
      </c>
      <c r="D5116" t="s">
        <v>5318</v>
      </c>
      <c r="E5116" t="s">
        <v>10</v>
      </c>
    </row>
    <row r="5117" spans="1:5" hidden="1" outlineLevel="2">
      <c r="A5117" s="3" t="e">
        <f>(HYPERLINK("http://www.autodoc.ru/Web/price/art/5337RGNS4RV?analog=on","5337RGNS4RV"))*1</f>
        <v>#VALUE!</v>
      </c>
      <c r="B5117" s="1">
        <v>6995214</v>
      </c>
      <c r="C5117" t="s">
        <v>1770</v>
      </c>
      <c r="D5117" t="s">
        <v>5319</v>
      </c>
      <c r="E5117" t="s">
        <v>10</v>
      </c>
    </row>
    <row r="5118" spans="1:5" hidden="1" outlineLevel="1">
      <c r="A5118" s="2">
        <v>0</v>
      </c>
      <c r="B5118" s="26" t="s">
        <v>5320</v>
      </c>
      <c r="C5118" s="27">
        <v>0</v>
      </c>
      <c r="D5118" s="27">
        <v>0</v>
      </c>
      <c r="E5118" s="27">
        <v>0</v>
      </c>
    </row>
    <row r="5119" spans="1:5" hidden="1" outlineLevel="2">
      <c r="A5119" s="3" t="e">
        <f>(HYPERLINK("http://www.autodoc.ru/Web/price/art/5354ABSMV?analog=on","5354ABSMV"))*1</f>
        <v>#VALUE!</v>
      </c>
      <c r="B5119" s="1">
        <v>6962451</v>
      </c>
      <c r="C5119" t="s">
        <v>1338</v>
      </c>
      <c r="D5119" t="s">
        <v>5321</v>
      </c>
      <c r="E5119" t="s">
        <v>8</v>
      </c>
    </row>
    <row r="5120" spans="1:5" hidden="1" outlineLevel="2">
      <c r="A5120" s="3" t="e">
        <f>(HYPERLINK("http://www.autodoc.ru/Web/price/art/5354AGSGYMV?analog=on","5354AGSGYMV"))*1</f>
        <v>#VALUE!</v>
      </c>
      <c r="B5120" s="1">
        <v>6962961</v>
      </c>
      <c r="C5120" t="s">
        <v>1338</v>
      </c>
      <c r="D5120" t="s">
        <v>5322</v>
      </c>
      <c r="E5120" t="s">
        <v>8</v>
      </c>
    </row>
    <row r="5121" spans="1:5" hidden="1" outlineLevel="1">
      <c r="A5121" s="2">
        <v>0</v>
      </c>
      <c r="B5121" s="26" t="s">
        <v>5323</v>
      </c>
      <c r="C5121" s="27">
        <v>0</v>
      </c>
      <c r="D5121" s="27">
        <v>0</v>
      </c>
      <c r="E5121" s="27">
        <v>0</v>
      </c>
    </row>
    <row r="5122" spans="1:5" hidden="1" outlineLevel="2">
      <c r="A5122" s="3" t="e">
        <f>(HYPERLINK("http://www.autodoc.ru/Web/price/art/5347ABSMVW?analog=on","5347ABSMVW"))*1</f>
        <v>#VALUE!</v>
      </c>
      <c r="B5122" s="1">
        <v>6960919</v>
      </c>
      <c r="C5122" t="s">
        <v>1338</v>
      </c>
      <c r="D5122" t="s">
        <v>5324</v>
      </c>
      <c r="E5122" t="s">
        <v>8</v>
      </c>
    </row>
    <row r="5123" spans="1:5" hidden="1" outlineLevel="2">
      <c r="A5123" s="3" t="e">
        <f>(HYPERLINK("http://www.autodoc.ru/Web/price/art/5347AGSMVW1K?analog=on","5347AGSMVW1K"))*1</f>
        <v>#VALUE!</v>
      </c>
      <c r="B5123" s="1">
        <v>6962622</v>
      </c>
      <c r="C5123" t="s">
        <v>1338</v>
      </c>
      <c r="D5123" t="s">
        <v>5325</v>
      </c>
      <c r="E5123" t="s">
        <v>8</v>
      </c>
    </row>
    <row r="5124" spans="1:5" hidden="1" outlineLevel="2">
      <c r="A5124" s="3" t="e">
        <f>(HYPERLINK("http://www.autodoc.ru/Web/price/art/5347ABSMVW1K?analog=on","5347ABSMVW1K"))*1</f>
        <v>#VALUE!</v>
      </c>
      <c r="B5124" s="1">
        <v>6962620</v>
      </c>
      <c r="C5124" t="s">
        <v>3413</v>
      </c>
      <c r="D5124" t="s">
        <v>5326</v>
      </c>
      <c r="E5124" t="s">
        <v>8</v>
      </c>
    </row>
    <row r="5125" spans="1:5" hidden="1" outlineLevel="2">
      <c r="A5125" s="3" t="e">
        <f>(HYPERLINK("http://www.autodoc.ru/Web/price/art/5347AGSGYMVW?analog=on","5347AGSGYMVW"))*1</f>
        <v>#VALUE!</v>
      </c>
      <c r="B5125" s="1">
        <v>6960921</v>
      </c>
      <c r="C5125" t="s">
        <v>1338</v>
      </c>
      <c r="D5125" t="s">
        <v>5327</v>
      </c>
      <c r="E5125" t="s">
        <v>8</v>
      </c>
    </row>
    <row r="5126" spans="1:5" hidden="1" outlineLevel="2">
      <c r="A5126" s="3" t="e">
        <f>(HYPERLINK("http://www.autodoc.ru/Web/price/art/5347AGSGYMVW1K?analog=on","5347AGSGYMVW1K"))*1</f>
        <v>#VALUE!</v>
      </c>
      <c r="B5126" s="1">
        <v>6962621</v>
      </c>
      <c r="C5126" t="s">
        <v>3413</v>
      </c>
      <c r="D5126" t="s">
        <v>5328</v>
      </c>
      <c r="E5126" t="s">
        <v>8</v>
      </c>
    </row>
    <row r="5127" spans="1:5" hidden="1" outlineLevel="2">
      <c r="A5127" s="3" t="e">
        <f>(HYPERLINK("http://www.autodoc.ru/Web/price/art/5347BBSSAGJPZ?analog=on","5347BBSSAGJPZ"))*1</f>
        <v>#VALUE!</v>
      </c>
      <c r="B5127" s="1">
        <v>6998546</v>
      </c>
      <c r="C5127" t="s">
        <v>1338</v>
      </c>
      <c r="D5127" t="s">
        <v>5329</v>
      </c>
      <c r="E5127" t="s">
        <v>23</v>
      </c>
    </row>
    <row r="5128" spans="1:5" hidden="1" outlineLevel="2">
      <c r="A5128" s="3" t="e">
        <f>(HYPERLINK("http://www.autodoc.ru/Web/price/art/5347BGSEXZ?analog=on","5347BGSEXZ"))*1</f>
        <v>#VALUE!</v>
      </c>
      <c r="B5128" s="1">
        <v>6997559</v>
      </c>
      <c r="C5128" t="s">
        <v>1309</v>
      </c>
      <c r="D5128" t="s">
        <v>5330</v>
      </c>
      <c r="E5128" t="s">
        <v>23</v>
      </c>
    </row>
    <row r="5129" spans="1:5" hidden="1" outlineLevel="2">
      <c r="A5129" s="3" t="e">
        <f>(HYPERLINK("http://www.autodoc.ru/Web/price/art/5347BGSSAGJPZ?analog=on","5347BGSSAGJPZ"))*1</f>
        <v>#VALUE!</v>
      </c>
      <c r="B5129" s="1">
        <v>6996411</v>
      </c>
      <c r="C5129" t="s">
        <v>1338</v>
      </c>
      <c r="D5129" t="s">
        <v>5331</v>
      </c>
      <c r="E5129" t="s">
        <v>23</v>
      </c>
    </row>
    <row r="5130" spans="1:5" hidden="1" outlineLevel="2">
      <c r="A5130" s="3" t="e">
        <f>(HYPERLINK("http://www.autodoc.ru/Web/price/art/5347LGSE5RD?analog=on","5347LGSE5RD"))*1</f>
        <v>#VALUE!</v>
      </c>
      <c r="B5130" s="1">
        <v>6997619</v>
      </c>
      <c r="C5130" t="s">
        <v>1309</v>
      </c>
      <c r="D5130" t="s">
        <v>5332</v>
      </c>
      <c r="E5130" t="s">
        <v>10</v>
      </c>
    </row>
    <row r="5131" spans="1:5" hidden="1" outlineLevel="2">
      <c r="A5131" s="3" t="e">
        <f>(HYPERLINK("http://www.autodoc.ru/Web/price/art/5347LGSS4FD?analog=on","5347LGSS4FD"))*1</f>
        <v>#VALUE!</v>
      </c>
      <c r="B5131" s="1">
        <v>6980102</v>
      </c>
      <c r="C5131" t="s">
        <v>1338</v>
      </c>
      <c r="D5131" t="s">
        <v>5333</v>
      </c>
      <c r="E5131" t="s">
        <v>10</v>
      </c>
    </row>
    <row r="5132" spans="1:5" hidden="1" outlineLevel="2">
      <c r="A5132" s="3" t="e">
        <f>(HYPERLINK("http://www.autodoc.ru/Web/price/art/5347LGSS4RD?analog=on","5347LGSS4RD"))*1</f>
        <v>#VALUE!</v>
      </c>
      <c r="B5132" s="1">
        <v>6980104</v>
      </c>
      <c r="C5132" t="s">
        <v>1338</v>
      </c>
      <c r="D5132" t="s">
        <v>5334</v>
      </c>
      <c r="E5132" t="s">
        <v>10</v>
      </c>
    </row>
    <row r="5133" spans="1:5" hidden="1" outlineLevel="2">
      <c r="A5133" s="3" t="e">
        <f>(HYPERLINK("http://www.autodoc.ru/Web/price/art/5347RGSE5RD?analog=on","5347RGSE5RD"))*1</f>
        <v>#VALUE!</v>
      </c>
      <c r="B5133" s="1">
        <v>6993879</v>
      </c>
      <c r="C5133" t="s">
        <v>1309</v>
      </c>
      <c r="D5133" t="s">
        <v>5335</v>
      </c>
      <c r="E5133" t="s">
        <v>10</v>
      </c>
    </row>
    <row r="5134" spans="1:5" hidden="1" outlineLevel="2">
      <c r="A5134" s="3" t="e">
        <f>(HYPERLINK("http://www.autodoc.ru/Web/price/art/5347RGSS4FD?analog=on","5347RGSS4FD"))*1</f>
        <v>#VALUE!</v>
      </c>
      <c r="B5134" s="1">
        <v>6980103</v>
      </c>
      <c r="C5134" t="s">
        <v>1338</v>
      </c>
      <c r="D5134" t="s">
        <v>5336</v>
      </c>
      <c r="E5134" t="s">
        <v>10</v>
      </c>
    </row>
    <row r="5135" spans="1:5" hidden="1" outlineLevel="2">
      <c r="A5135" s="3" t="e">
        <f>(HYPERLINK("http://www.autodoc.ru/Web/price/art/5347RGSS4RD?analog=on","5347RGSS4RD"))*1</f>
        <v>#VALUE!</v>
      </c>
      <c r="B5135" s="1">
        <v>6980105</v>
      </c>
      <c r="C5135" t="s">
        <v>1338</v>
      </c>
      <c r="D5135" t="s">
        <v>5337</v>
      </c>
      <c r="E5135" t="s">
        <v>10</v>
      </c>
    </row>
    <row r="5136" spans="1:5" hidden="1" outlineLevel="1">
      <c r="A5136" s="2">
        <v>0</v>
      </c>
      <c r="B5136" s="26" t="s">
        <v>5338</v>
      </c>
      <c r="C5136" s="27">
        <v>0</v>
      </c>
      <c r="D5136" s="27">
        <v>0</v>
      </c>
      <c r="E5136" s="27">
        <v>0</v>
      </c>
    </row>
    <row r="5137" spans="1:5" hidden="1" outlineLevel="2">
      <c r="A5137" s="3" t="e">
        <f>(HYPERLINK("http://www.autodoc.ru/Web/price/art/5345ACCGYHPVW?analog=on","5345ACCGYHPVW"))*1</f>
        <v>#VALUE!</v>
      </c>
      <c r="B5137" s="1">
        <v>6950302</v>
      </c>
      <c r="C5137" t="s">
        <v>540</v>
      </c>
      <c r="D5137" t="s">
        <v>5339</v>
      </c>
      <c r="E5137" t="s">
        <v>8</v>
      </c>
    </row>
    <row r="5138" spans="1:5" hidden="1" outlineLevel="2">
      <c r="A5138" s="3" t="e">
        <f>(HYPERLINK("http://www.autodoc.ru/Web/price/art/5345ACCGYPVW?analog=on","5345ACCGYPVW"))*1</f>
        <v>#VALUE!</v>
      </c>
      <c r="B5138" s="1">
        <v>6950088</v>
      </c>
      <c r="C5138" t="s">
        <v>540</v>
      </c>
      <c r="D5138" t="s">
        <v>5340</v>
      </c>
      <c r="E5138" t="s">
        <v>8</v>
      </c>
    </row>
    <row r="5139" spans="1:5" hidden="1" outlineLevel="1">
      <c r="A5139" s="2">
        <v>0</v>
      </c>
      <c r="B5139" s="26" t="s">
        <v>5341</v>
      </c>
      <c r="C5139" s="27">
        <v>0</v>
      </c>
      <c r="D5139" s="27">
        <v>0</v>
      </c>
      <c r="E5139" s="27">
        <v>0</v>
      </c>
    </row>
    <row r="5140" spans="1:5" hidden="1" outlineLevel="2">
      <c r="A5140" s="3" t="e">
        <f>(HYPERLINK("http://www.autodoc.ru/Web/price/art/5360ABSMVZ?analog=on","5360ABSMVZ"))*1</f>
        <v>#VALUE!</v>
      </c>
      <c r="B5140" s="1">
        <v>6962626</v>
      </c>
      <c r="C5140" t="s">
        <v>122</v>
      </c>
      <c r="D5140" t="s">
        <v>5342</v>
      </c>
      <c r="E5140" t="s">
        <v>8</v>
      </c>
    </row>
    <row r="5141" spans="1:5" hidden="1" outlineLevel="2">
      <c r="A5141" s="3" t="e">
        <f>(HYPERLINK("http://www.autodoc.ru/Web/price/art/5360ABSMVZ1D?analog=on","5360ABSMVZ1D"))*1</f>
        <v>#VALUE!</v>
      </c>
      <c r="B5141" s="1">
        <v>6962831</v>
      </c>
      <c r="C5141" t="s">
        <v>2535</v>
      </c>
      <c r="D5141" t="s">
        <v>5343</v>
      </c>
      <c r="E5141" t="s">
        <v>8</v>
      </c>
    </row>
    <row r="5142" spans="1:5" hidden="1" outlineLevel="2">
      <c r="A5142" s="3" t="e">
        <f>(HYPERLINK("http://www.autodoc.ru/Web/price/art/5360ACCMVZ1D?analog=on","5360ACCMVZ1D"))*1</f>
        <v>#VALUE!</v>
      </c>
      <c r="B5142" s="1">
        <v>6962815</v>
      </c>
      <c r="C5142" t="s">
        <v>2535</v>
      </c>
      <c r="D5142" t="s">
        <v>5344</v>
      </c>
      <c r="E5142" t="s">
        <v>8</v>
      </c>
    </row>
    <row r="5143" spans="1:5" hidden="1" outlineLevel="2">
      <c r="A5143" s="3" t="e">
        <f>(HYPERLINK("http://www.autodoc.ru/Web/price/art/5360AGSMVZ?analog=on","5360AGSMVZ"))*1</f>
        <v>#VALUE!</v>
      </c>
      <c r="B5143" s="1">
        <v>6961908</v>
      </c>
      <c r="C5143" t="s">
        <v>122</v>
      </c>
      <c r="D5143" t="s">
        <v>5345</v>
      </c>
      <c r="E5143" t="s">
        <v>8</v>
      </c>
    </row>
    <row r="5144" spans="1:5" hidden="1" outlineLevel="2">
      <c r="A5144" s="3" t="e">
        <f>(HYPERLINK("http://www.autodoc.ru/Web/price/art/5360AGSMVZ1D?analog=on","5360AGSMVZ1D"))*1</f>
        <v>#VALUE!</v>
      </c>
      <c r="B5144" s="1">
        <v>6962832</v>
      </c>
      <c r="C5144" t="s">
        <v>122</v>
      </c>
      <c r="D5144" t="s">
        <v>5346</v>
      </c>
      <c r="E5144" t="s">
        <v>8</v>
      </c>
    </row>
    <row r="5145" spans="1:5" hidden="1" outlineLevel="2">
      <c r="A5145" s="3" t="e">
        <f>(HYPERLINK("http://www.autodoc.ru/Web/price/art/5360LBSC4FD?analog=on","5360LBSC4FD"))*1</f>
        <v>#VALUE!</v>
      </c>
      <c r="B5145" s="1">
        <v>6999976</v>
      </c>
      <c r="C5145" t="s">
        <v>122</v>
      </c>
      <c r="D5145" t="s">
        <v>5347</v>
      </c>
      <c r="E5145" t="s">
        <v>10</v>
      </c>
    </row>
    <row r="5146" spans="1:5" hidden="1" outlineLevel="2">
      <c r="A5146" s="3" t="e">
        <f>(HYPERLINK("http://www.autodoc.ru/Web/price/art/5360LBSC4RD?analog=on","5360LBSC4RD"))*1</f>
        <v>#VALUE!</v>
      </c>
      <c r="B5146" s="1">
        <v>6900169</v>
      </c>
      <c r="C5146" t="s">
        <v>122</v>
      </c>
      <c r="D5146" t="s">
        <v>5348</v>
      </c>
      <c r="E5146" t="s">
        <v>10</v>
      </c>
    </row>
    <row r="5147" spans="1:5" hidden="1" outlineLevel="2">
      <c r="A5147" s="3" t="e">
        <f>(HYPERLINK("http://www.autodoc.ru/Web/price/art/5360LGSC4FD?analog=on","5360LGSC4FD"))*1</f>
        <v>#VALUE!</v>
      </c>
      <c r="B5147" s="1">
        <v>6999977</v>
      </c>
      <c r="C5147" t="s">
        <v>122</v>
      </c>
      <c r="D5147" t="s">
        <v>5349</v>
      </c>
      <c r="E5147" t="s">
        <v>10</v>
      </c>
    </row>
    <row r="5148" spans="1:5" hidden="1" outlineLevel="2">
      <c r="A5148" s="3" t="e">
        <f>(HYPERLINK("http://www.autodoc.ru/Web/price/art/5360LGSC4RD?analog=on","5360LGSC4RD"))*1</f>
        <v>#VALUE!</v>
      </c>
      <c r="B5148" s="1">
        <v>6900170</v>
      </c>
      <c r="C5148" t="s">
        <v>122</v>
      </c>
      <c r="D5148" t="s">
        <v>5350</v>
      </c>
      <c r="E5148" t="s">
        <v>10</v>
      </c>
    </row>
    <row r="5149" spans="1:5" hidden="1" outlineLevel="2">
      <c r="A5149" s="3" t="e">
        <f>(HYPERLINK("http://www.autodoc.ru/Web/price/art/5360RBSC4FD?analog=on","5360RBSC4FD"))*1</f>
        <v>#VALUE!</v>
      </c>
      <c r="B5149" s="1">
        <v>6900064</v>
      </c>
      <c r="C5149" t="s">
        <v>122</v>
      </c>
      <c r="D5149" t="s">
        <v>5351</v>
      </c>
      <c r="E5149" t="s">
        <v>10</v>
      </c>
    </row>
    <row r="5150" spans="1:5" hidden="1" outlineLevel="2">
      <c r="A5150" s="3" t="e">
        <f>(HYPERLINK("http://www.autodoc.ru/Web/price/art/5360RBSC4RD?analog=on","5360RBSC4RD"))*1</f>
        <v>#VALUE!</v>
      </c>
      <c r="B5150" s="1">
        <v>6900247</v>
      </c>
      <c r="C5150" t="s">
        <v>122</v>
      </c>
      <c r="D5150" t="s">
        <v>5352</v>
      </c>
      <c r="E5150" t="s">
        <v>10</v>
      </c>
    </row>
    <row r="5151" spans="1:5" hidden="1" outlineLevel="2">
      <c r="A5151" s="3" t="e">
        <f>(HYPERLINK("http://www.autodoc.ru/Web/price/art/5360RGSC4FD?analog=on","5360RGSC4FD"))*1</f>
        <v>#VALUE!</v>
      </c>
      <c r="B5151" s="1">
        <v>6900065</v>
      </c>
      <c r="C5151" t="s">
        <v>122</v>
      </c>
      <c r="D5151" t="s">
        <v>5353</v>
      </c>
      <c r="E5151" t="s">
        <v>10</v>
      </c>
    </row>
    <row r="5152" spans="1:5" hidden="1" outlineLevel="2">
      <c r="A5152" s="3" t="e">
        <f>(HYPERLINK("http://www.autodoc.ru/Web/price/art/5360RGSC4RD?analog=on","5360RGSC4RD"))*1</f>
        <v>#VALUE!</v>
      </c>
      <c r="B5152" s="1">
        <v>6900250</v>
      </c>
      <c r="C5152" t="s">
        <v>122</v>
      </c>
      <c r="D5152" t="s">
        <v>5354</v>
      </c>
      <c r="E5152" t="s">
        <v>10</v>
      </c>
    </row>
    <row r="5153" spans="1:5" hidden="1" outlineLevel="1">
      <c r="A5153" s="2">
        <v>0</v>
      </c>
      <c r="B5153" s="26" t="s">
        <v>5355</v>
      </c>
      <c r="C5153" s="27">
        <v>0</v>
      </c>
      <c r="D5153" s="27">
        <v>0</v>
      </c>
      <c r="E5153" s="27">
        <v>0</v>
      </c>
    </row>
    <row r="5154" spans="1:5" hidden="1" outlineLevel="2">
      <c r="A5154" s="3" t="e">
        <f>(HYPERLINK("http://www.autodoc.ru/Web/price/art/5344ACCGYHMVW2T?analog=on","5344ACCGYHMVW2T"))*1</f>
        <v>#VALUE!</v>
      </c>
      <c r="B5154" s="1">
        <v>6950092</v>
      </c>
      <c r="C5154" t="s">
        <v>411</v>
      </c>
      <c r="D5154" t="s">
        <v>5356</v>
      </c>
      <c r="E5154" t="s">
        <v>8</v>
      </c>
    </row>
    <row r="5155" spans="1:5" hidden="1" outlineLevel="2">
      <c r="A5155" s="3" t="e">
        <f>(HYPERLINK("http://www.autodoc.ru/Web/price/art/5344ACCGYHPVW?analog=on","5344ACCGYHPVW"))*1</f>
        <v>#VALUE!</v>
      </c>
      <c r="B5155" s="1">
        <v>6962950</v>
      </c>
      <c r="C5155" t="s">
        <v>411</v>
      </c>
      <c r="D5155" t="s">
        <v>5357</v>
      </c>
      <c r="E5155" t="s">
        <v>8</v>
      </c>
    </row>
    <row r="5156" spans="1:5" hidden="1" outlineLevel="2">
      <c r="A5156" s="3" t="e">
        <f>(HYPERLINK("http://www.autodoc.ru/Web/price/art/5344AGNGYHMVW1T?analog=on","5344AGNGYHMVW1T"))*1</f>
        <v>#VALUE!</v>
      </c>
      <c r="B5156" s="1">
        <v>6950093</v>
      </c>
      <c r="C5156" t="s">
        <v>411</v>
      </c>
      <c r="D5156" t="s">
        <v>5358</v>
      </c>
      <c r="E5156" t="s">
        <v>8</v>
      </c>
    </row>
    <row r="5157" spans="1:5" hidden="1" outlineLevel="2">
      <c r="A5157" s="3" t="e">
        <f>(HYPERLINK("http://www.autodoc.ru/Web/price/art/5344AGNGYHMVW2T?analog=on","5344AGNGYHMVW2T"))*1</f>
        <v>#VALUE!</v>
      </c>
      <c r="B5157" s="1">
        <v>6950094</v>
      </c>
      <c r="C5157" t="s">
        <v>879</v>
      </c>
      <c r="D5157" t="s">
        <v>5359</v>
      </c>
      <c r="E5157" t="s">
        <v>8</v>
      </c>
    </row>
    <row r="5158" spans="1:5" hidden="1" outlineLevel="2">
      <c r="A5158" s="3" t="e">
        <f>(HYPERLINK("http://www.autodoc.ru/Web/price/art/5344AGNGYHPVW?analog=on","5344AGNGYHPVW"))*1</f>
        <v>#VALUE!</v>
      </c>
      <c r="B5158" s="1">
        <v>6962855</v>
      </c>
      <c r="C5158" t="s">
        <v>411</v>
      </c>
      <c r="D5158" t="s">
        <v>5360</v>
      </c>
      <c r="E5158" t="s">
        <v>8</v>
      </c>
    </row>
    <row r="5159" spans="1:5" hidden="1" outlineLevel="2">
      <c r="A5159" s="3" t="e">
        <f>(HYPERLINK("http://www.autodoc.ru/Web/price/art/5344AGNGYPVW?analog=on","5344AGNGYPVW"))*1</f>
        <v>#VALUE!</v>
      </c>
      <c r="B5159" s="1">
        <v>6962949</v>
      </c>
      <c r="C5159" t="s">
        <v>411</v>
      </c>
      <c r="D5159" t="s">
        <v>5361</v>
      </c>
      <c r="E5159" t="s">
        <v>8</v>
      </c>
    </row>
    <row r="5160" spans="1:5" hidden="1" outlineLevel="2">
      <c r="A5160" s="3" t="e">
        <f>(HYPERLINK("http://www.autodoc.ru/Web/price/art/5344BCCSABGKT?analog=on","5344BCCSABGKT"))*1</f>
        <v>#VALUE!</v>
      </c>
      <c r="B5160" s="1">
        <v>6962921</v>
      </c>
      <c r="C5160" t="s">
        <v>411</v>
      </c>
      <c r="D5160" t="s">
        <v>5362</v>
      </c>
      <c r="E5160" t="s">
        <v>23</v>
      </c>
    </row>
    <row r="5161" spans="1:5" hidden="1" outlineLevel="2">
      <c r="A5161" s="3" t="e">
        <f>(HYPERLINK("http://www.autodoc.ru/Web/price/art/5344BGNSABGK?analog=on","5344BGNSABGK"))*1</f>
        <v>#VALUE!</v>
      </c>
      <c r="B5161" s="1">
        <v>6950001</v>
      </c>
      <c r="C5161" t="s">
        <v>411</v>
      </c>
      <c r="D5161" t="s">
        <v>5363</v>
      </c>
      <c r="E5161" t="s">
        <v>23</v>
      </c>
    </row>
    <row r="5162" spans="1:5" hidden="1" outlineLevel="2">
      <c r="A5162" s="3" t="e">
        <f>(HYPERLINK("http://www.autodoc.ru/Web/price/art/5344LGNS4FDK?analog=on","5344LGNS4FDK"))*1</f>
        <v>#VALUE!</v>
      </c>
      <c r="B5162" s="1">
        <v>6962923</v>
      </c>
      <c r="C5162" t="s">
        <v>411</v>
      </c>
      <c r="D5162" t="s">
        <v>5364</v>
      </c>
      <c r="E5162" t="s">
        <v>10</v>
      </c>
    </row>
    <row r="5163" spans="1:5" hidden="1" outlineLevel="2">
      <c r="A5163" s="3" t="e">
        <f>(HYPERLINK("http://www.autodoc.ru/Web/price/art/5344LGNS4RDK?analog=on","5344LGNS4RDK"))*1</f>
        <v>#VALUE!</v>
      </c>
      <c r="B5163" s="1">
        <v>6962926</v>
      </c>
      <c r="C5163" t="s">
        <v>411</v>
      </c>
      <c r="D5163" t="s">
        <v>5365</v>
      </c>
      <c r="E5163" t="s">
        <v>10</v>
      </c>
    </row>
    <row r="5164" spans="1:5" hidden="1" outlineLevel="2">
      <c r="A5164" s="3" t="e">
        <f>(HYPERLINK("http://www.autodoc.ru/Web/price/art/5344LGNS4RVK?analog=on","5344LGNS4RVK"))*1</f>
        <v>#VALUE!</v>
      </c>
      <c r="B5164" s="1">
        <v>6962931</v>
      </c>
      <c r="C5164" t="s">
        <v>411</v>
      </c>
      <c r="D5164" t="s">
        <v>5366</v>
      </c>
      <c r="E5164" t="s">
        <v>10</v>
      </c>
    </row>
    <row r="5165" spans="1:5" hidden="1" outlineLevel="2">
      <c r="A5165" s="3" t="e">
        <f>(HYPERLINK("http://www.autodoc.ru/Web/price/art/5344RGNS4FDK?analog=on","5344RGNS4FDK"))*1</f>
        <v>#VALUE!</v>
      </c>
      <c r="B5165" s="1">
        <v>6961992</v>
      </c>
      <c r="C5165" t="s">
        <v>411</v>
      </c>
      <c r="D5165" t="s">
        <v>5367</v>
      </c>
      <c r="E5165" t="s">
        <v>10</v>
      </c>
    </row>
    <row r="5166" spans="1:5" hidden="1" outlineLevel="2">
      <c r="A5166" s="3" t="e">
        <f>(HYPERLINK("http://www.autodoc.ru/Web/price/art/5344RGNS4RDKW?analog=on","5344RGNS4RDKW"))*1</f>
        <v>#VALUE!</v>
      </c>
      <c r="B5166" s="1">
        <v>6962929</v>
      </c>
      <c r="C5166" t="s">
        <v>411</v>
      </c>
      <c r="D5166" t="s">
        <v>5368</v>
      </c>
      <c r="E5166" t="s">
        <v>10</v>
      </c>
    </row>
    <row r="5167" spans="1:5" hidden="1" outlineLevel="2">
      <c r="A5167" s="3" t="e">
        <f>(HYPERLINK("http://www.autodoc.ru/Web/price/art/5344RGNS4RVK?analog=on","5344RGNS4RVK"))*1</f>
        <v>#VALUE!</v>
      </c>
      <c r="B5167" s="1">
        <v>6962932</v>
      </c>
      <c r="C5167" t="s">
        <v>411</v>
      </c>
      <c r="D5167" t="s">
        <v>5369</v>
      </c>
      <c r="E5167" t="s">
        <v>10</v>
      </c>
    </row>
    <row r="5168" spans="1:5" hidden="1" outlineLevel="1">
      <c r="A5168" s="2">
        <v>0</v>
      </c>
      <c r="B5168" s="26" t="s">
        <v>5370</v>
      </c>
      <c r="C5168" s="27">
        <v>0</v>
      </c>
      <c r="D5168" s="27">
        <v>0</v>
      </c>
      <c r="E5168" s="27">
        <v>0</v>
      </c>
    </row>
    <row r="5169" spans="1:5" hidden="1" outlineLevel="2">
      <c r="A5169" s="3" t="e">
        <f>(HYPERLINK("http://www.autodoc.ru/Web/price/art/5362ACCHMVZ?analog=on","5362ACCHMVZ"))*1</f>
        <v>#VALUE!</v>
      </c>
      <c r="B5169" s="1">
        <v>6962629</v>
      </c>
      <c r="C5169" t="s">
        <v>890</v>
      </c>
      <c r="D5169" t="s">
        <v>5371</v>
      </c>
      <c r="E5169" t="s">
        <v>8</v>
      </c>
    </row>
    <row r="5170" spans="1:5" hidden="1" outlineLevel="2">
      <c r="A5170" s="3" t="e">
        <f>(HYPERLINK("http://www.autodoc.ru/Web/price/art/5362AGSHMVZ?analog=on","5362AGSHMVZ"))*1</f>
        <v>#VALUE!</v>
      </c>
      <c r="B5170" s="1">
        <v>6962628</v>
      </c>
      <c r="C5170" t="s">
        <v>890</v>
      </c>
      <c r="D5170" t="s">
        <v>5372</v>
      </c>
      <c r="E5170" t="s">
        <v>8</v>
      </c>
    </row>
    <row r="5171" spans="1:5" hidden="1" outlineLevel="2">
      <c r="A5171" s="3" t="e">
        <f>(HYPERLINK("http://www.autodoc.ru/Web/price/art/5362ACCCHMVW?analog=on","5362ACCCHMVW"))*1</f>
        <v>#VALUE!</v>
      </c>
      <c r="B5171" s="1">
        <v>6961909</v>
      </c>
      <c r="C5171" t="s">
        <v>890</v>
      </c>
      <c r="D5171" t="s">
        <v>5373</v>
      </c>
      <c r="E5171" t="s">
        <v>8</v>
      </c>
    </row>
    <row r="5172" spans="1:5" hidden="1" outlineLevel="1">
      <c r="A5172" s="2">
        <v>0</v>
      </c>
      <c r="B5172" s="26" t="s">
        <v>5374</v>
      </c>
      <c r="C5172" s="27">
        <v>0</v>
      </c>
      <c r="D5172" s="27">
        <v>0</v>
      </c>
      <c r="E5172" s="27">
        <v>0</v>
      </c>
    </row>
    <row r="5173" spans="1:5" hidden="1" outlineLevel="2">
      <c r="A5173" s="3" t="e">
        <f>(HYPERLINK("http://www.autodoc.ru/Web/price/art/5419ACL?analog=on","5419ACL"))*1</f>
        <v>#VALUE!</v>
      </c>
      <c r="B5173" s="1">
        <v>6969705</v>
      </c>
      <c r="C5173" t="s">
        <v>5375</v>
      </c>
      <c r="D5173" t="s">
        <v>5376</v>
      </c>
      <c r="E5173" t="s">
        <v>8</v>
      </c>
    </row>
    <row r="5174" spans="1:5" hidden="1" outlineLevel="2">
      <c r="A5174" s="3" t="e">
        <f>(HYPERLINK("http://www.autodoc.ru/Web/price/art/5419AGNGN?analog=on","5419AGNGN"))*1</f>
        <v>#VALUE!</v>
      </c>
      <c r="B5174" s="1">
        <v>6969707</v>
      </c>
      <c r="C5174" t="s">
        <v>5375</v>
      </c>
      <c r="D5174" t="s">
        <v>5377</v>
      </c>
      <c r="E5174" t="s">
        <v>8</v>
      </c>
    </row>
    <row r="5175" spans="1:5" hidden="1" outlineLevel="2">
      <c r="A5175" s="3" t="e">
        <f>(HYPERLINK("http://www.autodoc.ru/Web/price/art/5419ASRV?analog=on","5419ASRV"))*1</f>
        <v>#VALUE!</v>
      </c>
      <c r="B5175" s="1">
        <v>6100121</v>
      </c>
      <c r="C5175" t="s">
        <v>19</v>
      </c>
      <c r="D5175" t="s">
        <v>5378</v>
      </c>
      <c r="E5175" t="s">
        <v>21</v>
      </c>
    </row>
    <row r="5176" spans="1:5" hidden="1" outlineLevel="2">
      <c r="A5176" s="3" t="e">
        <f>(HYPERLINK("http://www.autodoc.ru/Web/price/art/5419FCLV2FD?analog=on","5419FCLV2FD"))*1</f>
        <v>#VALUE!</v>
      </c>
      <c r="B5176" s="1">
        <v>6996780</v>
      </c>
      <c r="C5176" t="s">
        <v>5375</v>
      </c>
      <c r="D5176" t="s">
        <v>5379</v>
      </c>
      <c r="E5176" t="s">
        <v>10</v>
      </c>
    </row>
    <row r="5177" spans="1:5" hidden="1" outlineLevel="2">
      <c r="A5177" s="3" t="e">
        <f>(HYPERLINK("http://www.autodoc.ru/Web/price/art/5419FCLV2FV?analog=on","5419FCLV2FV"))*1</f>
        <v>#VALUE!</v>
      </c>
      <c r="B5177" s="1">
        <v>6996781</v>
      </c>
      <c r="C5177" t="s">
        <v>5375</v>
      </c>
      <c r="D5177" t="s">
        <v>5380</v>
      </c>
      <c r="E5177" t="s">
        <v>10</v>
      </c>
    </row>
    <row r="5178" spans="1:5" hidden="1" outlineLevel="1">
      <c r="A5178" s="2">
        <v>0</v>
      </c>
      <c r="B5178" s="26" t="s">
        <v>5381</v>
      </c>
      <c r="C5178" s="27">
        <v>0</v>
      </c>
      <c r="D5178" s="27">
        <v>0</v>
      </c>
      <c r="E5178" s="27">
        <v>0</v>
      </c>
    </row>
    <row r="5179" spans="1:5" hidden="1" outlineLevel="2">
      <c r="A5179" s="3" t="e">
        <f>(HYPERLINK("http://www.autodoc.ru/Web/price/art/5416ACL?analog=on","5416ACL"))*1</f>
        <v>#VALUE!</v>
      </c>
      <c r="B5179" s="1">
        <v>6969709</v>
      </c>
      <c r="C5179" t="s">
        <v>5382</v>
      </c>
      <c r="D5179" t="s">
        <v>5383</v>
      </c>
      <c r="E5179" t="s">
        <v>8</v>
      </c>
    </row>
    <row r="5180" spans="1:5" hidden="1" outlineLevel="2">
      <c r="A5180" s="3" t="e">
        <f>(HYPERLINK("http://www.autodoc.ru/Web/price/art/5416ACLGN?analog=on","5416ACLGN"))*1</f>
        <v>#VALUE!</v>
      </c>
      <c r="B5180" s="1">
        <v>6964586</v>
      </c>
      <c r="C5180" t="s">
        <v>5382</v>
      </c>
      <c r="D5180" t="s">
        <v>5384</v>
      </c>
      <c r="E5180" t="s">
        <v>8</v>
      </c>
    </row>
    <row r="5181" spans="1:5" hidden="1" outlineLevel="2">
      <c r="A5181" s="3" t="e">
        <f>(HYPERLINK("http://www.autodoc.ru/Web/price/art/5416AGN?analog=on","5416AGN"))*1</f>
        <v>#VALUE!</v>
      </c>
      <c r="B5181" s="1">
        <v>6969710</v>
      </c>
      <c r="C5181" t="s">
        <v>5382</v>
      </c>
      <c r="D5181" t="s">
        <v>5384</v>
      </c>
      <c r="E5181" t="s">
        <v>8</v>
      </c>
    </row>
    <row r="5182" spans="1:5" hidden="1" outlineLevel="2">
      <c r="A5182" s="3" t="e">
        <f>(HYPERLINK("http://www.autodoc.ru/Web/price/art/5416AGNGN?analog=on","5416AGNGN"))*1</f>
        <v>#VALUE!</v>
      </c>
      <c r="B5182" s="1">
        <v>6969711</v>
      </c>
      <c r="C5182" t="s">
        <v>5382</v>
      </c>
      <c r="D5182" t="s">
        <v>5385</v>
      </c>
      <c r="E5182" t="s">
        <v>8</v>
      </c>
    </row>
    <row r="5183" spans="1:5" hidden="1" outlineLevel="2">
      <c r="A5183" s="3" t="e">
        <f>(HYPERLINK("http://www.autodoc.ru/Web/price/art/5416ASRL?analog=on","5416ASRL"))*1</f>
        <v>#VALUE!</v>
      </c>
      <c r="B5183" s="1">
        <v>6100395</v>
      </c>
      <c r="C5183" t="s">
        <v>19</v>
      </c>
      <c r="D5183" t="s">
        <v>5386</v>
      </c>
      <c r="E5183" t="s">
        <v>21</v>
      </c>
    </row>
    <row r="5184" spans="1:5" hidden="1" outlineLevel="2">
      <c r="A5184" s="3" t="e">
        <f>(HYPERLINK("http://www.autodoc.ru/Web/price/art/5416FCLL2FD?analog=on","5416FCLL2FD"))*1</f>
        <v>#VALUE!</v>
      </c>
      <c r="B5184" s="1">
        <v>6996778</v>
      </c>
      <c r="C5184" t="s">
        <v>5382</v>
      </c>
      <c r="D5184" t="s">
        <v>5387</v>
      </c>
      <c r="E5184" t="s">
        <v>10</v>
      </c>
    </row>
    <row r="5185" spans="1:5" hidden="1" outlineLevel="1">
      <c r="A5185" s="2">
        <v>0</v>
      </c>
      <c r="B5185" s="26" t="s">
        <v>5388</v>
      </c>
      <c r="C5185" s="27">
        <v>0</v>
      </c>
      <c r="D5185" s="27">
        <v>0</v>
      </c>
      <c r="E5185" s="27">
        <v>0</v>
      </c>
    </row>
    <row r="5186" spans="1:5" hidden="1" outlineLevel="2">
      <c r="A5186" s="3" t="e">
        <f>(HYPERLINK("http://www.autodoc.ru/Web/price/art/5406ACL?analog=on","5406ACL"))*1</f>
        <v>#VALUE!</v>
      </c>
      <c r="B5186" s="1">
        <v>6963475</v>
      </c>
      <c r="C5186" t="s">
        <v>5389</v>
      </c>
      <c r="D5186" t="s">
        <v>5390</v>
      </c>
      <c r="E5186" t="s">
        <v>8</v>
      </c>
    </row>
    <row r="5187" spans="1:5" hidden="1" outlineLevel="2">
      <c r="A5187" s="3" t="e">
        <f>(HYPERLINK("http://www.autodoc.ru/Web/price/art/5406ASRV?analog=on","5406ASRV"))*1</f>
        <v>#VALUE!</v>
      </c>
      <c r="B5187" s="1">
        <v>6100494</v>
      </c>
      <c r="C5187" t="s">
        <v>19</v>
      </c>
      <c r="D5187" t="s">
        <v>5391</v>
      </c>
      <c r="E5187" t="s">
        <v>21</v>
      </c>
    </row>
    <row r="5188" spans="1:5" hidden="1" outlineLevel="1">
      <c r="A5188" s="2">
        <v>0</v>
      </c>
      <c r="B5188" s="26" t="s">
        <v>5392</v>
      </c>
      <c r="C5188" s="27">
        <v>0</v>
      </c>
      <c r="D5188" s="27">
        <v>0</v>
      </c>
      <c r="E5188" s="27">
        <v>0</v>
      </c>
    </row>
    <row r="5189" spans="1:5" hidden="1" outlineLevel="2">
      <c r="A5189" s="3" t="e">
        <f>(HYPERLINK("http://www.autodoc.ru/Web/price/art/5412ACL?analog=on","5412ACL"))*1</f>
        <v>#VALUE!</v>
      </c>
      <c r="B5189" s="1">
        <v>6963476</v>
      </c>
      <c r="C5189" t="s">
        <v>5389</v>
      </c>
      <c r="D5189" t="s">
        <v>5393</v>
      </c>
      <c r="E5189" t="s">
        <v>8</v>
      </c>
    </row>
    <row r="5190" spans="1:5" hidden="1" outlineLevel="2">
      <c r="A5190" s="3" t="e">
        <f>(HYPERLINK("http://www.autodoc.ru/Web/price/art/5412ASRV?analog=on","5412ASRV"))*1</f>
        <v>#VALUE!</v>
      </c>
      <c r="B5190" s="1">
        <v>6100495</v>
      </c>
      <c r="C5190" t="s">
        <v>19</v>
      </c>
      <c r="D5190" t="s">
        <v>5394</v>
      </c>
      <c r="E5190" t="s">
        <v>21</v>
      </c>
    </row>
    <row r="5191" spans="1:5" hidden="1" outlineLevel="1">
      <c r="A5191" s="2">
        <v>0</v>
      </c>
      <c r="B5191" s="26" t="s">
        <v>5395</v>
      </c>
      <c r="C5191" s="27">
        <v>0</v>
      </c>
      <c r="D5191" s="27">
        <v>0</v>
      </c>
      <c r="E5191" s="27">
        <v>0</v>
      </c>
    </row>
    <row r="5192" spans="1:5" hidden="1" outlineLevel="2">
      <c r="A5192" s="3" t="e">
        <f>(HYPERLINK("http://www.autodoc.ru/Web/price/art/5405ACL?analog=on","5405ACL"))*1</f>
        <v>#VALUE!</v>
      </c>
      <c r="B5192" s="1">
        <v>6963474</v>
      </c>
      <c r="C5192" t="s">
        <v>1456</v>
      </c>
      <c r="D5192" t="s">
        <v>5396</v>
      </c>
      <c r="E5192" t="s">
        <v>8</v>
      </c>
    </row>
    <row r="5193" spans="1:5" hidden="1" outlineLevel="1">
      <c r="A5193" s="2">
        <v>0</v>
      </c>
      <c r="B5193" s="26" t="s">
        <v>5397</v>
      </c>
      <c r="C5193" s="27">
        <v>0</v>
      </c>
      <c r="D5193" s="27">
        <v>0</v>
      </c>
      <c r="E5193" s="27">
        <v>0</v>
      </c>
    </row>
    <row r="5194" spans="1:5" hidden="1" outlineLevel="2">
      <c r="A5194" s="3" t="e">
        <f>(HYPERLINK("http://www.autodoc.ru/Web/price/art/5424ACL?analog=on","5424ACL"))*1</f>
        <v>#VALUE!</v>
      </c>
      <c r="B5194" s="1">
        <v>6969752</v>
      </c>
      <c r="C5194" t="s">
        <v>418</v>
      </c>
      <c r="D5194" t="s">
        <v>5398</v>
      </c>
      <c r="E5194" t="s">
        <v>8</v>
      </c>
    </row>
    <row r="5195" spans="1:5" hidden="1" outlineLevel="2">
      <c r="A5195" s="3" t="e">
        <f>(HYPERLINK("http://www.autodoc.ru/Web/price/art/5424AGNBL?analog=on","5424AGNBL"))*1</f>
        <v>#VALUE!</v>
      </c>
      <c r="B5195" s="1">
        <v>6963977</v>
      </c>
      <c r="C5195" t="s">
        <v>418</v>
      </c>
      <c r="D5195" t="s">
        <v>5399</v>
      </c>
      <c r="E5195" t="s">
        <v>8</v>
      </c>
    </row>
    <row r="5196" spans="1:5" hidden="1" outlineLevel="2">
      <c r="A5196" s="3" t="e">
        <f>(HYPERLINK("http://www.autodoc.ru/Web/price/art/5424ASRL?analog=on","5424ASRL"))*1</f>
        <v>#VALUE!</v>
      </c>
      <c r="B5196" s="1">
        <v>6100123</v>
      </c>
      <c r="C5196" t="s">
        <v>19</v>
      </c>
      <c r="D5196" t="s">
        <v>5400</v>
      </c>
      <c r="E5196" t="s">
        <v>21</v>
      </c>
    </row>
    <row r="5197" spans="1:5" hidden="1" outlineLevel="1">
      <c r="A5197" s="2">
        <v>0</v>
      </c>
      <c r="B5197" s="26" t="s">
        <v>5401</v>
      </c>
      <c r="C5197" s="27">
        <v>0</v>
      </c>
      <c r="D5197" s="27">
        <v>0</v>
      </c>
      <c r="E5197" s="27">
        <v>0</v>
      </c>
    </row>
    <row r="5198" spans="1:5" hidden="1" outlineLevel="2">
      <c r="A5198" s="3" t="e">
        <f>(HYPERLINK("http://www.autodoc.ru/Web/price/art/5422ACL?analog=on","5422ACL"))*1</f>
        <v>#VALUE!</v>
      </c>
      <c r="B5198" s="1">
        <v>6969753</v>
      </c>
      <c r="C5198" t="s">
        <v>4777</v>
      </c>
      <c r="D5198" t="s">
        <v>5402</v>
      </c>
      <c r="E5198" t="s">
        <v>8</v>
      </c>
    </row>
    <row r="5199" spans="1:5" hidden="1" outlineLevel="2">
      <c r="A5199" s="3" t="e">
        <f>(HYPERLINK("http://www.autodoc.ru/Web/price/art/5422AGNGN?analog=on","5422AGNGN"))*1</f>
        <v>#VALUE!</v>
      </c>
      <c r="B5199" s="1">
        <v>6969754</v>
      </c>
      <c r="C5199" t="s">
        <v>4777</v>
      </c>
      <c r="D5199" t="s">
        <v>5403</v>
      </c>
      <c r="E5199" t="s">
        <v>8</v>
      </c>
    </row>
    <row r="5200" spans="1:5" hidden="1" outlineLevel="2">
      <c r="A5200" s="3" t="e">
        <f>(HYPERLINK("http://www.autodoc.ru/Web/price/art/5422ASRL?analog=on","5422ASRL"))*1</f>
        <v>#VALUE!</v>
      </c>
      <c r="B5200" s="1">
        <v>6100122</v>
      </c>
      <c r="C5200" t="s">
        <v>19</v>
      </c>
      <c r="D5200" t="s">
        <v>5404</v>
      </c>
      <c r="E5200" t="s">
        <v>21</v>
      </c>
    </row>
    <row r="5201" spans="1:5" hidden="1" outlineLevel="2">
      <c r="A5201" s="3" t="e">
        <f>(HYPERLINK("http://www.autodoc.ru/Web/price/art/5422FCLV2FD?analog=on","5422FCLV2FD"))*1</f>
        <v>#VALUE!</v>
      </c>
      <c r="B5201" s="1">
        <v>6996782</v>
      </c>
      <c r="C5201" t="s">
        <v>4777</v>
      </c>
      <c r="D5201" t="s">
        <v>5405</v>
      </c>
      <c r="E5201" t="s">
        <v>10</v>
      </c>
    </row>
    <row r="5202" spans="1:5" hidden="1" outlineLevel="1">
      <c r="A5202" s="2">
        <v>0</v>
      </c>
      <c r="B5202" s="26" t="s">
        <v>5406</v>
      </c>
      <c r="C5202" s="27">
        <v>0</v>
      </c>
      <c r="D5202" s="27">
        <v>0</v>
      </c>
      <c r="E5202" s="27">
        <v>0</v>
      </c>
    </row>
    <row r="5203" spans="1:5" hidden="1" outlineLevel="2">
      <c r="A5203" s="3" t="e">
        <f>(HYPERLINK("http://www.autodoc.ru/Web/price/art/5429ACL?analog=on","5429ACL"))*1</f>
        <v>#VALUE!</v>
      </c>
      <c r="B5203" s="1">
        <v>6963791</v>
      </c>
      <c r="C5203" t="s">
        <v>1007</v>
      </c>
      <c r="D5203" t="s">
        <v>5407</v>
      </c>
      <c r="E5203" t="s">
        <v>8</v>
      </c>
    </row>
    <row r="5204" spans="1:5" hidden="1" outlineLevel="2">
      <c r="A5204" s="3" t="e">
        <f>(HYPERLINK("http://www.autodoc.ru/Web/price/art/5429AGN?analog=on","5429AGN"))*1</f>
        <v>#VALUE!</v>
      </c>
      <c r="B5204" s="1">
        <v>6963792</v>
      </c>
      <c r="C5204" t="s">
        <v>1007</v>
      </c>
      <c r="D5204" t="s">
        <v>5408</v>
      </c>
      <c r="E5204" t="s">
        <v>8</v>
      </c>
    </row>
    <row r="5205" spans="1:5" hidden="1" outlineLevel="2">
      <c r="A5205" s="3" t="e">
        <f>(HYPERLINK("http://www.autodoc.ru/Web/price/art/5429AGNGN?analog=on","5429AGNGN"))*1</f>
        <v>#VALUE!</v>
      </c>
      <c r="B5205" s="1">
        <v>6963793</v>
      </c>
      <c r="C5205" t="s">
        <v>1007</v>
      </c>
      <c r="D5205" t="s">
        <v>5409</v>
      </c>
      <c r="E5205" t="s">
        <v>8</v>
      </c>
    </row>
    <row r="5206" spans="1:5" hidden="1" outlineLevel="2">
      <c r="A5206" s="3" t="e">
        <f>(HYPERLINK("http://www.autodoc.ru/Web/price/art/5429ASRL?analog=on","5429ASRL"))*1</f>
        <v>#VALUE!</v>
      </c>
      <c r="B5206" s="1">
        <v>6100498</v>
      </c>
      <c r="C5206" t="s">
        <v>19</v>
      </c>
      <c r="D5206" t="s">
        <v>5410</v>
      </c>
      <c r="E5206" t="s">
        <v>21</v>
      </c>
    </row>
    <row r="5207" spans="1:5" hidden="1" outlineLevel="2">
      <c r="A5207" s="3" t="e">
        <f>(HYPERLINK("http://www.autodoc.ru/Web/price/art/5429LCLL2FD?analog=on","5429LCLL2FD"))*1</f>
        <v>#VALUE!</v>
      </c>
      <c r="B5207" s="1">
        <v>6996242</v>
      </c>
      <c r="C5207" t="s">
        <v>1007</v>
      </c>
      <c r="D5207" t="s">
        <v>5411</v>
      </c>
      <c r="E5207" t="s">
        <v>10</v>
      </c>
    </row>
    <row r="5208" spans="1:5" hidden="1" outlineLevel="2">
      <c r="A5208" s="3" t="e">
        <f>(HYPERLINK("http://www.autodoc.ru/Web/price/art/5429LGNL2FD?analog=on","5429LGNL2FD"))*1</f>
        <v>#VALUE!</v>
      </c>
      <c r="B5208" s="1">
        <v>6993673</v>
      </c>
      <c r="C5208" t="s">
        <v>1007</v>
      </c>
      <c r="D5208" t="s">
        <v>5412</v>
      </c>
      <c r="E5208" t="s">
        <v>10</v>
      </c>
    </row>
    <row r="5209" spans="1:5" hidden="1" outlineLevel="2">
      <c r="A5209" s="3" t="e">
        <f>(HYPERLINK("http://www.autodoc.ru/Web/price/art/5429RCLL2FD?analog=on","5429RCLL2FD"))*1</f>
        <v>#VALUE!</v>
      </c>
      <c r="B5209" s="1">
        <v>6996243</v>
      </c>
      <c r="C5209" t="s">
        <v>1007</v>
      </c>
      <c r="D5209" t="s">
        <v>5413</v>
      </c>
      <c r="E5209" t="s">
        <v>10</v>
      </c>
    </row>
    <row r="5210" spans="1:5" hidden="1" outlineLevel="2">
      <c r="A5210" s="3" t="e">
        <f>(HYPERLINK("http://www.autodoc.ru/Web/price/art/5429RGNL2FD?analog=on","5429RGNL2FD"))*1</f>
        <v>#VALUE!</v>
      </c>
      <c r="B5210" s="1">
        <v>6993674</v>
      </c>
      <c r="C5210" t="s">
        <v>1007</v>
      </c>
      <c r="D5210" t="s">
        <v>5414</v>
      </c>
      <c r="E5210" t="s">
        <v>10</v>
      </c>
    </row>
    <row r="5211" spans="1:5" hidden="1" outlineLevel="2">
      <c r="A5211" s="3" t="e">
        <f>(HYPERLINK("http://www.autodoc.ru/Web/price/art/5429RGNL2FDW?analog=on","5429RGNL2FDW"))*1</f>
        <v>#VALUE!</v>
      </c>
      <c r="B5211" s="1">
        <v>6996245</v>
      </c>
      <c r="C5211" t="s">
        <v>1007</v>
      </c>
      <c r="D5211" t="s">
        <v>5415</v>
      </c>
      <c r="E5211" t="s">
        <v>10</v>
      </c>
    </row>
    <row r="5212" spans="1:5" hidden="1" outlineLevel="1">
      <c r="A5212" s="2">
        <v>0</v>
      </c>
      <c r="B5212" s="26" t="s">
        <v>5416</v>
      </c>
      <c r="C5212" s="27">
        <v>0</v>
      </c>
      <c r="D5212" s="27">
        <v>0</v>
      </c>
      <c r="E5212" s="27">
        <v>0</v>
      </c>
    </row>
    <row r="5213" spans="1:5" hidden="1" outlineLevel="2">
      <c r="A5213" s="3" t="e">
        <f>(HYPERLINK("http://www.autodoc.ru/Web/price/art/5430ACL?analog=on","5430ACL"))*1</f>
        <v>#VALUE!</v>
      </c>
      <c r="B5213" s="1">
        <v>6960918</v>
      </c>
      <c r="C5213" t="s">
        <v>1721</v>
      </c>
      <c r="D5213" t="s">
        <v>5417</v>
      </c>
      <c r="E5213" t="s">
        <v>8</v>
      </c>
    </row>
    <row r="5214" spans="1:5" hidden="1" outlineLevel="2">
      <c r="A5214" s="3" t="e">
        <f>(HYPERLINK("http://www.autodoc.ru/Web/price/art/5430AGN?analog=on","5430AGN"))*1</f>
        <v>#VALUE!</v>
      </c>
      <c r="B5214" s="1">
        <v>6962367</v>
      </c>
      <c r="C5214" t="s">
        <v>1721</v>
      </c>
      <c r="D5214" t="s">
        <v>5418</v>
      </c>
      <c r="E5214" t="s">
        <v>8</v>
      </c>
    </row>
    <row r="5215" spans="1:5" hidden="1" outlineLevel="2">
      <c r="A5215" s="3" t="e">
        <f>(HYPERLINK("http://www.autodoc.ru/Web/price/art/5430ACL1A?analog=on","5430ACL1A"))*1</f>
        <v>#VALUE!</v>
      </c>
      <c r="B5215" s="1">
        <v>6963274</v>
      </c>
      <c r="C5215" t="s">
        <v>1721</v>
      </c>
      <c r="D5215" t="s">
        <v>5417</v>
      </c>
      <c r="E5215" t="s">
        <v>8</v>
      </c>
    </row>
    <row r="5216" spans="1:5" hidden="1" outlineLevel="2">
      <c r="A5216" s="3" t="e">
        <f>(HYPERLINK("http://www.autodoc.ru/Web/price/art/5430AGN1A?analog=on","5430AGN1A"))*1</f>
        <v>#VALUE!</v>
      </c>
      <c r="B5216" s="1">
        <v>6963275</v>
      </c>
      <c r="C5216" t="s">
        <v>1721</v>
      </c>
      <c r="D5216" t="s">
        <v>5419</v>
      </c>
      <c r="E5216" t="s">
        <v>8</v>
      </c>
    </row>
    <row r="5217" spans="1:5" hidden="1" outlineLevel="2">
      <c r="A5217" s="3" t="e">
        <f>(HYPERLINK("http://www.autodoc.ru/Web/price/art/5430AGNGN1A?analog=on","5430AGNGN1A"))*1</f>
        <v>#VALUE!</v>
      </c>
      <c r="B5217" s="1">
        <v>6961047</v>
      </c>
      <c r="C5217" t="s">
        <v>779</v>
      </c>
      <c r="D5217" t="s">
        <v>5420</v>
      </c>
      <c r="E5217" t="s">
        <v>8</v>
      </c>
    </row>
    <row r="5218" spans="1:5" hidden="1" outlineLevel="2">
      <c r="A5218" s="3" t="e">
        <f>(HYPERLINK("http://www.autodoc.ru/Web/price/art/5430AKML?analog=on","5430AKML"))*1</f>
        <v>#VALUE!</v>
      </c>
      <c r="B5218" s="1">
        <v>6100616</v>
      </c>
      <c r="C5218" t="s">
        <v>19</v>
      </c>
      <c r="D5218" t="s">
        <v>5421</v>
      </c>
      <c r="E5218" t="s">
        <v>21</v>
      </c>
    </row>
    <row r="5219" spans="1:5" hidden="1" outlineLevel="2">
      <c r="A5219" s="3" t="e">
        <f>(HYPERLINK("http://www.autodoc.ru/Web/price/art/5430ASML?analog=on","5430ASML"))*1</f>
        <v>#VALUE!</v>
      </c>
      <c r="B5219" s="1">
        <v>6102322</v>
      </c>
      <c r="C5219" t="s">
        <v>19</v>
      </c>
      <c r="D5219" t="s">
        <v>5422</v>
      </c>
      <c r="E5219" t="s">
        <v>21</v>
      </c>
    </row>
    <row r="5220" spans="1:5" hidden="1" outlineLevel="2">
      <c r="A5220" s="3" t="e">
        <f>(HYPERLINK("http://www.autodoc.ru/Web/price/art/5430LCLL2FD?analog=on","5430LCLL2FD"))*1</f>
        <v>#VALUE!</v>
      </c>
      <c r="B5220" s="1">
        <v>6980203</v>
      </c>
      <c r="C5220" t="s">
        <v>1721</v>
      </c>
      <c r="D5220" t="s">
        <v>5423</v>
      </c>
      <c r="E5220" t="s">
        <v>10</v>
      </c>
    </row>
    <row r="5221" spans="1:5" hidden="1" outlineLevel="2">
      <c r="A5221" s="3" t="e">
        <f>(HYPERLINK("http://www.autodoc.ru/Web/price/art/5430LGNL2FD?analog=on","5430LGNL2FD"))*1</f>
        <v>#VALUE!</v>
      </c>
      <c r="B5221" s="1">
        <v>6980204</v>
      </c>
      <c r="C5221" t="s">
        <v>1721</v>
      </c>
      <c r="D5221" t="s">
        <v>5424</v>
      </c>
      <c r="E5221" t="s">
        <v>10</v>
      </c>
    </row>
    <row r="5222" spans="1:5" hidden="1" outlineLevel="2">
      <c r="A5222" s="3" t="e">
        <f>(HYPERLINK("http://www.autodoc.ru/Web/price/art/5430RCLL2FD?analog=on","5430RCLL2FD"))*1</f>
        <v>#VALUE!</v>
      </c>
      <c r="B5222" s="1">
        <v>6980205</v>
      </c>
      <c r="C5222" t="s">
        <v>1721</v>
      </c>
      <c r="D5222" t="s">
        <v>5425</v>
      </c>
      <c r="E5222" t="s">
        <v>10</v>
      </c>
    </row>
    <row r="5223" spans="1:5" hidden="1" outlineLevel="2">
      <c r="A5223" s="3" t="e">
        <f>(HYPERLINK("http://www.autodoc.ru/Web/price/art/5430RGNL2FD?analog=on","5430RGNL2FD"))*1</f>
        <v>#VALUE!</v>
      </c>
      <c r="B5223" s="1">
        <v>6980206</v>
      </c>
      <c r="C5223" t="s">
        <v>1721</v>
      </c>
      <c r="D5223" t="s">
        <v>5426</v>
      </c>
      <c r="E5223" t="s">
        <v>10</v>
      </c>
    </row>
    <row r="5224" spans="1:5" hidden="1" outlineLevel="1">
      <c r="A5224" s="2">
        <v>0</v>
      </c>
      <c r="B5224" s="26" t="s">
        <v>5427</v>
      </c>
      <c r="C5224" s="27">
        <v>0</v>
      </c>
      <c r="D5224" s="27">
        <v>0</v>
      </c>
      <c r="E5224" s="27">
        <v>0</v>
      </c>
    </row>
    <row r="5225" spans="1:5" hidden="1" outlineLevel="2">
      <c r="A5225" s="3" t="e">
        <f>(HYPERLINK("http://www.autodoc.ru/Web/price/art/5423ACL?analog=on","5423ACL"))*1</f>
        <v>#VALUE!</v>
      </c>
      <c r="B5225" s="1">
        <v>6969990</v>
      </c>
      <c r="C5225" t="s">
        <v>2326</v>
      </c>
      <c r="D5225" t="s">
        <v>5428</v>
      </c>
      <c r="E5225" t="s">
        <v>8</v>
      </c>
    </row>
    <row r="5226" spans="1:5" hidden="1" outlineLevel="2">
      <c r="A5226" s="3" t="e">
        <f>(HYPERLINK("http://www.autodoc.ru/Web/price/art/5423AGNGN?analog=on","5423AGNGN"))*1</f>
        <v>#VALUE!</v>
      </c>
      <c r="B5226" s="1">
        <v>6969991</v>
      </c>
      <c r="C5226" t="s">
        <v>2326</v>
      </c>
      <c r="D5226" t="s">
        <v>5429</v>
      </c>
      <c r="E5226" t="s">
        <v>8</v>
      </c>
    </row>
    <row r="5227" spans="1:5" hidden="1" outlineLevel="2">
      <c r="A5227" s="3" t="e">
        <f>(HYPERLINK("http://www.autodoc.ru/Web/price/art/5423LCLV2FD?analog=on","5423LCLV2FD"))*1</f>
        <v>#VALUE!</v>
      </c>
      <c r="B5227" s="1">
        <v>6994486</v>
      </c>
      <c r="C5227" t="s">
        <v>2326</v>
      </c>
      <c r="D5227" t="s">
        <v>5430</v>
      </c>
      <c r="E5227" t="s">
        <v>10</v>
      </c>
    </row>
    <row r="5228" spans="1:5" hidden="1" outlineLevel="2">
      <c r="A5228" s="3" t="e">
        <f>(HYPERLINK("http://www.autodoc.ru/Web/price/art/5423RCLV2FD?analog=on","5423RCLV2FD"))*1</f>
        <v>#VALUE!</v>
      </c>
      <c r="B5228" s="1">
        <v>6994487</v>
      </c>
      <c r="C5228" t="s">
        <v>2326</v>
      </c>
      <c r="D5228" t="s">
        <v>5431</v>
      </c>
      <c r="E5228" t="s">
        <v>10</v>
      </c>
    </row>
    <row r="5229" spans="1:5" hidden="1" outlineLevel="1">
      <c r="A5229" s="2">
        <v>0</v>
      </c>
      <c r="B5229" s="26" t="s">
        <v>5432</v>
      </c>
      <c r="C5229" s="27">
        <v>0</v>
      </c>
      <c r="D5229" s="27">
        <v>0</v>
      </c>
      <c r="E5229" s="27">
        <v>0</v>
      </c>
    </row>
    <row r="5230" spans="1:5" hidden="1" outlineLevel="2">
      <c r="A5230" s="3" t="e">
        <f>(HYPERLINK("http://www.autodoc.ru/Web/price/art/5425ACL?analog=on","5425ACL"))*1</f>
        <v>#VALUE!</v>
      </c>
      <c r="B5230" s="1">
        <v>6969995</v>
      </c>
      <c r="C5230" t="s">
        <v>5433</v>
      </c>
      <c r="D5230" t="s">
        <v>5434</v>
      </c>
      <c r="E5230" t="s">
        <v>8</v>
      </c>
    </row>
    <row r="5231" spans="1:5" hidden="1" outlineLevel="2">
      <c r="A5231" s="3" t="e">
        <f>(HYPERLINK("http://www.autodoc.ru/Web/price/art/5425ASRL?analog=on","5425ASRL"))*1</f>
        <v>#VALUE!</v>
      </c>
      <c r="B5231" s="1">
        <v>6100124</v>
      </c>
      <c r="C5231" t="s">
        <v>19</v>
      </c>
      <c r="D5231" t="s">
        <v>5435</v>
      </c>
      <c r="E5231" t="s">
        <v>21</v>
      </c>
    </row>
    <row r="5232" spans="1:5" hidden="1" outlineLevel="1">
      <c r="A5232" s="2">
        <v>0</v>
      </c>
      <c r="B5232" s="26" t="s">
        <v>5436</v>
      </c>
      <c r="C5232" s="27">
        <v>0</v>
      </c>
      <c r="D5232" s="27">
        <v>0</v>
      </c>
      <c r="E5232" s="27">
        <v>0</v>
      </c>
    </row>
    <row r="5233" spans="1:5" hidden="1" outlineLevel="2">
      <c r="A5233" s="3" t="e">
        <f>(HYPERLINK("http://www.autodoc.ru/Web/price/art/5427ACL?analog=on","5427ACL"))*1</f>
        <v>#VALUE!</v>
      </c>
      <c r="B5233" s="1">
        <v>6969766</v>
      </c>
      <c r="C5233" t="s">
        <v>1471</v>
      </c>
      <c r="D5233" t="s">
        <v>5437</v>
      </c>
      <c r="E5233" t="s">
        <v>8</v>
      </c>
    </row>
    <row r="5234" spans="1:5" hidden="1" outlineLevel="2">
      <c r="A5234" s="3" t="e">
        <f>(HYPERLINK("http://www.autodoc.ru/Web/price/art/5427ACL1C?analog=on","5427ACL1C"))*1</f>
        <v>#VALUE!</v>
      </c>
      <c r="B5234" s="1">
        <v>6969767</v>
      </c>
      <c r="C5234" t="s">
        <v>1471</v>
      </c>
      <c r="D5234" t="s">
        <v>5438</v>
      </c>
      <c r="E5234" t="s">
        <v>8</v>
      </c>
    </row>
    <row r="5235" spans="1:5" hidden="1" outlineLevel="2">
      <c r="A5235" s="3" t="e">
        <f>(HYPERLINK("http://www.autodoc.ru/Web/price/art/5427AGN?analog=on","5427AGN"))*1</f>
        <v>#VALUE!</v>
      </c>
      <c r="B5235" s="1">
        <v>6969768</v>
      </c>
      <c r="C5235" t="s">
        <v>1471</v>
      </c>
      <c r="D5235" t="s">
        <v>5439</v>
      </c>
      <c r="E5235" t="s">
        <v>8</v>
      </c>
    </row>
    <row r="5236" spans="1:5" hidden="1" outlineLevel="2">
      <c r="A5236" s="3" t="e">
        <f>(HYPERLINK("http://www.autodoc.ru/Web/price/art/5427AGN1C?analog=on","5427AGN1C"))*1</f>
        <v>#VALUE!</v>
      </c>
      <c r="B5236" s="1">
        <v>6969769</v>
      </c>
      <c r="C5236" t="s">
        <v>1471</v>
      </c>
      <c r="D5236" t="s">
        <v>5440</v>
      </c>
      <c r="E5236" t="s">
        <v>8</v>
      </c>
    </row>
    <row r="5237" spans="1:5" hidden="1" outlineLevel="2">
      <c r="A5237" s="3" t="e">
        <f>(HYPERLINK("http://www.autodoc.ru/Web/price/art/5427AGNGN?analog=on","5427AGNGN"))*1</f>
        <v>#VALUE!</v>
      </c>
      <c r="B5237" s="1">
        <v>6969770</v>
      </c>
      <c r="C5237" t="s">
        <v>1471</v>
      </c>
      <c r="D5237" t="s">
        <v>5441</v>
      </c>
      <c r="E5237" t="s">
        <v>8</v>
      </c>
    </row>
    <row r="5238" spans="1:5" hidden="1" outlineLevel="2">
      <c r="A5238" s="3" t="e">
        <f>(HYPERLINK("http://www.autodoc.ru/Web/price/art/5427AGNGN1C?analog=on","5427AGNGN1C"))*1</f>
        <v>#VALUE!</v>
      </c>
      <c r="B5238" s="1">
        <v>6969771</v>
      </c>
      <c r="C5238" t="s">
        <v>1471</v>
      </c>
      <c r="D5238" t="s">
        <v>5442</v>
      </c>
      <c r="E5238" t="s">
        <v>8</v>
      </c>
    </row>
    <row r="5239" spans="1:5" hidden="1" outlineLevel="2">
      <c r="A5239" s="3" t="e">
        <f>(HYPERLINK("http://www.autodoc.ru/Web/price/art/5427ASMV?analog=on","5427ASMV"))*1</f>
        <v>#VALUE!</v>
      </c>
      <c r="B5239" s="1">
        <v>6100126</v>
      </c>
      <c r="C5239" t="s">
        <v>19</v>
      </c>
      <c r="D5239" t="s">
        <v>5443</v>
      </c>
      <c r="E5239" t="s">
        <v>21</v>
      </c>
    </row>
    <row r="5240" spans="1:5" hidden="1" outlineLevel="2">
      <c r="A5240" s="3" t="e">
        <f>(HYPERLINK("http://www.autodoc.ru/Web/price/art/5427BCLVL?analog=on","5427BCLVL"))*1</f>
        <v>#VALUE!</v>
      </c>
      <c r="B5240" s="1">
        <v>6190278</v>
      </c>
      <c r="C5240" t="s">
        <v>1471</v>
      </c>
      <c r="D5240" t="s">
        <v>5444</v>
      </c>
      <c r="E5240" t="s">
        <v>23</v>
      </c>
    </row>
    <row r="5241" spans="1:5" hidden="1" outlineLevel="2">
      <c r="A5241" s="3" t="e">
        <f>(HYPERLINK("http://www.autodoc.ru/Web/price/art/5427BCLVR?analog=on","5427BCLVR"))*1</f>
        <v>#VALUE!</v>
      </c>
      <c r="B5241" s="1">
        <v>6190280</v>
      </c>
      <c r="C5241" t="s">
        <v>1471</v>
      </c>
      <c r="D5241" t="s">
        <v>5445</v>
      </c>
      <c r="E5241" t="s">
        <v>23</v>
      </c>
    </row>
    <row r="5242" spans="1:5" hidden="1" outlineLevel="2">
      <c r="A5242" s="3" t="e">
        <f>(HYPERLINK("http://www.autodoc.ru/Web/price/art/5427BCLVRU?analog=on","5427BCLVRU"))*1</f>
        <v>#VALUE!</v>
      </c>
      <c r="B5242" s="1">
        <v>6190281</v>
      </c>
      <c r="C5242" t="s">
        <v>1471</v>
      </c>
      <c r="D5242" t="s">
        <v>5446</v>
      </c>
      <c r="E5242" t="s">
        <v>23</v>
      </c>
    </row>
    <row r="5243" spans="1:5" hidden="1" outlineLevel="2">
      <c r="A5243" s="3" t="e">
        <f>(HYPERLINK("http://www.autodoc.ru/Web/price/art/5427BGNVL?analog=on","5427BGNVL"))*1</f>
        <v>#VALUE!</v>
      </c>
      <c r="B5243" s="1">
        <v>6190282</v>
      </c>
      <c r="C5243" t="s">
        <v>1471</v>
      </c>
      <c r="D5243" t="s">
        <v>5447</v>
      </c>
      <c r="E5243" t="s">
        <v>23</v>
      </c>
    </row>
    <row r="5244" spans="1:5" hidden="1" outlineLevel="2">
      <c r="A5244" s="3" t="e">
        <f>(HYPERLINK("http://www.autodoc.ru/Web/price/art/5427BGNVR?analog=on","5427BGNVR"))*1</f>
        <v>#VALUE!</v>
      </c>
      <c r="B5244" s="1">
        <v>6190284</v>
      </c>
      <c r="C5244" t="s">
        <v>1471</v>
      </c>
      <c r="D5244" t="s">
        <v>5448</v>
      </c>
      <c r="E5244" t="s">
        <v>23</v>
      </c>
    </row>
    <row r="5245" spans="1:5" hidden="1" outlineLevel="2">
      <c r="A5245" s="3" t="e">
        <f>(HYPERLINK("http://www.autodoc.ru/Web/price/art/5427FCLV2RQ?analog=on","5427FCLV2RQ"))*1</f>
        <v>#VALUE!</v>
      </c>
      <c r="B5245" s="1">
        <v>6190285</v>
      </c>
      <c r="C5245" t="s">
        <v>1471</v>
      </c>
      <c r="D5245" t="s">
        <v>5449</v>
      </c>
      <c r="E5245" t="s">
        <v>10</v>
      </c>
    </row>
    <row r="5246" spans="1:5" hidden="1" outlineLevel="2">
      <c r="A5246" s="3" t="e">
        <f>(HYPERLINK("http://www.autodoc.ru/Web/price/art/5427LCLV2FD?analog=on","5427LCLV2FD"))*1</f>
        <v>#VALUE!</v>
      </c>
      <c r="B5246" s="1">
        <v>6190286</v>
      </c>
      <c r="C5246" t="s">
        <v>1471</v>
      </c>
      <c r="D5246" t="s">
        <v>5450</v>
      </c>
      <c r="E5246" t="s">
        <v>10</v>
      </c>
    </row>
    <row r="5247" spans="1:5" hidden="1" outlineLevel="2">
      <c r="A5247" s="3" t="e">
        <f>(HYPERLINK("http://www.autodoc.ru/Web/price/art/5427LCLV2FV?analog=on","5427LCLV2FV"))*1</f>
        <v>#VALUE!</v>
      </c>
      <c r="B5247" s="1">
        <v>6190287</v>
      </c>
      <c r="C5247" t="s">
        <v>1471</v>
      </c>
      <c r="D5247" t="s">
        <v>5451</v>
      </c>
      <c r="E5247" t="s">
        <v>10</v>
      </c>
    </row>
    <row r="5248" spans="1:5" hidden="1" outlineLevel="2">
      <c r="A5248" s="3" t="e">
        <f>(HYPERLINK("http://www.autodoc.ru/Web/price/art/5427LGNV2FD?analog=on","5427LGNV2FD"))*1</f>
        <v>#VALUE!</v>
      </c>
      <c r="B5248" s="1">
        <v>6190288</v>
      </c>
      <c r="C5248" t="s">
        <v>1471</v>
      </c>
      <c r="D5248" t="s">
        <v>5452</v>
      </c>
      <c r="E5248" t="s">
        <v>10</v>
      </c>
    </row>
    <row r="5249" spans="1:5" hidden="1" outlineLevel="2">
      <c r="A5249" s="3" t="e">
        <f>(HYPERLINK("http://www.autodoc.ru/Web/price/art/5427LGNV2FV?analog=on","5427LGNV2FV"))*1</f>
        <v>#VALUE!</v>
      </c>
      <c r="B5249" s="1">
        <v>6190289</v>
      </c>
      <c r="C5249" t="s">
        <v>1471</v>
      </c>
      <c r="D5249" t="s">
        <v>5453</v>
      </c>
      <c r="E5249" t="s">
        <v>10</v>
      </c>
    </row>
    <row r="5250" spans="1:5" hidden="1" outlineLevel="2">
      <c r="A5250" s="3" t="e">
        <f>(HYPERLINK("http://www.autodoc.ru/Web/price/art/5427RCLV2FD?analog=on","5427RCLV2FD"))*1</f>
        <v>#VALUE!</v>
      </c>
      <c r="B5250" s="1">
        <v>6190290</v>
      </c>
      <c r="C5250" t="s">
        <v>1471</v>
      </c>
      <c r="D5250" t="s">
        <v>5454</v>
      </c>
      <c r="E5250" t="s">
        <v>10</v>
      </c>
    </row>
    <row r="5251" spans="1:5" hidden="1" outlineLevel="2">
      <c r="A5251" s="3" t="e">
        <f>(HYPERLINK("http://www.autodoc.ru/Web/price/art/5427RCLV2FV?analog=on","5427RCLV2FV"))*1</f>
        <v>#VALUE!</v>
      </c>
      <c r="B5251" s="1">
        <v>6190291</v>
      </c>
      <c r="C5251" t="s">
        <v>1471</v>
      </c>
      <c r="D5251" t="s">
        <v>5455</v>
      </c>
      <c r="E5251" t="s">
        <v>10</v>
      </c>
    </row>
    <row r="5252" spans="1:5" hidden="1" outlineLevel="2">
      <c r="A5252" s="3" t="e">
        <f>(HYPERLINK("http://www.autodoc.ru/Web/price/art/5427RGNV2FD?analog=on","5427RGNV2FD"))*1</f>
        <v>#VALUE!</v>
      </c>
      <c r="B5252" s="1">
        <v>6190292</v>
      </c>
      <c r="C5252" t="s">
        <v>1471</v>
      </c>
      <c r="D5252" t="s">
        <v>5456</v>
      </c>
      <c r="E5252" t="s">
        <v>10</v>
      </c>
    </row>
    <row r="5253" spans="1:5" hidden="1" outlineLevel="2">
      <c r="A5253" s="3" t="e">
        <f>(HYPERLINK("http://www.autodoc.ru/Web/price/art/5427RGNV2FV?analog=on","5427RGNV2FV"))*1</f>
        <v>#VALUE!</v>
      </c>
      <c r="B5253" s="1">
        <v>6190293</v>
      </c>
      <c r="C5253" t="s">
        <v>1471</v>
      </c>
      <c r="D5253" t="s">
        <v>5457</v>
      </c>
      <c r="E5253" t="s">
        <v>10</v>
      </c>
    </row>
    <row r="5254" spans="1:5" hidden="1" outlineLevel="1">
      <c r="A5254" s="2">
        <v>0</v>
      </c>
      <c r="B5254" s="26" t="s">
        <v>5458</v>
      </c>
      <c r="C5254" s="27">
        <v>0</v>
      </c>
      <c r="D5254" s="27">
        <v>0</v>
      </c>
      <c r="E5254" s="27">
        <v>0</v>
      </c>
    </row>
    <row r="5255" spans="1:5" hidden="1" outlineLevel="2">
      <c r="A5255" s="3" t="e">
        <f>(HYPERLINK("http://www.autodoc.ru/Web/price/art/5426ACL?analog=on","5426ACL"))*1</f>
        <v>#VALUE!</v>
      </c>
      <c r="B5255" s="1">
        <v>6969760</v>
      </c>
      <c r="C5255" t="s">
        <v>1471</v>
      </c>
      <c r="D5255" t="s">
        <v>5459</v>
      </c>
      <c r="E5255" t="s">
        <v>8</v>
      </c>
    </row>
    <row r="5256" spans="1:5" hidden="1" outlineLevel="2">
      <c r="A5256" s="3" t="e">
        <f>(HYPERLINK("http://www.autodoc.ru/Web/price/art/5426ACL1C?analog=on","5426ACL1C"))*1</f>
        <v>#VALUE!</v>
      </c>
      <c r="B5256" s="1">
        <v>6969761</v>
      </c>
      <c r="C5256" t="s">
        <v>1471</v>
      </c>
      <c r="D5256" t="s">
        <v>5460</v>
      </c>
      <c r="E5256" t="s">
        <v>8</v>
      </c>
    </row>
    <row r="5257" spans="1:5" hidden="1" outlineLevel="2">
      <c r="A5257" s="3" t="e">
        <f>(HYPERLINK("http://www.autodoc.ru/Web/price/art/5426AGN?analog=on","5426AGN"))*1</f>
        <v>#VALUE!</v>
      </c>
      <c r="B5257" s="1">
        <v>6969762</v>
      </c>
      <c r="C5257" t="s">
        <v>1471</v>
      </c>
      <c r="D5257" t="s">
        <v>5461</v>
      </c>
      <c r="E5257" t="s">
        <v>8</v>
      </c>
    </row>
    <row r="5258" spans="1:5" hidden="1" outlineLevel="2">
      <c r="A5258" s="3" t="e">
        <f>(HYPERLINK("http://www.autodoc.ru/Web/price/art/5426AGN1C?analog=on","5426AGN1C"))*1</f>
        <v>#VALUE!</v>
      </c>
      <c r="B5258" s="1">
        <v>6969763</v>
      </c>
      <c r="C5258" t="s">
        <v>1471</v>
      </c>
      <c r="D5258" t="s">
        <v>5462</v>
      </c>
      <c r="E5258" t="s">
        <v>8</v>
      </c>
    </row>
    <row r="5259" spans="1:5" hidden="1" outlineLevel="2">
      <c r="A5259" s="3" t="e">
        <f>(HYPERLINK("http://www.autodoc.ru/Web/price/art/5426AGNGN?analog=on","5426AGNGN"))*1</f>
        <v>#VALUE!</v>
      </c>
      <c r="B5259" s="1">
        <v>6969764</v>
      </c>
      <c r="C5259" t="s">
        <v>1471</v>
      </c>
      <c r="D5259" t="s">
        <v>5463</v>
      </c>
      <c r="E5259" t="s">
        <v>8</v>
      </c>
    </row>
    <row r="5260" spans="1:5" hidden="1" outlineLevel="2">
      <c r="A5260" s="3" t="e">
        <f>(HYPERLINK("http://www.autodoc.ru/Web/price/art/5426AGNGN1C?analog=on","5426AGNGN1C"))*1</f>
        <v>#VALUE!</v>
      </c>
      <c r="B5260" s="1">
        <v>6969765</v>
      </c>
      <c r="C5260" t="s">
        <v>1471</v>
      </c>
      <c r="D5260" t="s">
        <v>5464</v>
      </c>
      <c r="E5260" t="s">
        <v>8</v>
      </c>
    </row>
    <row r="5261" spans="1:5" hidden="1" outlineLevel="2">
      <c r="A5261" s="3" t="e">
        <f>(HYPERLINK("http://www.autodoc.ru/Web/price/art/5426ASMV?analog=on","5426ASMV"))*1</f>
        <v>#VALUE!</v>
      </c>
      <c r="B5261" s="1">
        <v>6100125</v>
      </c>
      <c r="C5261" t="s">
        <v>19</v>
      </c>
      <c r="D5261" t="s">
        <v>5465</v>
      </c>
      <c r="E5261" t="s">
        <v>21</v>
      </c>
    </row>
    <row r="5262" spans="1:5" hidden="1" outlineLevel="2">
      <c r="A5262" s="3" t="e">
        <f>(HYPERLINK("http://www.autodoc.ru/Web/price/art/5426BCLVL?analog=on","5426BCLVL"))*1</f>
        <v>#VALUE!</v>
      </c>
      <c r="B5262" s="1">
        <v>6980043</v>
      </c>
      <c r="C5262" t="s">
        <v>1471</v>
      </c>
      <c r="D5262" t="s">
        <v>5466</v>
      </c>
      <c r="E5262" t="s">
        <v>23</v>
      </c>
    </row>
    <row r="5263" spans="1:5" hidden="1" outlineLevel="2">
      <c r="A5263" s="3" t="e">
        <f>(HYPERLINK("http://www.autodoc.ru/Web/price/art/5426BCLVR?analog=on","5426BCLVR"))*1</f>
        <v>#VALUE!</v>
      </c>
      <c r="B5263" s="1">
        <v>6980042</v>
      </c>
      <c r="C5263" t="s">
        <v>1471</v>
      </c>
      <c r="D5263" t="s">
        <v>5467</v>
      </c>
      <c r="E5263" t="s">
        <v>23</v>
      </c>
    </row>
    <row r="5264" spans="1:5" hidden="1" outlineLevel="2">
      <c r="A5264" s="3" t="e">
        <f>(HYPERLINK("http://www.autodoc.ru/Web/price/art/5426BCLVRU?analog=on","5426BCLVRU"))*1</f>
        <v>#VALUE!</v>
      </c>
      <c r="B5264" s="1">
        <v>6998656</v>
      </c>
      <c r="C5264" t="s">
        <v>1471</v>
      </c>
      <c r="D5264" t="s">
        <v>5468</v>
      </c>
      <c r="E5264" t="s">
        <v>23</v>
      </c>
    </row>
    <row r="5265" spans="1:5" hidden="1" outlineLevel="2">
      <c r="A5265" s="3" t="e">
        <f>(HYPERLINK("http://www.autodoc.ru/Web/price/art/5426BGNVL?analog=on","5426BGNVL"))*1</f>
        <v>#VALUE!</v>
      </c>
      <c r="B5265" s="1">
        <v>6998657</v>
      </c>
      <c r="C5265" t="s">
        <v>1471</v>
      </c>
      <c r="D5265" t="s">
        <v>5469</v>
      </c>
      <c r="E5265" t="s">
        <v>23</v>
      </c>
    </row>
    <row r="5266" spans="1:5" hidden="1" outlineLevel="2">
      <c r="A5266" s="3" t="e">
        <f>(HYPERLINK("http://www.autodoc.ru/Web/price/art/5426BCLVLU?analog=on","5426BCLVLU"))*1</f>
        <v>#VALUE!</v>
      </c>
      <c r="B5266" s="1">
        <v>6998655</v>
      </c>
      <c r="C5266" t="s">
        <v>1471</v>
      </c>
      <c r="D5266" t="s">
        <v>5470</v>
      </c>
      <c r="E5266" t="s">
        <v>23</v>
      </c>
    </row>
    <row r="5267" spans="1:5" hidden="1" outlineLevel="2">
      <c r="A5267" s="3" t="e">
        <f>(HYPERLINK("http://www.autodoc.ru/Web/price/art/5426BGNVR?analog=on","5426BGNVR"))*1</f>
        <v>#VALUE!</v>
      </c>
      <c r="B5267" s="1">
        <v>6998658</v>
      </c>
      <c r="C5267" t="s">
        <v>1471</v>
      </c>
      <c r="D5267" t="s">
        <v>5471</v>
      </c>
      <c r="E5267" t="s">
        <v>23</v>
      </c>
    </row>
    <row r="5268" spans="1:5" hidden="1" outlineLevel="2">
      <c r="A5268" s="3" t="e">
        <f>(HYPERLINK("http://www.autodoc.ru/Web/price/art/5426FCLV2RQ?analog=on","5426FCLV2RQ"))*1</f>
        <v>#VALUE!</v>
      </c>
      <c r="B5268" s="1">
        <v>6991300</v>
      </c>
      <c r="C5268" t="s">
        <v>1471</v>
      </c>
      <c r="D5268" t="s">
        <v>5472</v>
      </c>
      <c r="E5268" t="s">
        <v>10</v>
      </c>
    </row>
    <row r="5269" spans="1:5" hidden="1" outlineLevel="2">
      <c r="A5269" s="3" t="e">
        <f>(HYPERLINK("http://www.autodoc.ru/Web/price/art/5426LCLV2FD?analog=on","5426LCLV2FD"))*1</f>
        <v>#VALUE!</v>
      </c>
      <c r="B5269" s="1">
        <v>6995743</v>
      </c>
      <c r="C5269" t="s">
        <v>1471</v>
      </c>
      <c r="D5269" t="s">
        <v>5473</v>
      </c>
      <c r="E5269" t="s">
        <v>10</v>
      </c>
    </row>
    <row r="5270" spans="1:5" hidden="1" outlineLevel="2">
      <c r="A5270" s="3" t="e">
        <f>(HYPERLINK("http://www.autodoc.ru/Web/price/art/5426LCLV2FV?analog=on","5426LCLV2FV"))*1</f>
        <v>#VALUE!</v>
      </c>
      <c r="B5270" s="1">
        <v>6995744</v>
      </c>
      <c r="C5270" t="s">
        <v>1471</v>
      </c>
      <c r="D5270" t="s">
        <v>5474</v>
      </c>
      <c r="E5270" t="s">
        <v>10</v>
      </c>
    </row>
    <row r="5271" spans="1:5" hidden="1" outlineLevel="2">
      <c r="A5271" s="3" t="e">
        <f>(HYPERLINK("http://www.autodoc.ru/Web/price/art/5426LCLV3MQ?analog=on","5426LCLV3MQ"))*1</f>
        <v>#VALUE!</v>
      </c>
      <c r="B5271" s="1">
        <v>6900080</v>
      </c>
      <c r="C5271" t="s">
        <v>1471</v>
      </c>
      <c r="D5271" t="s">
        <v>5475</v>
      </c>
      <c r="E5271" t="s">
        <v>10</v>
      </c>
    </row>
    <row r="5272" spans="1:5" hidden="1" outlineLevel="2">
      <c r="A5272" s="3" t="e">
        <f>(HYPERLINK("http://www.autodoc.ru/Web/price/art/5426LGNV2FD?analog=on","5426LGNV2FD"))*1</f>
        <v>#VALUE!</v>
      </c>
      <c r="B5272" s="1">
        <v>6995409</v>
      </c>
      <c r="C5272" t="s">
        <v>1471</v>
      </c>
      <c r="D5272" t="s">
        <v>5476</v>
      </c>
      <c r="E5272" t="s">
        <v>10</v>
      </c>
    </row>
    <row r="5273" spans="1:5" hidden="1" outlineLevel="2">
      <c r="A5273" s="3" t="e">
        <f>(HYPERLINK("http://www.autodoc.ru/Web/price/art/5426LGNV2FV?analog=on","5426LGNV2FV"))*1</f>
        <v>#VALUE!</v>
      </c>
      <c r="B5273" s="1">
        <v>6995410</v>
      </c>
      <c r="C5273" t="s">
        <v>1471</v>
      </c>
      <c r="D5273" t="s">
        <v>5477</v>
      </c>
      <c r="E5273" t="s">
        <v>10</v>
      </c>
    </row>
    <row r="5274" spans="1:5" hidden="1" outlineLevel="2">
      <c r="A5274" s="3" t="e">
        <f>(HYPERLINK("http://www.autodoc.ru/Web/price/art/5426RCLV2FD?analog=on","5426RCLV2FD"))*1</f>
        <v>#VALUE!</v>
      </c>
      <c r="B5274" s="1">
        <v>6995745</v>
      </c>
      <c r="C5274" t="s">
        <v>1471</v>
      </c>
      <c r="D5274" t="s">
        <v>5478</v>
      </c>
      <c r="E5274" t="s">
        <v>10</v>
      </c>
    </row>
    <row r="5275" spans="1:5" hidden="1" outlineLevel="2">
      <c r="A5275" s="3" t="e">
        <f>(HYPERLINK("http://www.autodoc.ru/Web/price/art/5426RCLV2FV?analog=on","5426RCLV2FV"))*1</f>
        <v>#VALUE!</v>
      </c>
      <c r="B5275" s="1">
        <v>6995746</v>
      </c>
      <c r="C5275" t="s">
        <v>1471</v>
      </c>
      <c r="D5275" t="s">
        <v>5479</v>
      </c>
      <c r="E5275" t="s">
        <v>10</v>
      </c>
    </row>
    <row r="5276" spans="1:5" hidden="1" outlineLevel="2">
      <c r="A5276" s="3" t="e">
        <f>(HYPERLINK("http://www.autodoc.ru/Web/price/art/5426RCLV2MQ?analog=on","5426RCLV2MQ"))*1</f>
        <v>#VALUE!</v>
      </c>
      <c r="B5276" s="1">
        <v>6999599</v>
      </c>
      <c r="C5276" t="s">
        <v>1471</v>
      </c>
      <c r="D5276" t="s">
        <v>5480</v>
      </c>
      <c r="E5276" t="s">
        <v>10</v>
      </c>
    </row>
    <row r="5277" spans="1:5" hidden="1" outlineLevel="2">
      <c r="A5277" s="3" t="e">
        <f>(HYPERLINK("http://www.autodoc.ru/Web/price/art/5426RGNV2FD?analog=on","5426RGNV2FD"))*1</f>
        <v>#VALUE!</v>
      </c>
      <c r="B5277" s="1">
        <v>6995411</v>
      </c>
      <c r="C5277" t="s">
        <v>1471</v>
      </c>
      <c r="D5277" t="s">
        <v>5481</v>
      </c>
      <c r="E5277" t="s">
        <v>10</v>
      </c>
    </row>
    <row r="5278" spans="1:5" hidden="1" outlineLevel="2">
      <c r="A5278" s="3" t="e">
        <f>(HYPERLINK("http://www.autodoc.ru/Web/price/art/5426RGNV2FV?analog=on","5426RGNV2FV"))*1</f>
        <v>#VALUE!</v>
      </c>
      <c r="B5278" s="1">
        <v>6995412</v>
      </c>
      <c r="C5278" t="s">
        <v>1471</v>
      </c>
      <c r="D5278" t="s">
        <v>5482</v>
      </c>
      <c r="E5278" t="s">
        <v>10</v>
      </c>
    </row>
    <row r="5279" spans="1:5" hidden="1" outlineLevel="1">
      <c r="A5279" s="2">
        <v>0</v>
      </c>
      <c r="B5279" s="26" t="s">
        <v>5483</v>
      </c>
      <c r="C5279" s="27">
        <v>0</v>
      </c>
      <c r="D5279" s="27">
        <v>0</v>
      </c>
      <c r="E5279" s="27">
        <v>0</v>
      </c>
    </row>
    <row r="5280" spans="1:5" hidden="1" outlineLevel="2">
      <c r="A5280" s="3" t="e">
        <f>(HYPERLINK("http://www.autodoc.ru/Web/price/art/5439ACL?analog=on","5439ACL"))*1</f>
        <v>#VALUE!</v>
      </c>
      <c r="B5280" s="1">
        <v>6962177</v>
      </c>
      <c r="C5280" t="s">
        <v>389</v>
      </c>
      <c r="D5280" t="s">
        <v>5484</v>
      </c>
      <c r="E5280" t="s">
        <v>8</v>
      </c>
    </row>
    <row r="5281" spans="1:5" hidden="1" outlineLevel="2">
      <c r="A5281" s="3" t="e">
        <f>(HYPERLINK("http://www.autodoc.ru/Web/price/art/5439ACLH?analog=on","5439ACLH"))*1</f>
        <v>#VALUE!</v>
      </c>
      <c r="B5281" s="1">
        <v>6962634</v>
      </c>
      <c r="C5281" t="s">
        <v>389</v>
      </c>
      <c r="D5281" t="s">
        <v>5485</v>
      </c>
      <c r="E5281" t="s">
        <v>8</v>
      </c>
    </row>
    <row r="5282" spans="1:5" hidden="1" outlineLevel="2">
      <c r="A5282" s="3" t="e">
        <f>(HYPERLINK("http://www.autodoc.ru/Web/price/art/5439ACLHM1B?analog=on","5439ACLHM1B"))*1</f>
        <v>#VALUE!</v>
      </c>
      <c r="B5282" s="1">
        <v>6962636</v>
      </c>
      <c r="C5282" t="s">
        <v>389</v>
      </c>
      <c r="D5282" t="s">
        <v>5486</v>
      </c>
      <c r="E5282" t="s">
        <v>8</v>
      </c>
    </row>
    <row r="5283" spans="1:5" hidden="1" outlineLevel="2">
      <c r="A5283" s="3" t="e">
        <f>(HYPERLINK("http://www.autodoc.ru/Web/price/art/5439ACLM1B?analog=on","5439ACLM1B"))*1</f>
        <v>#VALUE!</v>
      </c>
      <c r="B5283" s="1">
        <v>6962330</v>
      </c>
      <c r="C5283" t="s">
        <v>389</v>
      </c>
      <c r="D5283" t="s">
        <v>5487</v>
      </c>
      <c r="E5283" t="s">
        <v>8</v>
      </c>
    </row>
    <row r="5284" spans="1:5" hidden="1" outlineLevel="2">
      <c r="A5284" s="3" t="e">
        <f>(HYPERLINK("http://www.autodoc.ru/Web/price/art/5439AGS?analog=on","5439AGS"))*1</f>
        <v>#VALUE!</v>
      </c>
      <c r="B5284" s="1">
        <v>6961788</v>
      </c>
      <c r="C5284" t="s">
        <v>389</v>
      </c>
      <c r="D5284" t="s">
        <v>5488</v>
      </c>
      <c r="E5284" t="s">
        <v>8</v>
      </c>
    </row>
    <row r="5285" spans="1:5" hidden="1" outlineLevel="2">
      <c r="A5285" s="3" t="e">
        <f>(HYPERLINK("http://www.autodoc.ru/Web/price/art/5439AGSBL?analog=on","5439AGSBL"))*1</f>
        <v>#VALUE!</v>
      </c>
      <c r="B5285" s="1">
        <v>6962178</v>
      </c>
      <c r="C5285" t="s">
        <v>389</v>
      </c>
      <c r="D5285" t="s">
        <v>5489</v>
      </c>
      <c r="E5285" t="s">
        <v>8</v>
      </c>
    </row>
    <row r="5286" spans="1:5" hidden="1" outlineLevel="2">
      <c r="A5286" s="3" t="e">
        <f>(HYPERLINK("http://www.autodoc.ru/Web/price/art/5439AGSBLHM1B?analog=on","5439AGSBLHM1B"))*1</f>
        <v>#VALUE!</v>
      </c>
      <c r="B5286" s="1">
        <v>6962638</v>
      </c>
      <c r="C5286" t="s">
        <v>389</v>
      </c>
      <c r="D5286" t="s">
        <v>5490</v>
      </c>
      <c r="E5286" t="s">
        <v>8</v>
      </c>
    </row>
    <row r="5287" spans="1:5" hidden="1" outlineLevel="2">
      <c r="A5287" s="3" t="e">
        <f>(HYPERLINK("http://www.autodoc.ru/Web/price/art/5439AGSBLM1B?analog=on","5439AGSBLM1B"))*1</f>
        <v>#VALUE!</v>
      </c>
      <c r="B5287" s="1">
        <v>6961789</v>
      </c>
      <c r="C5287" t="s">
        <v>389</v>
      </c>
      <c r="D5287" t="s">
        <v>5491</v>
      </c>
      <c r="E5287" t="s">
        <v>8</v>
      </c>
    </row>
    <row r="5288" spans="1:5" hidden="1" outlineLevel="2">
      <c r="A5288" s="3" t="e">
        <f>(HYPERLINK("http://www.autodoc.ru/Web/price/art/5439ASMV?analog=on","5439ASMV"))*1</f>
        <v>#VALUE!</v>
      </c>
      <c r="B5288" s="1">
        <v>6102092</v>
      </c>
      <c r="C5288" t="s">
        <v>19</v>
      </c>
      <c r="D5288" t="s">
        <v>5492</v>
      </c>
      <c r="E5288" t="s">
        <v>21</v>
      </c>
    </row>
    <row r="5289" spans="1:5" hidden="1" outlineLevel="2">
      <c r="A5289" s="3" t="e">
        <f>(HYPERLINK("http://www.autodoc.ru/Web/price/art/5439LCLV3FD?analog=on","5439LCLV3FD"))*1</f>
        <v>#VALUE!</v>
      </c>
      <c r="B5289" s="1">
        <v>6998555</v>
      </c>
      <c r="C5289" t="s">
        <v>389</v>
      </c>
      <c r="D5289" t="s">
        <v>5493</v>
      </c>
      <c r="E5289" t="s">
        <v>10</v>
      </c>
    </row>
    <row r="5290" spans="1:5" hidden="1" outlineLevel="2">
      <c r="A5290" s="3" t="e">
        <f>(HYPERLINK("http://www.autodoc.ru/Web/price/art/5439LGNV3FD?analog=on","5439LGNV3FD"))*1</f>
        <v>#VALUE!</v>
      </c>
      <c r="B5290" s="1">
        <v>6998557</v>
      </c>
      <c r="C5290" t="s">
        <v>389</v>
      </c>
      <c r="D5290" t="s">
        <v>5494</v>
      </c>
      <c r="E5290" t="s">
        <v>10</v>
      </c>
    </row>
    <row r="5291" spans="1:5" hidden="1" outlineLevel="2">
      <c r="A5291" s="3" t="e">
        <f>(HYPERLINK("http://www.autodoc.ru/Web/price/art/5439RCLV3FD?analog=on","5439RCLV3FD"))*1</f>
        <v>#VALUE!</v>
      </c>
      <c r="B5291" s="1">
        <v>6998556</v>
      </c>
      <c r="C5291" t="s">
        <v>389</v>
      </c>
      <c r="D5291" t="s">
        <v>5495</v>
      </c>
      <c r="E5291" t="s">
        <v>10</v>
      </c>
    </row>
    <row r="5292" spans="1:5" hidden="1" outlineLevel="2">
      <c r="A5292" s="3" t="e">
        <f>(HYPERLINK("http://www.autodoc.ru/Web/price/art/5439RGNV3FD?analog=on","5439RGNV3FD"))*1</f>
        <v>#VALUE!</v>
      </c>
      <c r="B5292" s="1">
        <v>6998558</v>
      </c>
      <c r="C5292" t="s">
        <v>389</v>
      </c>
      <c r="D5292" t="s">
        <v>5496</v>
      </c>
      <c r="E5292" t="s">
        <v>10</v>
      </c>
    </row>
    <row r="5293" spans="1:5" hidden="1" outlineLevel="1">
      <c r="A5293" s="2">
        <v>0</v>
      </c>
      <c r="B5293" s="26" t="s">
        <v>5497</v>
      </c>
      <c r="C5293" s="27">
        <v>0</v>
      </c>
      <c r="D5293" s="27">
        <v>0</v>
      </c>
      <c r="E5293" s="27">
        <v>0</v>
      </c>
    </row>
    <row r="5294" spans="1:5" hidden="1" outlineLevel="2">
      <c r="A5294" s="3" t="e">
        <f>(HYPERLINK("http://www.autodoc.ru/Web/price/art/5436AGSBLW?analog=on","5436AGSBLW"))*1</f>
        <v>#VALUE!</v>
      </c>
      <c r="B5294" s="1">
        <v>6960917</v>
      </c>
      <c r="C5294" t="s">
        <v>5498</v>
      </c>
      <c r="D5294" t="s">
        <v>5499</v>
      </c>
      <c r="E5294" t="s">
        <v>8</v>
      </c>
    </row>
    <row r="5295" spans="1:5" hidden="1" outlineLevel="2">
      <c r="A5295" s="3" t="e">
        <f>(HYPERLINK("http://www.autodoc.ru/Web/price/art/5436BGSV?analog=on","5436BGSV"))*1</f>
        <v>#VALUE!</v>
      </c>
      <c r="B5295" s="1">
        <v>6992774</v>
      </c>
      <c r="C5295" t="s">
        <v>5498</v>
      </c>
      <c r="D5295" t="s">
        <v>5500</v>
      </c>
      <c r="E5295" t="s">
        <v>23</v>
      </c>
    </row>
    <row r="5296" spans="1:5" hidden="1" outlineLevel="2">
      <c r="A5296" s="3" t="e">
        <f>(HYPERLINK("http://www.autodoc.ru/Web/price/art/5436LGSV4FD?analog=on","5436LGSV4FD"))*1</f>
        <v>#VALUE!</v>
      </c>
      <c r="B5296" s="1">
        <v>6980108</v>
      </c>
      <c r="C5296" t="s">
        <v>5498</v>
      </c>
      <c r="D5296" t="s">
        <v>5501</v>
      </c>
      <c r="E5296" t="s">
        <v>10</v>
      </c>
    </row>
    <row r="5297" spans="1:5" hidden="1" outlineLevel="2">
      <c r="A5297" s="3" t="e">
        <f>(HYPERLINK("http://www.autodoc.ru/Web/price/art/5436RGSV4FD?analog=on","5436RGSV4FD"))*1</f>
        <v>#VALUE!</v>
      </c>
      <c r="B5297" s="1">
        <v>6980109</v>
      </c>
      <c r="C5297" t="s">
        <v>5498</v>
      </c>
      <c r="D5297" t="s">
        <v>5502</v>
      </c>
      <c r="E5297" t="s">
        <v>10</v>
      </c>
    </row>
    <row r="5298" spans="1:5" hidden="1" outlineLevel="1">
      <c r="A5298" s="2">
        <v>0</v>
      </c>
      <c r="B5298" s="26" t="s">
        <v>5503</v>
      </c>
      <c r="C5298" s="27">
        <v>0</v>
      </c>
      <c r="D5298" s="27">
        <v>0</v>
      </c>
      <c r="E5298" s="27">
        <v>0</v>
      </c>
    </row>
    <row r="5299" spans="1:5" hidden="1" outlineLevel="2">
      <c r="A5299" s="3" t="e">
        <f>(HYPERLINK("http://www.autodoc.ru/Web/price/art/5428ACL?analog=on","5428ACL"))*1</f>
        <v>#VALUE!</v>
      </c>
      <c r="B5299" s="1">
        <v>6969785</v>
      </c>
      <c r="C5299" t="s">
        <v>240</v>
      </c>
      <c r="D5299" t="s">
        <v>5504</v>
      </c>
      <c r="E5299" t="s">
        <v>8</v>
      </c>
    </row>
    <row r="5300" spans="1:5" hidden="1" outlineLevel="2">
      <c r="A5300" s="3" t="e">
        <f>(HYPERLINK("http://www.autodoc.ru/Web/price/art/5428ACL1C?analog=on","5428ACL1C"))*1</f>
        <v>#VALUE!</v>
      </c>
      <c r="B5300" s="1">
        <v>6969786</v>
      </c>
      <c r="C5300" t="s">
        <v>240</v>
      </c>
      <c r="D5300" t="s">
        <v>5505</v>
      </c>
      <c r="E5300" t="s">
        <v>8</v>
      </c>
    </row>
    <row r="5301" spans="1:5" hidden="1" outlineLevel="2">
      <c r="A5301" s="3" t="e">
        <f>(HYPERLINK("http://www.autodoc.ru/Web/price/art/5428AGN?analog=on","5428AGN"))*1</f>
        <v>#VALUE!</v>
      </c>
      <c r="B5301" s="1">
        <v>6969787</v>
      </c>
      <c r="C5301" t="s">
        <v>240</v>
      </c>
      <c r="D5301" t="s">
        <v>5506</v>
      </c>
      <c r="E5301" t="s">
        <v>8</v>
      </c>
    </row>
    <row r="5302" spans="1:5" hidden="1" outlineLevel="2">
      <c r="A5302" s="3" t="e">
        <f>(HYPERLINK("http://www.autodoc.ru/Web/price/art/5428AGN1C?analog=on","5428AGN1C"))*1</f>
        <v>#VALUE!</v>
      </c>
      <c r="B5302" s="1">
        <v>6969788</v>
      </c>
      <c r="C5302" t="s">
        <v>240</v>
      </c>
      <c r="D5302" t="s">
        <v>5507</v>
      </c>
      <c r="E5302" t="s">
        <v>8</v>
      </c>
    </row>
    <row r="5303" spans="1:5" hidden="1" outlineLevel="2">
      <c r="A5303" s="3" t="e">
        <f>(HYPERLINK("http://www.autodoc.ru/Web/price/art/5428AGNBL?analog=on","5428AGNBL"))*1</f>
        <v>#VALUE!</v>
      </c>
      <c r="B5303" s="1">
        <v>6961051</v>
      </c>
      <c r="C5303" t="s">
        <v>240</v>
      </c>
      <c r="D5303" t="s">
        <v>5508</v>
      </c>
      <c r="E5303" t="s">
        <v>8</v>
      </c>
    </row>
    <row r="5304" spans="1:5" hidden="1" outlineLevel="2">
      <c r="A5304" s="3" t="e">
        <f>(HYPERLINK("http://www.autodoc.ru/Web/price/art/5428AGNBL1C?analog=on","5428AGNBL1C"))*1</f>
        <v>#VALUE!</v>
      </c>
      <c r="B5304" s="1">
        <v>6961052</v>
      </c>
      <c r="C5304" t="s">
        <v>240</v>
      </c>
      <c r="D5304" t="s">
        <v>5509</v>
      </c>
      <c r="E5304" t="s">
        <v>8</v>
      </c>
    </row>
    <row r="5305" spans="1:5" hidden="1" outlineLevel="2">
      <c r="A5305" s="3" t="e">
        <f>(HYPERLINK("http://www.autodoc.ru/Web/price/art/5428AGNGN?analog=on","5428AGNGN"))*1</f>
        <v>#VALUE!</v>
      </c>
      <c r="B5305" s="1">
        <v>6969789</v>
      </c>
      <c r="C5305" t="s">
        <v>240</v>
      </c>
      <c r="D5305" t="s">
        <v>5510</v>
      </c>
      <c r="E5305" t="s">
        <v>8</v>
      </c>
    </row>
    <row r="5306" spans="1:5" hidden="1" outlineLevel="2">
      <c r="A5306" s="3" t="e">
        <f>(HYPERLINK("http://www.autodoc.ru/Web/price/art/5428AGNGN1C?analog=on","5428AGNGN1C"))*1</f>
        <v>#VALUE!</v>
      </c>
      <c r="B5306" s="1">
        <v>6969790</v>
      </c>
      <c r="C5306" t="s">
        <v>240</v>
      </c>
      <c r="D5306" t="s">
        <v>5511</v>
      </c>
      <c r="E5306" t="s">
        <v>8</v>
      </c>
    </row>
    <row r="5307" spans="1:5" hidden="1" outlineLevel="2">
      <c r="A5307" s="3" t="e">
        <f>(HYPERLINK("http://www.autodoc.ru/Web/price/art/5428AGNGY1C?analog=on","5428AGNGY1C"))*1</f>
        <v>#VALUE!</v>
      </c>
      <c r="B5307" s="1">
        <v>6961053</v>
      </c>
      <c r="C5307" t="s">
        <v>240</v>
      </c>
      <c r="D5307" t="s">
        <v>5509</v>
      </c>
      <c r="E5307" t="s">
        <v>8</v>
      </c>
    </row>
    <row r="5308" spans="1:5" hidden="1" outlineLevel="2">
      <c r="A5308" s="3" t="e">
        <f>(HYPERLINK("http://www.autodoc.ru/Web/price/art/5428AKCVS?analog=on","5428AKCVS"))*1</f>
        <v>#VALUE!</v>
      </c>
      <c r="B5308" s="1">
        <v>6101247</v>
      </c>
      <c r="C5308" t="s">
        <v>19</v>
      </c>
      <c r="D5308" t="s">
        <v>5512</v>
      </c>
      <c r="E5308" t="s">
        <v>21</v>
      </c>
    </row>
    <row r="5309" spans="1:5" hidden="1" outlineLevel="2">
      <c r="A5309" s="3" t="e">
        <f>(HYPERLINK("http://www.autodoc.ru/Web/price/art/5428AKMVS?analog=on","5428AKMVS"))*1</f>
        <v>#VALUE!</v>
      </c>
      <c r="B5309" s="1">
        <v>6102168</v>
      </c>
      <c r="C5309" t="s">
        <v>19</v>
      </c>
      <c r="D5309" t="s">
        <v>5513</v>
      </c>
      <c r="E5309" t="s">
        <v>21</v>
      </c>
    </row>
    <row r="5310" spans="1:5" hidden="1" outlineLevel="2">
      <c r="A5310" s="3" t="e">
        <f>(HYPERLINK("http://www.autodoc.ru/Web/price/art/5428ASMVT?analog=on","5428ASMVT"))*1</f>
        <v>#VALUE!</v>
      </c>
      <c r="B5310" s="1">
        <v>6100127</v>
      </c>
      <c r="C5310" t="s">
        <v>19</v>
      </c>
      <c r="D5310" t="s">
        <v>5514</v>
      </c>
      <c r="E5310" t="s">
        <v>21</v>
      </c>
    </row>
    <row r="5311" spans="1:5" hidden="1" outlineLevel="2">
      <c r="A5311" s="3" t="e">
        <f>(HYPERLINK("http://www.autodoc.ru/Web/price/art/5428BCLV?analog=on","5428BCLV"))*1</f>
        <v>#VALUE!</v>
      </c>
      <c r="B5311" s="1">
        <v>6998255</v>
      </c>
      <c r="C5311" t="s">
        <v>240</v>
      </c>
      <c r="D5311" t="s">
        <v>5515</v>
      </c>
      <c r="E5311" t="s">
        <v>23</v>
      </c>
    </row>
    <row r="5312" spans="1:5" hidden="1" outlineLevel="2">
      <c r="A5312" s="3" t="e">
        <f>(HYPERLINK("http://www.autodoc.ru/Web/price/art/5428BCLVL?analog=on","5428BCLVL"))*1</f>
        <v>#VALUE!</v>
      </c>
      <c r="B5312" s="1">
        <v>6980322</v>
      </c>
      <c r="C5312" t="s">
        <v>240</v>
      </c>
      <c r="D5312" t="s">
        <v>5516</v>
      </c>
      <c r="E5312" t="s">
        <v>23</v>
      </c>
    </row>
    <row r="5313" spans="1:5" hidden="1" outlineLevel="2">
      <c r="A5313" s="3" t="e">
        <f>(HYPERLINK("http://www.autodoc.ru/Web/price/art/5428BCLVR?analog=on","5428BCLVR"))*1</f>
        <v>#VALUE!</v>
      </c>
      <c r="B5313" s="1">
        <v>6980323</v>
      </c>
      <c r="C5313" t="s">
        <v>240</v>
      </c>
      <c r="D5313" t="s">
        <v>5517</v>
      </c>
      <c r="E5313" t="s">
        <v>23</v>
      </c>
    </row>
    <row r="5314" spans="1:5" hidden="1" outlineLevel="2">
      <c r="A5314" s="3" t="e">
        <f>(HYPERLINK("http://www.autodoc.ru/Web/price/art/5428BGNV?analog=on","5428BGNV"))*1</f>
        <v>#VALUE!</v>
      </c>
      <c r="B5314" s="1">
        <v>6980041</v>
      </c>
      <c r="C5314" t="s">
        <v>240</v>
      </c>
      <c r="D5314" t="s">
        <v>5518</v>
      </c>
      <c r="E5314" t="s">
        <v>23</v>
      </c>
    </row>
    <row r="5315" spans="1:5" hidden="1" outlineLevel="2">
      <c r="A5315" s="3" t="e">
        <f>(HYPERLINK("http://www.autodoc.ru/Web/price/art/5428BGNVB?analog=on","5428BGNVB"))*1</f>
        <v>#VALUE!</v>
      </c>
      <c r="B5315" s="1">
        <v>6998769</v>
      </c>
      <c r="C5315" t="s">
        <v>240</v>
      </c>
      <c r="D5315" t="s">
        <v>5519</v>
      </c>
      <c r="E5315" t="s">
        <v>23</v>
      </c>
    </row>
    <row r="5316" spans="1:5" hidden="1" outlineLevel="2">
      <c r="A5316" s="3" t="e">
        <f>(HYPERLINK("http://www.autodoc.ru/Web/price/art/5428BGNVL?analog=on","5428BGNVL"))*1</f>
        <v>#VALUE!</v>
      </c>
      <c r="B5316" s="1">
        <v>6980324</v>
      </c>
      <c r="C5316" t="s">
        <v>240</v>
      </c>
      <c r="D5316" t="s">
        <v>5520</v>
      </c>
      <c r="E5316" t="s">
        <v>23</v>
      </c>
    </row>
    <row r="5317" spans="1:5" hidden="1" outlineLevel="2">
      <c r="A5317" s="3" t="e">
        <f>(HYPERLINK("http://www.autodoc.ru/Web/price/art/5428BGNVR?analog=on","5428BGNVR"))*1</f>
        <v>#VALUE!</v>
      </c>
      <c r="B5317" s="1">
        <v>6980325</v>
      </c>
      <c r="C5317" t="s">
        <v>240</v>
      </c>
      <c r="D5317" t="s">
        <v>5521</v>
      </c>
      <c r="E5317" t="s">
        <v>23</v>
      </c>
    </row>
    <row r="5318" spans="1:5" hidden="1" outlineLevel="2">
      <c r="A5318" s="3" t="e">
        <f>(HYPERLINK("http://www.autodoc.ru/Web/price/art/5428LCLV2FDW?analog=on","5428LCLV2FDW"))*1</f>
        <v>#VALUE!</v>
      </c>
      <c r="B5318" s="1">
        <v>6995413</v>
      </c>
      <c r="C5318" t="s">
        <v>240</v>
      </c>
      <c r="D5318" t="s">
        <v>5522</v>
      </c>
      <c r="E5318" t="s">
        <v>10</v>
      </c>
    </row>
    <row r="5319" spans="1:5" hidden="1" outlineLevel="2">
      <c r="A5319" s="3" t="e">
        <f>(HYPERLINK("http://www.autodoc.ru/Web/price/art/5428LCLV4MQ?analog=on","5428LCLV4MQ"))*1</f>
        <v>#VALUE!</v>
      </c>
      <c r="B5319" s="1">
        <v>6994488</v>
      </c>
      <c r="C5319" t="s">
        <v>240</v>
      </c>
      <c r="D5319" t="s">
        <v>5523</v>
      </c>
      <c r="E5319" t="s">
        <v>10</v>
      </c>
    </row>
    <row r="5320" spans="1:5" hidden="1" outlineLevel="2">
      <c r="A5320" s="3" t="e">
        <f>(HYPERLINK("http://www.autodoc.ru/Web/price/art/5428LCLV4RD?analog=on","5428LCLV4RD"))*1</f>
        <v>#VALUE!</v>
      </c>
      <c r="B5320" s="1">
        <v>6980201</v>
      </c>
      <c r="C5320" t="s">
        <v>240</v>
      </c>
      <c r="D5320" t="s">
        <v>5524</v>
      </c>
      <c r="E5320" t="s">
        <v>10</v>
      </c>
    </row>
    <row r="5321" spans="1:5" hidden="1" outlineLevel="2">
      <c r="A5321" s="3" t="e">
        <f>(HYPERLINK("http://www.autodoc.ru/Web/price/art/5428LCLV4RQ?analog=on","5428LCLV4RQ"))*1</f>
        <v>#VALUE!</v>
      </c>
      <c r="B5321" s="1">
        <v>6900333</v>
      </c>
      <c r="C5321" t="s">
        <v>240</v>
      </c>
      <c r="D5321" t="s">
        <v>5525</v>
      </c>
      <c r="E5321" t="s">
        <v>10</v>
      </c>
    </row>
    <row r="5322" spans="1:5" hidden="1" outlineLevel="2">
      <c r="A5322" s="3" t="e">
        <f>(HYPERLINK("http://www.autodoc.ru/Web/price/art/5428LCLV4RQZ1J?analog=on","5428LCLV4RQZ1J"))*1</f>
        <v>#VALUE!</v>
      </c>
      <c r="B5322" s="1">
        <v>6900334</v>
      </c>
      <c r="C5322" t="s">
        <v>240</v>
      </c>
      <c r="D5322" t="s">
        <v>5526</v>
      </c>
      <c r="E5322" t="s">
        <v>10</v>
      </c>
    </row>
    <row r="5323" spans="1:5" hidden="1" outlineLevel="2">
      <c r="A5323" s="3" t="e">
        <f>(HYPERLINK("http://www.autodoc.ru/Web/price/art/5428LGNV2FDW?analog=on","5428LGNV2FDW"))*1</f>
        <v>#VALUE!</v>
      </c>
      <c r="B5323" s="1">
        <v>6995415</v>
      </c>
      <c r="C5323" t="s">
        <v>240</v>
      </c>
      <c r="D5323" t="s">
        <v>5527</v>
      </c>
      <c r="E5323" t="s">
        <v>10</v>
      </c>
    </row>
    <row r="5324" spans="1:5" hidden="1" outlineLevel="2">
      <c r="A5324" s="3" t="e">
        <f>(HYPERLINK("http://www.autodoc.ru/Web/price/art/5428LGNV4MQ?analog=on","5428LGNV4MQ"))*1</f>
        <v>#VALUE!</v>
      </c>
      <c r="B5324" s="1">
        <v>6994491</v>
      </c>
      <c r="C5324" t="s">
        <v>240</v>
      </c>
      <c r="D5324" t="s">
        <v>5528</v>
      </c>
      <c r="E5324" t="s">
        <v>10</v>
      </c>
    </row>
    <row r="5325" spans="1:5" hidden="1" outlineLevel="2">
      <c r="A5325" s="3" t="e">
        <f>(HYPERLINK("http://www.autodoc.ru/Web/price/art/5428LGNV4MQOW1H?analog=on","5428LGNV4MQOW1H"))*1</f>
        <v>#VALUE!</v>
      </c>
      <c r="B5325" s="1">
        <v>6900122</v>
      </c>
      <c r="C5325" t="s">
        <v>240</v>
      </c>
      <c r="D5325" t="s">
        <v>5529</v>
      </c>
      <c r="E5325" t="s">
        <v>10</v>
      </c>
    </row>
    <row r="5326" spans="1:5" hidden="1" outlineLevel="2">
      <c r="A5326" s="3" t="e">
        <f>(HYPERLINK("http://www.autodoc.ru/Web/price/art/5428LGNV4RD?analog=on","5428LGNV4RD"))*1</f>
        <v>#VALUE!</v>
      </c>
      <c r="B5326" s="1">
        <v>6980202</v>
      </c>
      <c r="C5326" t="s">
        <v>240</v>
      </c>
      <c r="D5326" t="s">
        <v>5530</v>
      </c>
      <c r="E5326" t="s">
        <v>10</v>
      </c>
    </row>
    <row r="5327" spans="1:5" hidden="1" outlineLevel="2">
      <c r="A5327" s="3" t="e">
        <f>(HYPERLINK("http://www.autodoc.ru/Web/price/art/5428LGNV4RQ?analog=on","5428LGNV4RQ"))*1</f>
        <v>#VALUE!</v>
      </c>
      <c r="B5327" s="1">
        <v>6996247</v>
      </c>
      <c r="C5327" t="s">
        <v>240</v>
      </c>
      <c r="D5327" t="s">
        <v>5531</v>
      </c>
      <c r="E5327" t="s">
        <v>10</v>
      </c>
    </row>
    <row r="5328" spans="1:5" hidden="1" outlineLevel="2">
      <c r="A5328" s="3" t="e">
        <f>(HYPERLINK("http://www.autodoc.ru/Web/price/art/5428LGNV4RQZ1J?analog=on","5428LGNV4RQZ1J"))*1</f>
        <v>#VALUE!</v>
      </c>
      <c r="B5328" s="1">
        <v>6999066</v>
      </c>
      <c r="C5328" t="s">
        <v>240</v>
      </c>
      <c r="D5328" t="s">
        <v>5532</v>
      </c>
      <c r="E5328" t="s">
        <v>10</v>
      </c>
    </row>
    <row r="5329" spans="1:5" hidden="1" outlineLevel="2">
      <c r="A5329" s="3" t="e">
        <f>(HYPERLINK("http://www.autodoc.ru/Web/price/art/5428RCLV2FDW?analog=on","5428RCLV2FDW"))*1</f>
        <v>#VALUE!</v>
      </c>
      <c r="B5329" s="1">
        <v>6995414</v>
      </c>
      <c r="C5329" t="s">
        <v>240</v>
      </c>
      <c r="D5329" t="s">
        <v>5533</v>
      </c>
      <c r="E5329" t="s">
        <v>10</v>
      </c>
    </row>
    <row r="5330" spans="1:5" hidden="1" outlineLevel="2">
      <c r="A5330" s="3" t="e">
        <f>(HYPERLINK("http://www.autodoc.ru/Web/price/art/5428RCLV4RD?analog=on","5428RCLV4RD"))*1</f>
        <v>#VALUE!</v>
      </c>
      <c r="B5330" s="1">
        <v>6994490</v>
      </c>
      <c r="C5330" t="s">
        <v>240</v>
      </c>
      <c r="D5330" t="s">
        <v>5534</v>
      </c>
      <c r="E5330" t="s">
        <v>10</v>
      </c>
    </row>
    <row r="5331" spans="1:5" hidden="1" outlineLevel="2">
      <c r="A5331" s="3" t="e">
        <f>(HYPERLINK("http://www.autodoc.ru/Web/price/art/5428RCLV4RQ?analog=on","5428RCLV4RQ"))*1</f>
        <v>#VALUE!</v>
      </c>
      <c r="B5331" s="1">
        <v>6994115</v>
      </c>
      <c r="C5331" t="s">
        <v>240</v>
      </c>
      <c r="D5331" t="s">
        <v>5535</v>
      </c>
      <c r="E5331" t="s">
        <v>10</v>
      </c>
    </row>
    <row r="5332" spans="1:5" hidden="1" outlineLevel="2">
      <c r="A5332" s="3" t="e">
        <f>(HYPERLINK("http://www.autodoc.ru/Web/price/art/5428RGNV2FDW?analog=on","5428RGNV2FDW"))*1</f>
        <v>#VALUE!</v>
      </c>
      <c r="B5332" s="1">
        <v>6995416</v>
      </c>
      <c r="C5332" t="s">
        <v>240</v>
      </c>
      <c r="D5332" t="s">
        <v>5536</v>
      </c>
      <c r="E5332" t="s">
        <v>10</v>
      </c>
    </row>
    <row r="5333" spans="1:5" hidden="1" outlineLevel="2">
      <c r="A5333" s="3" t="e">
        <f>(HYPERLINK("http://www.autodoc.ru/Web/price/art/5428RGNV4RD?analog=on","5428RGNV4RD"))*1</f>
        <v>#VALUE!</v>
      </c>
      <c r="B5333" s="1">
        <v>6997791</v>
      </c>
      <c r="C5333" t="s">
        <v>240</v>
      </c>
      <c r="D5333" t="s">
        <v>5537</v>
      </c>
      <c r="E5333" t="s">
        <v>10</v>
      </c>
    </row>
    <row r="5334" spans="1:5" hidden="1" outlineLevel="2">
      <c r="A5334" s="3" t="e">
        <f>(HYPERLINK("http://www.autodoc.ru/Web/price/art/5428RGNV4RQ?analog=on","5428RGNV4RQ"))*1</f>
        <v>#VALUE!</v>
      </c>
      <c r="B5334" s="1">
        <v>6994494</v>
      </c>
      <c r="C5334" t="s">
        <v>240</v>
      </c>
      <c r="D5334" t="s">
        <v>5538</v>
      </c>
      <c r="E5334" t="s">
        <v>10</v>
      </c>
    </row>
    <row r="5335" spans="1:5" hidden="1" outlineLevel="1">
      <c r="A5335" s="2">
        <v>0</v>
      </c>
      <c r="B5335" s="26" t="s">
        <v>5539</v>
      </c>
      <c r="C5335" s="27">
        <v>0</v>
      </c>
      <c r="D5335" s="27">
        <v>0</v>
      </c>
      <c r="E5335" s="27">
        <v>0</v>
      </c>
    </row>
    <row r="5336" spans="1:5" hidden="1" outlineLevel="2">
      <c r="A5336" s="3" t="e">
        <f>(HYPERLINK("http://www.autodoc.ru/Web/price/art/5438AGSA?analog=on","5438AGSA"))*1</f>
        <v>#VALUE!</v>
      </c>
      <c r="B5336" s="1">
        <v>6961097</v>
      </c>
      <c r="C5336" t="s">
        <v>782</v>
      </c>
      <c r="D5336" t="s">
        <v>5540</v>
      </c>
      <c r="E5336" t="s">
        <v>8</v>
      </c>
    </row>
    <row r="5337" spans="1:5" hidden="1" outlineLevel="2">
      <c r="A5337" s="3" t="e">
        <f>(HYPERLINK("http://www.autodoc.ru/Web/price/art/5438AGSAM1B?analog=on","5438AGSAM1B"))*1</f>
        <v>#VALUE!</v>
      </c>
      <c r="B5337" s="1">
        <v>6961994</v>
      </c>
      <c r="C5337" t="s">
        <v>782</v>
      </c>
      <c r="D5337" t="s">
        <v>5541</v>
      </c>
      <c r="E5337" t="s">
        <v>8</v>
      </c>
    </row>
    <row r="5338" spans="1:5" hidden="1" outlineLevel="2">
      <c r="A5338" s="3" t="e">
        <f>(HYPERLINK("http://www.autodoc.ru/Web/price/art/5438AGSGNA?analog=on","5438AGSGNA"))*1</f>
        <v>#VALUE!</v>
      </c>
      <c r="B5338" s="1">
        <v>6950101</v>
      </c>
      <c r="C5338" t="s">
        <v>782</v>
      </c>
      <c r="D5338" t="s">
        <v>5542</v>
      </c>
      <c r="E5338" t="s">
        <v>8</v>
      </c>
    </row>
    <row r="5339" spans="1:5" hidden="1" outlineLevel="2">
      <c r="A5339" s="3" t="e">
        <f>(HYPERLINK("http://www.autodoc.ru/Web/price/art/5438AGSGNAM1B?analog=on","5438AGSGNAM1B"))*1</f>
        <v>#VALUE!</v>
      </c>
      <c r="B5339" s="1">
        <v>6961993</v>
      </c>
      <c r="C5339" t="s">
        <v>782</v>
      </c>
      <c r="D5339" t="s">
        <v>5543</v>
      </c>
      <c r="E5339" t="s">
        <v>8</v>
      </c>
    </row>
    <row r="5340" spans="1:5" hidden="1" outlineLevel="2">
      <c r="A5340" s="3" t="e">
        <f>(HYPERLINK("http://www.autodoc.ru/Web/price/art/5438ASMV?analog=on","5438ASMV"))*1</f>
        <v>#VALUE!</v>
      </c>
      <c r="B5340" s="1">
        <v>6101595</v>
      </c>
      <c r="C5340" t="s">
        <v>19</v>
      </c>
      <c r="D5340" t="s">
        <v>5544</v>
      </c>
      <c r="E5340" t="s">
        <v>21</v>
      </c>
    </row>
    <row r="5341" spans="1:5" hidden="1" outlineLevel="2">
      <c r="A5341" s="3" t="e">
        <f>(HYPERLINK("http://www.autodoc.ru/Web/price/art/5438BGSV?analog=on","5438BGSV"))*1</f>
        <v>#VALUE!</v>
      </c>
      <c r="B5341" s="1">
        <v>6996498</v>
      </c>
      <c r="C5341" t="s">
        <v>782</v>
      </c>
      <c r="D5341" t="s">
        <v>5545</v>
      </c>
      <c r="E5341" t="s">
        <v>23</v>
      </c>
    </row>
    <row r="5342" spans="1:5" hidden="1" outlineLevel="2">
      <c r="A5342" s="3" t="e">
        <f>(HYPERLINK("http://www.autodoc.ru/Web/price/art/5438BGSVL?analog=on","5438BGSVL"))*1</f>
        <v>#VALUE!</v>
      </c>
      <c r="B5342" s="1">
        <v>6996496</v>
      </c>
      <c r="C5342" t="s">
        <v>782</v>
      </c>
      <c r="D5342" t="s">
        <v>5546</v>
      </c>
      <c r="E5342" t="s">
        <v>23</v>
      </c>
    </row>
    <row r="5343" spans="1:5" hidden="1" outlineLevel="2">
      <c r="A5343" s="3" t="e">
        <f>(HYPERLINK("http://www.autodoc.ru/Web/price/art/5438BGSVR?analog=on","5438BGSVR"))*1</f>
        <v>#VALUE!</v>
      </c>
      <c r="B5343" s="1">
        <v>6996497</v>
      </c>
      <c r="C5343" t="s">
        <v>782</v>
      </c>
      <c r="D5343" t="s">
        <v>5547</v>
      </c>
      <c r="E5343" t="s">
        <v>23</v>
      </c>
    </row>
    <row r="5344" spans="1:5" hidden="1" outlineLevel="2">
      <c r="A5344" s="3" t="e">
        <f>(HYPERLINK("http://www.autodoc.ru/Web/price/art/5438LGSV2FD?analog=on","5438LGSV2FD"))*1</f>
        <v>#VALUE!</v>
      </c>
      <c r="B5344" s="1">
        <v>6997017</v>
      </c>
      <c r="C5344" t="s">
        <v>782</v>
      </c>
      <c r="D5344" t="s">
        <v>5548</v>
      </c>
      <c r="E5344" t="s">
        <v>10</v>
      </c>
    </row>
    <row r="5345" spans="1:5" hidden="1" outlineLevel="2">
      <c r="A5345" s="3" t="e">
        <f>(HYPERLINK("http://www.autodoc.ru/Web/price/art/5438LGSV3MQ?analog=on","5438LGSV3MQ"))*1</f>
        <v>#VALUE!</v>
      </c>
      <c r="B5345" s="1">
        <v>6997792</v>
      </c>
      <c r="C5345" t="s">
        <v>782</v>
      </c>
      <c r="D5345" t="s">
        <v>5549</v>
      </c>
      <c r="E5345" t="s">
        <v>10</v>
      </c>
    </row>
    <row r="5346" spans="1:5" hidden="1" outlineLevel="2">
      <c r="A5346" s="3" t="e">
        <f>(HYPERLINK("http://www.autodoc.ru/Web/price/art/5438LGSV3RQOW?analog=on","5438LGSV3RQOW"))*1</f>
        <v>#VALUE!</v>
      </c>
      <c r="B5346" s="1">
        <v>6900335</v>
      </c>
      <c r="C5346" t="s">
        <v>782</v>
      </c>
      <c r="D5346" t="s">
        <v>5550</v>
      </c>
      <c r="E5346" t="s">
        <v>10</v>
      </c>
    </row>
    <row r="5347" spans="1:5" hidden="1" outlineLevel="2">
      <c r="A5347" s="3" t="e">
        <f>(HYPERLINK("http://www.autodoc.ru/Web/price/art/5438LGSV4RD?analog=on","5438LGSV4RD"))*1</f>
        <v>#VALUE!</v>
      </c>
      <c r="B5347" s="1">
        <v>6900726</v>
      </c>
      <c r="C5347" t="s">
        <v>782</v>
      </c>
      <c r="D5347" t="s">
        <v>5551</v>
      </c>
      <c r="E5347" t="s">
        <v>10</v>
      </c>
    </row>
    <row r="5348" spans="1:5" hidden="1" outlineLevel="2">
      <c r="A5348" s="3" t="e">
        <f>(HYPERLINK("http://www.autodoc.ru/Web/price/art/5438RGSV2FD?analog=on","5438RGSV2FD"))*1</f>
        <v>#VALUE!</v>
      </c>
      <c r="B5348" s="1">
        <v>6996252</v>
      </c>
      <c r="C5348" t="s">
        <v>782</v>
      </c>
      <c r="D5348" t="s">
        <v>5552</v>
      </c>
      <c r="E5348" t="s">
        <v>10</v>
      </c>
    </row>
    <row r="5349" spans="1:5" hidden="1" outlineLevel="2">
      <c r="A5349" s="3" t="e">
        <f>(HYPERLINK("http://www.autodoc.ru/Web/price/art/5438RGSV4RD?analog=on","5438RGSV4RD"))*1</f>
        <v>#VALUE!</v>
      </c>
      <c r="B5349" s="1">
        <v>6997793</v>
      </c>
      <c r="C5349" t="s">
        <v>782</v>
      </c>
      <c r="D5349" t="s">
        <v>5553</v>
      </c>
      <c r="E5349" t="s">
        <v>10</v>
      </c>
    </row>
    <row r="5350" spans="1:5" hidden="1" outlineLevel="2">
      <c r="A5350" s="3" t="e">
        <f>(HYPERLINK("http://www.autodoc.ru/Web/price/art/5438RGSV3RQOW?analog=on","5438RGSV3RQOW"))*1</f>
        <v>#VALUE!</v>
      </c>
      <c r="B5350" s="1">
        <v>6900349</v>
      </c>
      <c r="C5350" t="s">
        <v>782</v>
      </c>
      <c r="D5350" t="s">
        <v>5554</v>
      </c>
      <c r="E5350" t="s">
        <v>10</v>
      </c>
    </row>
    <row r="5351" spans="1:5" collapsed="1">
      <c r="A5351" s="28" t="s">
        <v>5555</v>
      </c>
      <c r="B5351" s="28">
        <v>0</v>
      </c>
      <c r="C5351" s="28">
        <v>0</v>
      </c>
      <c r="D5351" s="28">
        <v>0</v>
      </c>
      <c r="E5351" s="28">
        <v>0</v>
      </c>
    </row>
    <row r="5352" spans="1:5" hidden="1" outlineLevel="1">
      <c r="A5352" s="2">
        <v>0</v>
      </c>
      <c r="B5352" s="26" t="s">
        <v>5556</v>
      </c>
      <c r="C5352" s="27">
        <v>0</v>
      </c>
      <c r="D5352" s="27">
        <v>0</v>
      </c>
      <c r="E5352" s="27">
        <v>0</v>
      </c>
    </row>
    <row r="5353" spans="1:5" hidden="1" outlineLevel="2">
      <c r="A5353" s="3" t="e">
        <f>(HYPERLINK("http://www.autodoc.ru/Web/price/art/5355AGS?analog=on","5355AGS"))*1</f>
        <v>#VALUE!</v>
      </c>
      <c r="B5353" s="1">
        <v>6960574</v>
      </c>
      <c r="C5353" t="s">
        <v>1137</v>
      </c>
      <c r="D5353" t="s">
        <v>5557</v>
      </c>
      <c r="E5353" t="s">
        <v>8</v>
      </c>
    </row>
    <row r="5354" spans="1:5" hidden="1" outlineLevel="2">
      <c r="A5354" s="3" t="e">
        <f>(HYPERLINK("http://www.autodoc.ru/Web/price/art/5355AGSM1B?analog=on","5355AGSM1B"))*1</f>
        <v>#VALUE!</v>
      </c>
      <c r="B5354" s="1">
        <v>6960749</v>
      </c>
      <c r="C5354" t="s">
        <v>1137</v>
      </c>
      <c r="D5354" t="s">
        <v>5558</v>
      </c>
      <c r="E5354" t="s">
        <v>8</v>
      </c>
    </row>
    <row r="5355" spans="1:5" hidden="1" outlineLevel="2">
      <c r="A5355" s="3" t="e">
        <f>(HYPERLINK("http://www.autodoc.ru/Web/price/art/5355ASMT?analog=on","5355ASMT"))*1</f>
        <v>#VALUE!</v>
      </c>
      <c r="B5355" s="1">
        <v>6101581</v>
      </c>
      <c r="C5355" t="s">
        <v>19</v>
      </c>
      <c r="D5355" t="s">
        <v>5559</v>
      </c>
      <c r="E5355" t="s">
        <v>21</v>
      </c>
    </row>
    <row r="5356" spans="1:5" hidden="1" outlineLevel="2">
      <c r="A5356" s="3" t="e">
        <f>(HYPERLINK("http://www.autodoc.ru/Web/price/art/5355BGSCU?analog=on","5355BGSCU"))*1</f>
        <v>#VALUE!</v>
      </c>
      <c r="B5356" s="1">
        <v>6991950</v>
      </c>
      <c r="C5356" t="s">
        <v>1137</v>
      </c>
      <c r="D5356" t="s">
        <v>5560</v>
      </c>
      <c r="E5356" t="s">
        <v>23</v>
      </c>
    </row>
    <row r="5357" spans="1:5" hidden="1" outlineLevel="2">
      <c r="A5357" s="3" t="e">
        <f>(HYPERLINK("http://www.autodoc.ru/Web/price/art/5355BGSC?analog=on","5355BGSC"))*1</f>
        <v>#VALUE!</v>
      </c>
      <c r="B5357" s="1">
        <v>6993474</v>
      </c>
      <c r="C5357" t="s">
        <v>1137</v>
      </c>
      <c r="D5357" t="s">
        <v>5561</v>
      </c>
      <c r="E5357" t="s">
        <v>23</v>
      </c>
    </row>
    <row r="5358" spans="1:5" hidden="1" outlineLevel="2">
      <c r="A5358" s="3" t="e">
        <f>(HYPERLINK("http://www.autodoc.ru/Web/price/art/5355BGST?analog=on","5355BGST"))*1</f>
        <v>#VALUE!</v>
      </c>
      <c r="B5358" s="1">
        <v>6993070</v>
      </c>
      <c r="C5358" t="s">
        <v>1137</v>
      </c>
      <c r="D5358" t="s">
        <v>5562</v>
      </c>
      <c r="E5358" t="s">
        <v>23</v>
      </c>
    </row>
    <row r="5359" spans="1:5" hidden="1" outlineLevel="2">
      <c r="A5359" s="3" t="e">
        <f>(HYPERLINK("http://www.autodoc.ru/Web/price/art/5355LGST2FD?analog=on","5355LGST2FD"))*1</f>
        <v>#VALUE!</v>
      </c>
      <c r="B5359" s="1">
        <v>6993498</v>
      </c>
      <c r="C5359" t="s">
        <v>1137</v>
      </c>
      <c r="D5359" t="s">
        <v>5563</v>
      </c>
      <c r="E5359" t="s">
        <v>10</v>
      </c>
    </row>
    <row r="5360" spans="1:5" hidden="1" outlineLevel="2">
      <c r="A5360" s="3" t="e">
        <f>(HYPERLINK("http://www.autodoc.ru/Web/price/art/5355RGST2FD?analog=on","5355RGST2FD"))*1</f>
        <v>#VALUE!</v>
      </c>
      <c r="B5360" s="1">
        <v>6993499</v>
      </c>
      <c r="C5360" t="s">
        <v>1137</v>
      </c>
      <c r="D5360" t="s">
        <v>5564</v>
      </c>
      <c r="E5360" t="s">
        <v>10</v>
      </c>
    </row>
    <row r="5361" spans="1:5" collapsed="1">
      <c r="A5361" s="28" t="s">
        <v>5565</v>
      </c>
      <c r="B5361" s="28">
        <v>0</v>
      </c>
      <c r="C5361" s="28">
        <v>0</v>
      </c>
      <c r="D5361" s="28">
        <v>0</v>
      </c>
      <c r="E5361" s="28">
        <v>0</v>
      </c>
    </row>
    <row r="5362" spans="1:5" hidden="1" outlineLevel="1">
      <c r="A5362" s="2">
        <v>0</v>
      </c>
      <c r="B5362" s="26" t="s">
        <v>5566</v>
      </c>
      <c r="C5362" s="27">
        <v>0</v>
      </c>
      <c r="D5362" s="27">
        <v>0</v>
      </c>
      <c r="E5362" s="27">
        <v>0</v>
      </c>
    </row>
    <row r="5363" spans="1:5" hidden="1" outlineLevel="2">
      <c r="A5363" s="3" t="e">
        <f>(HYPERLINK("http://www.autodoc.ru/Web/price/art/5644AGNBL?analog=on","5644AGNBL"))*1</f>
        <v>#VALUE!</v>
      </c>
      <c r="B5363" s="1">
        <v>6961985</v>
      </c>
      <c r="C5363" t="s">
        <v>1125</v>
      </c>
      <c r="D5363" t="s">
        <v>5567</v>
      </c>
      <c r="E5363" t="s">
        <v>8</v>
      </c>
    </row>
    <row r="5364" spans="1:5" hidden="1" outlineLevel="2">
      <c r="A5364" s="3" t="e">
        <f>(HYPERLINK("http://www.autodoc.ru/Web/price/art/5644AGYGY?analog=on","5644AGYGY"))*1</f>
        <v>#VALUE!</v>
      </c>
      <c r="B5364" s="1">
        <v>6961986</v>
      </c>
      <c r="C5364" t="s">
        <v>1125</v>
      </c>
      <c r="D5364" t="s">
        <v>5568</v>
      </c>
      <c r="E5364" t="s">
        <v>8</v>
      </c>
    </row>
    <row r="5365" spans="1:5" hidden="1" outlineLevel="1">
      <c r="A5365" s="2">
        <v>0</v>
      </c>
      <c r="B5365" s="26" t="s">
        <v>5569</v>
      </c>
      <c r="C5365" s="27">
        <v>0</v>
      </c>
      <c r="D5365" s="27">
        <v>0</v>
      </c>
      <c r="E5365" s="27">
        <v>0</v>
      </c>
    </row>
    <row r="5366" spans="1:5" hidden="1" outlineLevel="2">
      <c r="A5366" s="3" t="e">
        <f>(HYPERLINK("http://www.autodoc.ru/Web/price/art/5689AGNV?analog=on","5689AGNV"))*1</f>
        <v>#VALUE!</v>
      </c>
      <c r="B5366" s="1">
        <v>6965209</v>
      </c>
      <c r="C5366" t="s">
        <v>341</v>
      </c>
      <c r="D5366" t="s">
        <v>5570</v>
      </c>
      <c r="E5366" t="s">
        <v>8</v>
      </c>
    </row>
    <row r="5367" spans="1:5" hidden="1" outlineLevel="2">
      <c r="A5367" s="3" t="e">
        <f>(HYPERLINK("http://www.autodoc.ru/Web/price/art/5689AGNMV1B?analog=on","5689AGNMV1B"))*1</f>
        <v>#VALUE!</v>
      </c>
      <c r="B5367" s="1">
        <v>6965262</v>
      </c>
      <c r="C5367" t="s">
        <v>341</v>
      </c>
      <c r="D5367" t="s">
        <v>5571</v>
      </c>
      <c r="E5367" t="s">
        <v>8</v>
      </c>
    </row>
    <row r="5368" spans="1:5" hidden="1" outlineLevel="1">
      <c r="A5368" s="2">
        <v>0</v>
      </c>
      <c r="B5368" s="26" t="s">
        <v>5572</v>
      </c>
      <c r="C5368" s="27">
        <v>0</v>
      </c>
      <c r="D5368" s="27">
        <v>0</v>
      </c>
      <c r="E5368" s="27">
        <v>0</v>
      </c>
    </row>
    <row r="5369" spans="1:5" hidden="1" outlineLevel="2">
      <c r="A5369" s="3" t="e">
        <f>(HYPERLINK("http://www.autodoc.ru/Web/price/art/5625ACL?analog=on","5625ACL"))*1</f>
        <v>#VALUE!</v>
      </c>
      <c r="B5369" s="1">
        <v>6963749</v>
      </c>
      <c r="C5369" t="s">
        <v>5573</v>
      </c>
      <c r="D5369" t="s">
        <v>5574</v>
      </c>
      <c r="E5369" t="s">
        <v>8</v>
      </c>
    </row>
    <row r="5370" spans="1:5" hidden="1" outlineLevel="1">
      <c r="A5370" s="2">
        <v>0</v>
      </c>
      <c r="B5370" s="26" t="s">
        <v>5575</v>
      </c>
      <c r="C5370" s="27">
        <v>0</v>
      </c>
      <c r="D5370" s="27">
        <v>0</v>
      </c>
      <c r="E5370" s="27">
        <v>0</v>
      </c>
    </row>
    <row r="5371" spans="1:5" hidden="1" outlineLevel="2">
      <c r="A5371" s="3" t="e">
        <f>(HYPERLINK("http://www.autodoc.ru/Web/price/art/5646AGN?analog=on","5646AGN"))*1</f>
        <v>#VALUE!</v>
      </c>
      <c r="B5371" s="1">
        <v>6969290</v>
      </c>
      <c r="C5371" t="s">
        <v>1770</v>
      </c>
      <c r="D5371" t="s">
        <v>5576</v>
      </c>
      <c r="E5371" t="s">
        <v>8</v>
      </c>
    </row>
    <row r="5372" spans="1:5" hidden="1" outlineLevel="2">
      <c r="A5372" s="3" t="e">
        <f>(HYPERLINK("http://www.autodoc.ru/Web/price/art/5646AGNBL?analog=on","5646AGNBL"))*1</f>
        <v>#VALUE!</v>
      </c>
      <c r="B5372" s="1">
        <v>6950078</v>
      </c>
      <c r="C5372" t="s">
        <v>1770</v>
      </c>
      <c r="D5372" t="s">
        <v>5577</v>
      </c>
      <c r="E5372" t="s">
        <v>8</v>
      </c>
    </row>
    <row r="5373" spans="1:5" hidden="1" outlineLevel="2">
      <c r="A5373" s="3" t="e">
        <f>(HYPERLINK("http://www.autodoc.ru/Web/price/art/5646AGNGN?analog=on","5646AGNGN"))*1</f>
        <v>#VALUE!</v>
      </c>
      <c r="B5373" s="1">
        <v>6961707</v>
      </c>
      <c r="C5373" t="s">
        <v>1770</v>
      </c>
      <c r="D5373" t="s">
        <v>5578</v>
      </c>
      <c r="E5373" t="s">
        <v>8</v>
      </c>
    </row>
    <row r="5374" spans="1:5" hidden="1" outlineLevel="2">
      <c r="A5374" s="3" t="e">
        <f>(HYPERLINK("http://www.autodoc.ru/Web/price/art/5646ASMHT?analog=on","5646ASMHT"))*1</f>
        <v>#VALUE!</v>
      </c>
      <c r="B5374" s="1">
        <v>6100133</v>
      </c>
      <c r="C5374" t="s">
        <v>19</v>
      </c>
      <c r="D5374" t="s">
        <v>5579</v>
      </c>
      <c r="E5374" t="s">
        <v>21</v>
      </c>
    </row>
    <row r="5375" spans="1:5" hidden="1" outlineLevel="2">
      <c r="A5375" s="3" t="e">
        <f>(HYPERLINK("http://www.autodoc.ru/Web/price/art/5646BGNH?analog=on","5646BGNH"))*1</f>
        <v>#VALUE!</v>
      </c>
      <c r="B5375" s="1">
        <v>6994775</v>
      </c>
      <c r="C5375" t="s">
        <v>1770</v>
      </c>
      <c r="D5375" t="s">
        <v>5580</v>
      </c>
      <c r="E5375" t="s">
        <v>23</v>
      </c>
    </row>
    <row r="5376" spans="1:5" hidden="1" outlineLevel="2">
      <c r="A5376" s="3" t="e">
        <f>(HYPERLINK("http://www.autodoc.ru/Web/price/art/5646BGNH1J?analog=on","5646BGNH1J"))*1</f>
        <v>#VALUE!</v>
      </c>
      <c r="B5376" s="1">
        <v>6990340</v>
      </c>
      <c r="C5376" t="s">
        <v>5213</v>
      </c>
      <c r="D5376" t="s">
        <v>5581</v>
      </c>
      <c r="E5376" t="s">
        <v>23</v>
      </c>
    </row>
    <row r="5377" spans="1:5" hidden="1" outlineLevel="2">
      <c r="A5377" s="3" t="e">
        <f>(HYPERLINK("http://www.autodoc.ru/Web/price/art/5646BGNS?analog=on","5646BGNS"))*1</f>
        <v>#VALUE!</v>
      </c>
      <c r="B5377" s="1">
        <v>6994776</v>
      </c>
      <c r="C5377" t="s">
        <v>1770</v>
      </c>
      <c r="D5377" t="s">
        <v>5582</v>
      </c>
      <c r="E5377" t="s">
        <v>23</v>
      </c>
    </row>
    <row r="5378" spans="1:5" hidden="1" outlineLevel="2">
      <c r="A5378" s="3" t="e">
        <f>(HYPERLINK("http://www.autodoc.ru/Web/price/art/5646LGNH5FD?analog=on","5646LGNH5FD"))*1</f>
        <v>#VALUE!</v>
      </c>
      <c r="B5378" s="1">
        <v>6996786</v>
      </c>
      <c r="C5378" t="s">
        <v>1770</v>
      </c>
      <c r="D5378" t="s">
        <v>5583</v>
      </c>
      <c r="E5378" t="s">
        <v>10</v>
      </c>
    </row>
    <row r="5379" spans="1:5" hidden="1" outlineLevel="2">
      <c r="A5379" s="3" t="e">
        <f>(HYPERLINK("http://www.autodoc.ru/Web/price/art/5646LGNH5RD?analog=on","5646LGNH5RD"))*1</f>
        <v>#VALUE!</v>
      </c>
      <c r="B5379" s="1">
        <v>6996787</v>
      </c>
      <c r="C5379" t="s">
        <v>1770</v>
      </c>
      <c r="D5379" t="s">
        <v>5584</v>
      </c>
      <c r="E5379" t="s">
        <v>10</v>
      </c>
    </row>
    <row r="5380" spans="1:5" hidden="1" outlineLevel="2">
      <c r="A5380" s="3" t="e">
        <f>(HYPERLINK("http://www.autodoc.ru/Web/price/art/5646LGNH5RV?analog=on","5646LGNH5RV"))*1</f>
        <v>#VALUE!</v>
      </c>
      <c r="B5380" s="1">
        <v>6996788</v>
      </c>
      <c r="C5380" t="s">
        <v>1770</v>
      </c>
      <c r="D5380" t="s">
        <v>5585</v>
      </c>
      <c r="E5380" t="s">
        <v>10</v>
      </c>
    </row>
    <row r="5381" spans="1:5" hidden="1" outlineLevel="2">
      <c r="A5381" s="3" t="e">
        <f>(HYPERLINK("http://www.autodoc.ru/Web/price/art/5646LGNS4RD?analog=on","5646LGNS4RD"))*1</f>
        <v>#VALUE!</v>
      </c>
      <c r="B5381" s="1">
        <v>6996789</v>
      </c>
      <c r="C5381" t="s">
        <v>1770</v>
      </c>
      <c r="D5381" t="s">
        <v>5586</v>
      </c>
      <c r="E5381" t="s">
        <v>10</v>
      </c>
    </row>
    <row r="5382" spans="1:5" hidden="1" outlineLevel="2">
      <c r="A5382" s="3" t="e">
        <f>(HYPERLINK("http://www.autodoc.ru/Web/price/art/5646LGNS4RV?analog=on","5646LGNS4RV"))*1</f>
        <v>#VALUE!</v>
      </c>
      <c r="B5382" s="1">
        <v>6996790</v>
      </c>
      <c r="C5382" t="s">
        <v>1770</v>
      </c>
      <c r="D5382" t="s">
        <v>5587</v>
      </c>
      <c r="E5382" t="s">
        <v>10</v>
      </c>
    </row>
    <row r="5383" spans="1:5" hidden="1" outlineLevel="2">
      <c r="A5383" s="3" t="e">
        <f>(HYPERLINK("http://www.autodoc.ru/Web/price/art/5646RGNH5FD?analog=on","5646RGNH5FD"))*1</f>
        <v>#VALUE!</v>
      </c>
      <c r="B5383" s="1">
        <v>6996791</v>
      </c>
      <c r="C5383" t="s">
        <v>1770</v>
      </c>
      <c r="D5383" t="s">
        <v>5588</v>
      </c>
      <c r="E5383" t="s">
        <v>10</v>
      </c>
    </row>
    <row r="5384" spans="1:5" hidden="1" outlineLevel="2">
      <c r="A5384" s="3" t="e">
        <f>(HYPERLINK("http://www.autodoc.ru/Web/price/art/5646RGNH5RD?analog=on","5646RGNH5RD"))*1</f>
        <v>#VALUE!</v>
      </c>
      <c r="B5384" s="1">
        <v>6996792</v>
      </c>
      <c r="C5384" t="s">
        <v>1770</v>
      </c>
      <c r="D5384" t="s">
        <v>5589</v>
      </c>
      <c r="E5384" t="s">
        <v>10</v>
      </c>
    </row>
    <row r="5385" spans="1:5" hidden="1" outlineLevel="2">
      <c r="A5385" s="3" t="e">
        <f>(HYPERLINK("http://www.autodoc.ru/Web/price/art/5646RGNH5RV?analog=on","5646RGNH5RV"))*1</f>
        <v>#VALUE!</v>
      </c>
      <c r="B5385" s="1">
        <v>6996793</v>
      </c>
      <c r="C5385" t="s">
        <v>1770</v>
      </c>
      <c r="D5385" t="s">
        <v>5590</v>
      </c>
      <c r="E5385" t="s">
        <v>10</v>
      </c>
    </row>
    <row r="5386" spans="1:5" hidden="1" outlineLevel="2">
      <c r="A5386" s="3" t="e">
        <f>(HYPERLINK("http://www.autodoc.ru/Web/price/art/5646RGNS4RD?analog=on","5646RGNS4RD"))*1</f>
        <v>#VALUE!</v>
      </c>
      <c r="B5386" s="1">
        <v>6996794</v>
      </c>
      <c r="C5386" t="s">
        <v>1770</v>
      </c>
      <c r="D5386" t="s">
        <v>5591</v>
      </c>
      <c r="E5386" t="s">
        <v>10</v>
      </c>
    </row>
    <row r="5387" spans="1:5" hidden="1" outlineLevel="2">
      <c r="A5387" s="3" t="e">
        <f>(HYPERLINK("http://www.autodoc.ru/Web/price/art/5646RGNS4RV?analog=on","5646RGNS4RV"))*1</f>
        <v>#VALUE!</v>
      </c>
      <c r="B5387" s="1">
        <v>6996795</v>
      </c>
      <c r="C5387" t="s">
        <v>1770</v>
      </c>
      <c r="D5387" t="s">
        <v>5592</v>
      </c>
      <c r="E5387" t="s">
        <v>10</v>
      </c>
    </row>
    <row r="5388" spans="1:5" hidden="1" outlineLevel="1">
      <c r="A5388" s="2">
        <v>0</v>
      </c>
      <c r="B5388" s="26" t="s">
        <v>5593</v>
      </c>
      <c r="C5388" s="27">
        <v>0</v>
      </c>
      <c r="D5388" s="27">
        <v>0</v>
      </c>
      <c r="E5388" s="27">
        <v>0</v>
      </c>
    </row>
    <row r="5389" spans="1:5" hidden="1" outlineLevel="2">
      <c r="A5389" s="3" t="e">
        <f>(HYPERLINK("http://www.autodoc.ru/Web/price/art/5632ABL?analog=on","5632ABL"))*1</f>
        <v>#VALUE!</v>
      </c>
      <c r="B5389" s="1">
        <v>6965602</v>
      </c>
      <c r="C5389" t="s">
        <v>3215</v>
      </c>
      <c r="D5389" t="s">
        <v>5594</v>
      </c>
      <c r="E5389" t="s">
        <v>8</v>
      </c>
    </row>
    <row r="5390" spans="1:5" hidden="1" outlineLevel="2">
      <c r="A5390" s="3" t="e">
        <f>(HYPERLINK("http://www.autodoc.ru/Web/price/art/5632ABLBL?analog=on","5632ABLBL"))*1</f>
        <v>#VALUE!</v>
      </c>
      <c r="B5390" s="1">
        <v>6965603</v>
      </c>
      <c r="C5390" t="s">
        <v>3215</v>
      </c>
      <c r="D5390" t="s">
        <v>5595</v>
      </c>
      <c r="E5390" t="s">
        <v>8</v>
      </c>
    </row>
    <row r="5391" spans="1:5" hidden="1" outlineLevel="2">
      <c r="A5391" s="3" t="e">
        <f>(HYPERLINK("http://www.autodoc.ru/Web/price/art/5632AKCH?analog=on","5632AKCH"))*1</f>
        <v>#VALUE!</v>
      </c>
      <c r="B5391" s="1">
        <v>6101150</v>
      </c>
      <c r="C5391" t="s">
        <v>19</v>
      </c>
      <c r="D5391" t="s">
        <v>5596</v>
      </c>
      <c r="E5391" t="s">
        <v>21</v>
      </c>
    </row>
    <row r="5392" spans="1:5" hidden="1" outlineLevel="2">
      <c r="A5392" s="3" t="e">
        <f>(HYPERLINK("http://www.autodoc.ru/Web/price/art/5632ASMHT?analog=on","5632ASMHT"))*1</f>
        <v>#VALUE!</v>
      </c>
      <c r="B5392" s="1">
        <v>6101208</v>
      </c>
      <c r="C5392" t="s">
        <v>19</v>
      </c>
      <c r="D5392" t="s">
        <v>5597</v>
      </c>
      <c r="E5392" t="s">
        <v>21</v>
      </c>
    </row>
    <row r="5393" spans="1:5" hidden="1" outlineLevel="2">
      <c r="A5393" s="3" t="e">
        <f>(HYPERLINK("http://www.autodoc.ru/Web/price/art/5632BBLH?analog=on","5632BBLH"))*1</f>
        <v>#VALUE!</v>
      </c>
      <c r="B5393" s="1">
        <v>6998959</v>
      </c>
      <c r="C5393" t="s">
        <v>3215</v>
      </c>
      <c r="D5393" t="s">
        <v>5598</v>
      </c>
      <c r="E5393" t="s">
        <v>23</v>
      </c>
    </row>
    <row r="5394" spans="1:5" hidden="1" outlineLevel="2">
      <c r="A5394" s="3" t="e">
        <f>(HYPERLINK("http://www.autodoc.ru/Web/price/art/5632LBLH3FD?analog=on","5632LBLH3FD"))*1</f>
        <v>#VALUE!</v>
      </c>
      <c r="B5394" s="1">
        <v>6995757</v>
      </c>
      <c r="C5394" t="s">
        <v>3215</v>
      </c>
      <c r="D5394" t="s">
        <v>5599</v>
      </c>
      <c r="E5394" t="s">
        <v>10</v>
      </c>
    </row>
    <row r="5395" spans="1:5" hidden="1" outlineLevel="2">
      <c r="A5395" s="3" t="e">
        <f>(HYPERLINK("http://www.autodoc.ru/Web/price/art/5632RBLH3FD?analog=on","5632RBLH3FD"))*1</f>
        <v>#VALUE!</v>
      </c>
      <c r="B5395" s="1">
        <v>6995758</v>
      </c>
      <c r="C5395" t="s">
        <v>3215</v>
      </c>
      <c r="D5395" t="s">
        <v>5600</v>
      </c>
      <c r="E5395" t="s">
        <v>10</v>
      </c>
    </row>
    <row r="5396" spans="1:5" hidden="1" outlineLevel="1">
      <c r="A5396" s="2">
        <v>0</v>
      </c>
      <c r="B5396" s="26" t="s">
        <v>5601</v>
      </c>
      <c r="C5396" s="27">
        <v>0</v>
      </c>
      <c r="D5396" s="27">
        <v>0</v>
      </c>
      <c r="E5396" s="27">
        <v>0</v>
      </c>
    </row>
    <row r="5397" spans="1:5" hidden="1" outlineLevel="2">
      <c r="A5397" s="3" t="e">
        <f>(HYPERLINK("http://www.autodoc.ru/Web/price/art/5641ABL?analog=on","5641ABL"))*1</f>
        <v>#VALUE!</v>
      </c>
      <c r="B5397" s="1">
        <v>6961426</v>
      </c>
      <c r="C5397" t="s">
        <v>5602</v>
      </c>
      <c r="D5397" t="s">
        <v>5603</v>
      </c>
      <c r="E5397" t="s">
        <v>8</v>
      </c>
    </row>
    <row r="5398" spans="1:5" hidden="1" outlineLevel="2">
      <c r="A5398" s="3" t="e">
        <f>(HYPERLINK("http://www.autodoc.ru/Web/price/art/5641AGN?analog=on","5641AGN"))*1</f>
        <v>#VALUE!</v>
      </c>
      <c r="B5398" s="1">
        <v>6963401</v>
      </c>
      <c r="C5398" t="s">
        <v>5602</v>
      </c>
      <c r="D5398" t="s">
        <v>5604</v>
      </c>
      <c r="E5398" t="s">
        <v>8</v>
      </c>
    </row>
    <row r="5399" spans="1:5" hidden="1" outlineLevel="2">
      <c r="A5399" s="3" t="e">
        <f>(HYPERLINK("http://www.autodoc.ru/Web/price/art/5641ASMHT?analog=on","5641ASMHT"))*1</f>
        <v>#VALUE!</v>
      </c>
      <c r="B5399" s="1">
        <v>6100132</v>
      </c>
      <c r="C5399" t="s">
        <v>19</v>
      </c>
      <c r="D5399" t="s">
        <v>5605</v>
      </c>
      <c r="E5399" t="s">
        <v>21</v>
      </c>
    </row>
    <row r="5400" spans="1:5" hidden="1" outlineLevel="2">
      <c r="A5400" s="3" t="e">
        <f>(HYPERLINK("http://www.autodoc.ru/Web/price/art/5641LBLH3FD?analog=on","5641LBLH3FD"))*1</f>
        <v>#VALUE!</v>
      </c>
      <c r="B5400" s="1">
        <v>6999409</v>
      </c>
      <c r="C5400" t="s">
        <v>5602</v>
      </c>
      <c r="D5400" t="s">
        <v>5606</v>
      </c>
      <c r="E5400" t="s">
        <v>10</v>
      </c>
    </row>
    <row r="5401" spans="1:5" hidden="1" outlineLevel="2">
      <c r="A5401" s="3" t="e">
        <f>(HYPERLINK("http://www.autodoc.ru/Web/price/art/5641RBLH3FD?analog=on","5641RBLH3FD"))*1</f>
        <v>#VALUE!</v>
      </c>
      <c r="B5401" s="1">
        <v>6999410</v>
      </c>
      <c r="C5401" t="s">
        <v>5602</v>
      </c>
      <c r="D5401" t="s">
        <v>5607</v>
      </c>
      <c r="E5401" t="s">
        <v>10</v>
      </c>
    </row>
    <row r="5402" spans="1:5" hidden="1" outlineLevel="1">
      <c r="A5402" s="2">
        <v>0</v>
      </c>
      <c r="B5402" s="26" t="s">
        <v>5608</v>
      </c>
      <c r="C5402" s="27">
        <v>0</v>
      </c>
      <c r="D5402" s="27">
        <v>0</v>
      </c>
      <c r="E5402" s="27">
        <v>0</v>
      </c>
    </row>
    <row r="5403" spans="1:5" hidden="1" outlineLevel="2">
      <c r="A5403" s="3" t="e">
        <f>(HYPERLINK("http://www.autodoc.ru/Web/price/art/5647AGN?analog=on","5647AGN"))*1</f>
        <v>#VALUE!</v>
      </c>
      <c r="B5403" s="1">
        <v>6963751</v>
      </c>
      <c r="C5403" t="s">
        <v>240</v>
      </c>
      <c r="D5403" t="s">
        <v>5609</v>
      </c>
      <c r="E5403" t="s">
        <v>8</v>
      </c>
    </row>
    <row r="5404" spans="1:5" hidden="1" outlineLevel="2">
      <c r="A5404" s="3" t="e">
        <f>(HYPERLINK("http://www.autodoc.ru/Web/price/art/5647AGNBL?analog=on","5647AGNBL"))*1</f>
        <v>#VALUE!</v>
      </c>
      <c r="B5404" s="1">
        <v>6963244</v>
      </c>
      <c r="C5404" t="s">
        <v>240</v>
      </c>
      <c r="D5404" t="s">
        <v>5610</v>
      </c>
      <c r="E5404" t="s">
        <v>8</v>
      </c>
    </row>
    <row r="5405" spans="1:5" hidden="1" outlineLevel="2">
      <c r="A5405" s="3" t="e">
        <f>(HYPERLINK("http://www.autodoc.ru/Web/price/art/5647AGNGN?analog=on","5647AGNGN"))*1</f>
        <v>#VALUE!</v>
      </c>
      <c r="B5405" s="1">
        <v>6963909</v>
      </c>
      <c r="C5405" t="s">
        <v>240</v>
      </c>
      <c r="D5405" t="s">
        <v>5611</v>
      </c>
      <c r="E5405" t="s">
        <v>8</v>
      </c>
    </row>
    <row r="5406" spans="1:5" hidden="1" outlineLevel="2">
      <c r="A5406" s="3" t="e">
        <f>(HYPERLINK("http://www.autodoc.ru/Web/price/art/5647AKCH?analog=on","5647AKCH"))*1</f>
        <v>#VALUE!</v>
      </c>
      <c r="B5406" s="1">
        <v>6101080</v>
      </c>
      <c r="C5406" t="s">
        <v>19</v>
      </c>
      <c r="D5406" t="s">
        <v>5612</v>
      </c>
      <c r="E5406" t="s">
        <v>21</v>
      </c>
    </row>
    <row r="5407" spans="1:5" hidden="1" outlineLevel="2">
      <c r="A5407" s="3" t="e">
        <f>(HYPERLINK("http://www.autodoc.ru/Web/price/art/5647ASMHT?analog=on","5647ASMHT"))*1</f>
        <v>#VALUE!</v>
      </c>
      <c r="B5407" s="1">
        <v>6101109</v>
      </c>
      <c r="C5407" t="s">
        <v>19</v>
      </c>
      <c r="D5407" t="s">
        <v>5613</v>
      </c>
      <c r="E5407" t="s">
        <v>21</v>
      </c>
    </row>
    <row r="5408" spans="1:5" hidden="1" outlineLevel="2">
      <c r="A5408" s="3" t="e">
        <f>(HYPERLINK("http://www.autodoc.ru/Web/price/art/5647BGNHW?analog=on","5647BGNHW"))*1</f>
        <v>#VALUE!</v>
      </c>
      <c r="B5408" s="1">
        <v>6992411</v>
      </c>
      <c r="C5408" t="s">
        <v>240</v>
      </c>
      <c r="D5408" t="s">
        <v>5614</v>
      </c>
      <c r="E5408" t="s">
        <v>23</v>
      </c>
    </row>
    <row r="5409" spans="1:5" hidden="1" outlineLevel="2">
      <c r="A5409" s="3" t="e">
        <f>(HYPERLINK("http://www.autodoc.ru/Web/price/art/5647LGNH3FD?analog=on","5647LGNH3FD"))*1</f>
        <v>#VALUE!</v>
      </c>
      <c r="B5409" s="1">
        <v>6995319</v>
      </c>
      <c r="C5409" t="s">
        <v>240</v>
      </c>
      <c r="D5409" t="s">
        <v>5615</v>
      </c>
      <c r="E5409" t="s">
        <v>10</v>
      </c>
    </row>
    <row r="5410" spans="1:5" hidden="1" outlineLevel="2">
      <c r="A5410" s="3" t="e">
        <f>(HYPERLINK("http://www.autodoc.ru/Web/price/art/5647RGNH3FD?analog=on","5647RGNH3FD"))*1</f>
        <v>#VALUE!</v>
      </c>
      <c r="B5410" s="1">
        <v>6995902</v>
      </c>
      <c r="C5410" t="s">
        <v>240</v>
      </c>
      <c r="D5410" t="s">
        <v>5616</v>
      </c>
      <c r="E5410" t="s">
        <v>10</v>
      </c>
    </row>
    <row r="5411" spans="1:5" hidden="1" outlineLevel="1">
      <c r="A5411" s="2">
        <v>0</v>
      </c>
      <c r="B5411" s="26" t="s">
        <v>5617</v>
      </c>
      <c r="C5411" s="27">
        <v>0</v>
      </c>
      <c r="D5411" s="27">
        <v>0</v>
      </c>
      <c r="E5411" s="27">
        <v>0</v>
      </c>
    </row>
    <row r="5412" spans="1:5" hidden="1" outlineLevel="2">
      <c r="A5412" s="3" t="e">
        <f>(HYPERLINK("http://www.autodoc.ru/Web/price/art/5676AGN?analog=on","5676AGN"))*1</f>
        <v>#VALUE!</v>
      </c>
      <c r="B5412" s="1">
        <v>6960469</v>
      </c>
      <c r="C5412" t="s">
        <v>890</v>
      </c>
      <c r="D5412" t="s">
        <v>5618</v>
      </c>
      <c r="E5412" t="s">
        <v>8</v>
      </c>
    </row>
    <row r="5413" spans="1:5" hidden="1" outlineLevel="2">
      <c r="A5413" s="3" t="e">
        <f>(HYPERLINK("http://www.autodoc.ru/Web/price/art/5676AGNBL?analog=on","5676AGNBL"))*1</f>
        <v>#VALUE!</v>
      </c>
      <c r="B5413" s="1">
        <v>6960933</v>
      </c>
      <c r="C5413" t="s">
        <v>890</v>
      </c>
      <c r="D5413" t="s">
        <v>5619</v>
      </c>
      <c r="E5413" t="s">
        <v>8</v>
      </c>
    </row>
    <row r="5414" spans="1:5" hidden="1" outlineLevel="2">
      <c r="A5414" s="3" t="e">
        <f>(HYPERLINK("http://www.autodoc.ru/Web/price/art/5676AGNM1B?analog=on","5676AGNM1B"))*1</f>
        <v>#VALUE!</v>
      </c>
      <c r="B5414" s="1">
        <v>6961466</v>
      </c>
      <c r="C5414" t="s">
        <v>890</v>
      </c>
      <c r="D5414" t="s">
        <v>5620</v>
      </c>
      <c r="E5414" t="s">
        <v>8</v>
      </c>
    </row>
    <row r="5415" spans="1:5" hidden="1" outlineLevel="2">
      <c r="A5415" s="3" t="e">
        <f>(HYPERLINK("http://www.autodoc.ru/Web/price/art/5676ASMHT?analog=on","5676ASMHT"))*1</f>
        <v>#VALUE!</v>
      </c>
      <c r="B5415" s="1">
        <v>6190773</v>
      </c>
      <c r="C5415" t="s">
        <v>19</v>
      </c>
      <c r="D5415" t="s">
        <v>5621</v>
      </c>
      <c r="E5415" t="s">
        <v>21</v>
      </c>
    </row>
    <row r="5416" spans="1:5" hidden="1" outlineLevel="2">
      <c r="A5416" s="3" t="e">
        <f>(HYPERLINK("http://www.autodoc.ru/Web/price/art/5676LGNH3FD?analog=on","5676LGNH3FD"))*1</f>
        <v>#VALUE!</v>
      </c>
      <c r="B5416" s="1">
        <v>6991977</v>
      </c>
      <c r="C5416" t="s">
        <v>890</v>
      </c>
      <c r="D5416" t="s">
        <v>5622</v>
      </c>
      <c r="E5416" t="s">
        <v>10</v>
      </c>
    </row>
    <row r="5417" spans="1:5" hidden="1" outlineLevel="2">
      <c r="A5417" s="3" t="e">
        <f>(HYPERLINK("http://www.autodoc.ru/Web/price/art/5676LGNH3RQZ?analog=on","5676LGNH3RQZ"))*1</f>
        <v>#VALUE!</v>
      </c>
      <c r="B5417" s="1">
        <v>6991958</v>
      </c>
      <c r="C5417" t="s">
        <v>890</v>
      </c>
      <c r="D5417" t="s">
        <v>5623</v>
      </c>
      <c r="E5417" t="s">
        <v>10</v>
      </c>
    </row>
    <row r="5418" spans="1:5" hidden="1" outlineLevel="2">
      <c r="A5418" s="3" t="e">
        <f>(HYPERLINK("http://www.autodoc.ru/Web/price/art/5676LGSH3RQZ?analog=on","5676LGSH3RQZ"))*1</f>
        <v>#VALUE!</v>
      </c>
      <c r="B5418" s="1">
        <v>6993034</v>
      </c>
      <c r="C5418" t="s">
        <v>890</v>
      </c>
      <c r="D5418" t="s">
        <v>5624</v>
      </c>
      <c r="E5418" t="s">
        <v>10</v>
      </c>
    </row>
    <row r="5419" spans="1:5" hidden="1" outlineLevel="2">
      <c r="A5419" s="3" t="e">
        <f>(HYPERLINK("http://www.autodoc.ru/Web/price/art/5676RGNH3FD?analog=on","5676RGNH3FD"))*1</f>
        <v>#VALUE!</v>
      </c>
      <c r="B5419" s="1">
        <v>6992004</v>
      </c>
      <c r="C5419" t="s">
        <v>890</v>
      </c>
      <c r="D5419" t="s">
        <v>5625</v>
      </c>
      <c r="E5419" t="s">
        <v>10</v>
      </c>
    </row>
    <row r="5420" spans="1:5" hidden="1" outlineLevel="2">
      <c r="A5420" s="3" t="e">
        <f>(HYPERLINK("http://www.autodoc.ru/Web/price/art/5676RGNH3RQZ?analog=on","5676RGNH3RQZ"))*1</f>
        <v>#VALUE!</v>
      </c>
      <c r="B5420" s="1">
        <v>6991959</v>
      </c>
      <c r="C5420" t="s">
        <v>890</v>
      </c>
      <c r="D5420" t="s">
        <v>5626</v>
      </c>
      <c r="E5420" t="s">
        <v>10</v>
      </c>
    </row>
    <row r="5421" spans="1:5" hidden="1" outlineLevel="2">
      <c r="A5421" s="3" t="e">
        <f>(HYPERLINK("http://www.autodoc.ru/Web/price/art/5676RGSH3RQZ?analog=on","5676RGSH3RQZ"))*1</f>
        <v>#VALUE!</v>
      </c>
      <c r="B5421" s="1">
        <v>6993036</v>
      </c>
      <c r="C5421" t="s">
        <v>890</v>
      </c>
      <c r="D5421" t="s">
        <v>5627</v>
      </c>
      <c r="E5421" t="s">
        <v>10</v>
      </c>
    </row>
    <row r="5422" spans="1:5" hidden="1" outlineLevel="1">
      <c r="A5422" s="2">
        <v>0</v>
      </c>
      <c r="B5422" s="26" t="s">
        <v>5628</v>
      </c>
      <c r="C5422" s="27">
        <v>0</v>
      </c>
      <c r="D5422" s="27">
        <v>0</v>
      </c>
      <c r="E5422" s="27">
        <v>0</v>
      </c>
    </row>
    <row r="5423" spans="1:5" hidden="1" outlineLevel="2">
      <c r="A5423" s="3" t="e">
        <f>(HYPERLINK("http://www.autodoc.ru/Web/price/art/5672AGN6Z?analog=on","5672AGN6Z"))*1</f>
        <v>#VALUE!</v>
      </c>
      <c r="B5423" s="1">
        <v>6963079</v>
      </c>
      <c r="C5423" t="s">
        <v>290</v>
      </c>
      <c r="D5423" t="s">
        <v>5629</v>
      </c>
      <c r="E5423" t="s">
        <v>8</v>
      </c>
    </row>
    <row r="5424" spans="1:5" hidden="1" outlineLevel="2">
      <c r="A5424" s="3" t="e">
        <f>(HYPERLINK("http://www.autodoc.ru/Web/price/art/5672AGNM6Z?analog=on","5672AGNM6Z"))*1</f>
        <v>#VALUE!</v>
      </c>
      <c r="B5424" s="1">
        <v>6963081</v>
      </c>
      <c r="C5424" t="s">
        <v>290</v>
      </c>
      <c r="D5424" t="s">
        <v>5630</v>
      </c>
      <c r="E5424" t="s">
        <v>8</v>
      </c>
    </row>
    <row r="5425" spans="1:5" hidden="1" outlineLevel="2">
      <c r="A5425" s="3" t="e">
        <f>(HYPERLINK("http://www.autodoc.ru/Web/price/art/5672AGN?analog=on","5672AGN"))*1</f>
        <v>#VALUE!</v>
      </c>
      <c r="B5425" s="1">
        <v>6961334</v>
      </c>
      <c r="C5425" t="s">
        <v>425</v>
      </c>
      <c r="D5425" t="s">
        <v>5631</v>
      </c>
      <c r="E5425" t="s">
        <v>8</v>
      </c>
    </row>
    <row r="5426" spans="1:5" hidden="1" outlineLevel="2">
      <c r="A5426" s="3" t="e">
        <f>(HYPERLINK("http://www.autodoc.ru/Web/price/art/5672AGN2B?analog=on","5672AGN2B"))*1</f>
        <v>#VALUE!</v>
      </c>
      <c r="B5426" s="1">
        <v>6962312</v>
      </c>
      <c r="C5426" t="s">
        <v>425</v>
      </c>
      <c r="D5426" t="s">
        <v>5632</v>
      </c>
      <c r="E5426" t="s">
        <v>8</v>
      </c>
    </row>
    <row r="5427" spans="1:5" hidden="1" outlineLevel="2">
      <c r="A5427" s="3" t="e">
        <f>(HYPERLINK("http://www.autodoc.ru/Web/price/art/5672AGNBL?analog=on","5672AGNBL"))*1</f>
        <v>#VALUE!</v>
      </c>
      <c r="B5427" s="1">
        <v>6961337</v>
      </c>
      <c r="C5427" t="s">
        <v>425</v>
      </c>
      <c r="D5427" t="s">
        <v>5633</v>
      </c>
      <c r="E5427" t="s">
        <v>8</v>
      </c>
    </row>
    <row r="5428" spans="1:5" hidden="1" outlineLevel="2">
      <c r="A5428" s="3" t="e">
        <f>(HYPERLINK("http://www.autodoc.ru/Web/price/art/5672AGNM1B?analog=on","5672AGNM1B"))*1</f>
        <v>#VALUE!</v>
      </c>
      <c r="B5428" s="1">
        <v>6962616</v>
      </c>
      <c r="C5428" t="s">
        <v>425</v>
      </c>
      <c r="D5428" t="s">
        <v>5634</v>
      </c>
      <c r="E5428" t="s">
        <v>8</v>
      </c>
    </row>
    <row r="5429" spans="1:5" hidden="1" outlineLevel="2">
      <c r="A5429" s="3" t="e">
        <f>(HYPERLINK("http://www.autodoc.ru/Web/price/art/5672ASMHT?analog=on","5672ASMHT"))*1</f>
        <v>#VALUE!</v>
      </c>
      <c r="B5429" s="1">
        <v>6101659</v>
      </c>
      <c r="C5429" t="s">
        <v>19</v>
      </c>
      <c r="D5429" t="s">
        <v>5635</v>
      </c>
      <c r="E5429" t="s">
        <v>21</v>
      </c>
    </row>
    <row r="5430" spans="1:5" hidden="1" outlineLevel="2">
      <c r="A5430" s="3" t="e">
        <f>(HYPERLINK("http://www.autodoc.ru/Web/price/art/5672BGNH?analog=on","5672BGNH"))*1</f>
        <v>#VALUE!</v>
      </c>
      <c r="B5430" s="1">
        <v>6992191</v>
      </c>
      <c r="C5430" t="s">
        <v>425</v>
      </c>
      <c r="D5430" t="s">
        <v>5636</v>
      </c>
      <c r="E5430" t="s">
        <v>23</v>
      </c>
    </row>
    <row r="5431" spans="1:5" hidden="1" outlineLevel="2">
      <c r="A5431" s="3" t="e">
        <f>(HYPERLINK("http://www.autodoc.ru/Web/price/art/5672BYPH?analog=on","5672BYPH"))*1</f>
        <v>#VALUE!</v>
      </c>
      <c r="B5431" s="1">
        <v>6992400</v>
      </c>
      <c r="C5431" t="s">
        <v>425</v>
      </c>
      <c r="D5431" t="s">
        <v>5637</v>
      </c>
      <c r="E5431" t="s">
        <v>23</v>
      </c>
    </row>
    <row r="5432" spans="1:5" hidden="1" outlineLevel="2">
      <c r="A5432" s="3" t="e">
        <f>(HYPERLINK("http://www.autodoc.ru/Web/price/art/5672LGNH5FD?analog=on","5672LGNH5FD"))*1</f>
        <v>#VALUE!</v>
      </c>
      <c r="B5432" s="1">
        <v>6992192</v>
      </c>
      <c r="C5432" t="s">
        <v>425</v>
      </c>
      <c r="D5432" t="s">
        <v>5638</v>
      </c>
      <c r="E5432" t="s">
        <v>10</v>
      </c>
    </row>
    <row r="5433" spans="1:5" hidden="1" outlineLevel="2">
      <c r="A5433" s="3" t="e">
        <f>(HYPERLINK("http://www.autodoc.ru/Web/price/art/5672LGNH5FQZ?analog=on","5672LGNH5FQZ"))*1</f>
        <v>#VALUE!</v>
      </c>
      <c r="B5433" s="1">
        <v>6992194</v>
      </c>
      <c r="C5433" t="s">
        <v>890</v>
      </c>
      <c r="D5433" t="s">
        <v>5639</v>
      </c>
      <c r="E5433" t="s">
        <v>10</v>
      </c>
    </row>
    <row r="5434" spans="1:5" hidden="1" outlineLevel="2">
      <c r="A5434" s="3" t="e">
        <f>(HYPERLINK("http://www.autodoc.ru/Web/price/art/5672LGNH5RDW?analog=on","5672LGNH5RDW"))*1</f>
        <v>#VALUE!</v>
      </c>
      <c r="B5434" s="1">
        <v>6992196</v>
      </c>
      <c r="C5434" t="s">
        <v>425</v>
      </c>
      <c r="D5434" t="s">
        <v>5640</v>
      </c>
      <c r="E5434" t="s">
        <v>10</v>
      </c>
    </row>
    <row r="5435" spans="1:5" hidden="1" outlineLevel="2">
      <c r="A5435" s="3" t="e">
        <f>(HYPERLINK("http://www.autodoc.ru/Web/price/art/5672LGNH5RD1H?analog=on","5672LGNH5RD1H"))*1</f>
        <v>#VALUE!</v>
      </c>
      <c r="B5435" s="1">
        <v>6996356</v>
      </c>
      <c r="C5435" t="s">
        <v>425</v>
      </c>
      <c r="D5435" t="s">
        <v>5640</v>
      </c>
      <c r="E5435" t="s">
        <v>10</v>
      </c>
    </row>
    <row r="5436" spans="1:5" hidden="1" outlineLevel="2">
      <c r="A5436" s="3" t="e">
        <f>(HYPERLINK("http://www.autodoc.ru/Web/price/art/5672LGNH5RQZ?analog=on","5672LGNH5RQZ"))*1</f>
        <v>#VALUE!</v>
      </c>
      <c r="B5436" s="1">
        <v>6992198</v>
      </c>
      <c r="C5436" t="s">
        <v>425</v>
      </c>
      <c r="D5436" t="s">
        <v>5641</v>
      </c>
      <c r="E5436" t="s">
        <v>10</v>
      </c>
    </row>
    <row r="5437" spans="1:5" hidden="1" outlineLevel="2">
      <c r="A5437" s="3" t="e">
        <f>(HYPERLINK("http://www.autodoc.ru/Web/price/art/5672LGSH5FD?analog=on","5672LGSH5FD"))*1</f>
        <v>#VALUE!</v>
      </c>
      <c r="B5437" s="1">
        <v>6993044</v>
      </c>
      <c r="C5437" t="s">
        <v>425</v>
      </c>
      <c r="D5437" t="s">
        <v>5642</v>
      </c>
      <c r="E5437" t="s">
        <v>10</v>
      </c>
    </row>
    <row r="5438" spans="1:5" hidden="1" outlineLevel="2">
      <c r="A5438" s="3" t="e">
        <f>(HYPERLINK("http://www.autodoc.ru/Web/price/art/5672LGSH5RDW?analog=on","5672LGSH5RDW"))*1</f>
        <v>#VALUE!</v>
      </c>
      <c r="B5438" s="1">
        <v>6993046</v>
      </c>
      <c r="C5438" t="s">
        <v>425</v>
      </c>
      <c r="D5438" t="s">
        <v>5643</v>
      </c>
      <c r="E5438" t="s">
        <v>10</v>
      </c>
    </row>
    <row r="5439" spans="1:5" hidden="1" outlineLevel="2">
      <c r="A5439" s="3" t="e">
        <f>(HYPERLINK("http://www.autodoc.ru/Web/price/art/5672LYPH5RDW?analog=on","5672LYPH5RDW"))*1</f>
        <v>#VALUE!</v>
      </c>
      <c r="B5439" s="1">
        <v>6991093</v>
      </c>
      <c r="C5439" t="s">
        <v>425</v>
      </c>
      <c r="D5439" t="s">
        <v>5644</v>
      </c>
      <c r="E5439" t="s">
        <v>10</v>
      </c>
    </row>
    <row r="5440" spans="1:5" hidden="1" outlineLevel="2">
      <c r="A5440" s="3" t="e">
        <f>(HYPERLINK("http://www.autodoc.ru/Web/price/art/5672LYPH5RDW1H?analog=on","5672LYPH5RDW1H"))*1</f>
        <v>#VALUE!</v>
      </c>
      <c r="B5440" s="1">
        <v>6996354</v>
      </c>
      <c r="C5440" t="s">
        <v>425</v>
      </c>
      <c r="D5440" t="s">
        <v>5644</v>
      </c>
      <c r="E5440" t="s">
        <v>10</v>
      </c>
    </row>
    <row r="5441" spans="1:5" hidden="1" outlineLevel="2">
      <c r="A5441" s="3" t="e">
        <f>(HYPERLINK("http://www.autodoc.ru/Web/price/art/5672LYPH5RQZ?analog=on","5672LYPH5RQZ"))*1</f>
        <v>#VALUE!</v>
      </c>
      <c r="B5441" s="1">
        <v>6992405</v>
      </c>
      <c r="C5441" t="s">
        <v>425</v>
      </c>
      <c r="D5441" t="s">
        <v>5645</v>
      </c>
      <c r="E5441" t="s">
        <v>10</v>
      </c>
    </row>
    <row r="5442" spans="1:5" hidden="1" outlineLevel="2">
      <c r="A5442" s="3" t="e">
        <f>(HYPERLINK("http://www.autodoc.ru/Web/price/art/5672RGNH5FD?analog=on","5672RGNH5FD"))*1</f>
        <v>#VALUE!</v>
      </c>
      <c r="B5442" s="1">
        <v>6992193</v>
      </c>
      <c r="C5442" t="s">
        <v>425</v>
      </c>
      <c r="D5442" t="s">
        <v>5646</v>
      </c>
      <c r="E5442" t="s">
        <v>10</v>
      </c>
    </row>
    <row r="5443" spans="1:5" hidden="1" outlineLevel="2">
      <c r="A5443" s="3" t="e">
        <f>(HYPERLINK("http://www.autodoc.ru/Web/price/art/5672RGNH5FQZ?analog=on","5672RGNH5FQZ"))*1</f>
        <v>#VALUE!</v>
      </c>
      <c r="B5443" s="1">
        <v>6992195</v>
      </c>
      <c r="C5443" t="s">
        <v>890</v>
      </c>
      <c r="D5443" t="s">
        <v>5647</v>
      </c>
      <c r="E5443" t="s">
        <v>10</v>
      </c>
    </row>
    <row r="5444" spans="1:5" hidden="1" outlineLevel="2">
      <c r="A5444" s="3" t="e">
        <f>(HYPERLINK("http://www.autodoc.ru/Web/price/art/5672RGNH5RDW?analog=on","5672RGNH5RDW"))*1</f>
        <v>#VALUE!</v>
      </c>
      <c r="B5444" s="1">
        <v>6992197</v>
      </c>
      <c r="C5444" t="s">
        <v>425</v>
      </c>
      <c r="D5444" t="s">
        <v>5648</v>
      </c>
      <c r="E5444" t="s">
        <v>10</v>
      </c>
    </row>
    <row r="5445" spans="1:5" hidden="1" outlineLevel="2">
      <c r="A5445" s="3" t="e">
        <f>(HYPERLINK("http://www.autodoc.ru/Web/price/art/5672RGNH5RD1H?analog=on","5672RGNH5RD1H"))*1</f>
        <v>#VALUE!</v>
      </c>
      <c r="B5445" s="1">
        <v>6996355</v>
      </c>
      <c r="C5445" t="s">
        <v>425</v>
      </c>
      <c r="D5445" t="s">
        <v>5648</v>
      </c>
      <c r="E5445" t="s">
        <v>10</v>
      </c>
    </row>
    <row r="5446" spans="1:5" hidden="1" outlineLevel="2">
      <c r="A5446" s="3" t="e">
        <f>(HYPERLINK("http://www.autodoc.ru/Web/price/art/5672RGNH5RQZ?analog=on","5672RGNH5RQZ"))*1</f>
        <v>#VALUE!</v>
      </c>
      <c r="B5446" s="1">
        <v>6992199</v>
      </c>
      <c r="C5446" t="s">
        <v>425</v>
      </c>
      <c r="D5446" t="s">
        <v>5649</v>
      </c>
      <c r="E5446" t="s">
        <v>10</v>
      </c>
    </row>
    <row r="5447" spans="1:5" hidden="1" outlineLevel="2">
      <c r="A5447" s="3" t="e">
        <f>(HYPERLINK("http://www.autodoc.ru/Web/price/art/5672RGSH5FD?analog=on","5672RGSH5FD"))*1</f>
        <v>#VALUE!</v>
      </c>
      <c r="B5447" s="1">
        <v>6993040</v>
      </c>
      <c r="C5447" t="s">
        <v>425</v>
      </c>
      <c r="D5447" t="s">
        <v>5650</v>
      </c>
      <c r="E5447" t="s">
        <v>10</v>
      </c>
    </row>
    <row r="5448" spans="1:5" hidden="1" outlineLevel="2">
      <c r="A5448" s="3" t="e">
        <f>(HYPERLINK("http://www.autodoc.ru/Web/price/art/5672RGSH5RDW?analog=on","5672RGSH5RDW"))*1</f>
        <v>#VALUE!</v>
      </c>
      <c r="B5448" s="1">
        <v>6993045</v>
      </c>
      <c r="C5448" t="s">
        <v>425</v>
      </c>
      <c r="D5448" t="s">
        <v>5651</v>
      </c>
      <c r="E5448" t="s">
        <v>10</v>
      </c>
    </row>
    <row r="5449" spans="1:5" hidden="1" outlineLevel="2">
      <c r="A5449" s="3" t="e">
        <f>(HYPERLINK("http://www.autodoc.ru/Web/price/art/5672RYPH5RDW?analog=on","5672RYPH5RDW"))*1</f>
        <v>#VALUE!</v>
      </c>
      <c r="B5449" s="1">
        <v>6992283</v>
      </c>
      <c r="C5449" t="s">
        <v>425</v>
      </c>
      <c r="D5449" t="s">
        <v>5652</v>
      </c>
      <c r="E5449" t="s">
        <v>10</v>
      </c>
    </row>
    <row r="5450" spans="1:5" hidden="1" outlineLevel="2">
      <c r="A5450" s="3" t="e">
        <f>(HYPERLINK("http://www.autodoc.ru/Web/price/art/5672RYPH5RDW1H?analog=on","5672RYPH5RDW1H"))*1</f>
        <v>#VALUE!</v>
      </c>
      <c r="B5450" s="1">
        <v>6996353</v>
      </c>
      <c r="C5450" t="s">
        <v>425</v>
      </c>
      <c r="D5450" t="s">
        <v>5652</v>
      </c>
      <c r="E5450" t="s">
        <v>10</v>
      </c>
    </row>
    <row r="5451" spans="1:5" hidden="1" outlineLevel="2">
      <c r="A5451" s="3" t="e">
        <f>(HYPERLINK("http://www.autodoc.ru/Web/price/art/5672RYPH5RQZ?analog=on","5672RYPH5RQZ"))*1</f>
        <v>#VALUE!</v>
      </c>
      <c r="B5451" s="1">
        <v>6992406</v>
      </c>
      <c r="C5451" t="s">
        <v>425</v>
      </c>
      <c r="D5451" t="s">
        <v>5653</v>
      </c>
      <c r="E5451" t="s">
        <v>10</v>
      </c>
    </row>
    <row r="5452" spans="1:5" hidden="1" outlineLevel="1">
      <c r="A5452" s="2">
        <v>0</v>
      </c>
      <c r="B5452" s="26" t="s">
        <v>5654</v>
      </c>
      <c r="C5452" s="27">
        <v>0</v>
      </c>
      <c r="D5452" s="27">
        <v>0</v>
      </c>
      <c r="E5452" s="27">
        <v>0</v>
      </c>
    </row>
    <row r="5453" spans="1:5" hidden="1" outlineLevel="2">
      <c r="A5453" s="3" t="e">
        <f>(HYPERLINK("http://www.autodoc.ru/Web/price/art/5640AGNBL?analog=on","5640AGNBL"))*1</f>
        <v>#VALUE!</v>
      </c>
      <c r="B5453" s="1">
        <v>6963647</v>
      </c>
      <c r="C5453" t="s">
        <v>5602</v>
      </c>
      <c r="D5453" t="s">
        <v>5655</v>
      </c>
      <c r="E5453" t="s">
        <v>8</v>
      </c>
    </row>
    <row r="5454" spans="1:5" hidden="1" outlineLevel="2">
      <c r="A5454" s="3" t="e">
        <f>(HYPERLINK("http://www.autodoc.ru/Web/price/art/5640ASMCT?analog=on","5640ASMCT"))*1</f>
        <v>#VALUE!</v>
      </c>
      <c r="B5454" s="1">
        <v>6101014</v>
      </c>
      <c r="C5454" t="s">
        <v>19</v>
      </c>
      <c r="D5454" t="s">
        <v>5656</v>
      </c>
      <c r="E5454" t="s">
        <v>21</v>
      </c>
    </row>
    <row r="5455" spans="1:5" hidden="1" outlineLevel="2">
      <c r="A5455" s="3" t="e">
        <f>(HYPERLINK("http://www.autodoc.ru/Web/price/art/5640LGNC2FD?analog=on","5640LGNC2FD"))*1</f>
        <v>#VALUE!</v>
      </c>
      <c r="B5455" s="1">
        <v>6999407</v>
      </c>
      <c r="C5455" t="s">
        <v>5602</v>
      </c>
      <c r="D5455" t="s">
        <v>5657</v>
      </c>
      <c r="E5455" t="s">
        <v>10</v>
      </c>
    </row>
    <row r="5456" spans="1:5" hidden="1" outlineLevel="1">
      <c r="A5456" s="2">
        <v>0</v>
      </c>
      <c r="B5456" s="26" t="s">
        <v>5658</v>
      </c>
      <c r="C5456" s="27">
        <v>0</v>
      </c>
      <c r="D5456" s="27">
        <v>0</v>
      </c>
      <c r="E5456" s="27">
        <v>0</v>
      </c>
    </row>
    <row r="5457" spans="1:5" hidden="1" outlineLevel="2">
      <c r="A5457" s="3" t="e">
        <f>(HYPERLINK("http://www.autodoc.ru/Web/price/art/5651AGNBL?analog=on","5651AGNBL"))*1</f>
        <v>#VALUE!</v>
      </c>
      <c r="B5457" s="1">
        <v>6963729</v>
      </c>
      <c r="C5457" t="s">
        <v>637</v>
      </c>
      <c r="D5457" t="s">
        <v>5659</v>
      </c>
      <c r="E5457" t="s">
        <v>8</v>
      </c>
    </row>
    <row r="5458" spans="1:5" hidden="1" outlineLevel="1">
      <c r="A5458" s="2">
        <v>0</v>
      </c>
      <c r="B5458" s="26" t="s">
        <v>5660</v>
      </c>
      <c r="C5458" s="27">
        <v>0</v>
      </c>
      <c r="D5458" s="27">
        <v>0</v>
      </c>
      <c r="E5458" s="27">
        <v>0</v>
      </c>
    </row>
    <row r="5459" spans="1:5" hidden="1" outlineLevel="2">
      <c r="A5459" s="3" t="e">
        <f>(HYPERLINK("http://www.autodoc.ru/Web/price/art/2700LGNC2FD?analog=on","2700LGNC2FD"))*1</f>
        <v>#VALUE!</v>
      </c>
      <c r="B5459" s="1">
        <v>6900523</v>
      </c>
      <c r="C5459" t="s">
        <v>956</v>
      </c>
      <c r="D5459" t="s">
        <v>5661</v>
      </c>
      <c r="E5459" t="s">
        <v>10</v>
      </c>
    </row>
    <row r="5460" spans="1:5" hidden="1" outlineLevel="1">
      <c r="A5460" s="2">
        <v>0</v>
      </c>
      <c r="B5460" s="26" t="s">
        <v>5662</v>
      </c>
      <c r="C5460" s="27">
        <v>0</v>
      </c>
      <c r="D5460" s="27">
        <v>0</v>
      </c>
      <c r="E5460" s="27">
        <v>0</v>
      </c>
    </row>
    <row r="5461" spans="1:5" hidden="1" outlineLevel="2">
      <c r="A5461" s="3" t="e">
        <f>(HYPERLINK("http://www.autodoc.ru/Web/price/art/5624ABL?analog=on","5624ABL"))*1</f>
        <v>#VALUE!</v>
      </c>
      <c r="B5461" s="1">
        <v>6969279</v>
      </c>
      <c r="C5461" t="s">
        <v>3186</v>
      </c>
      <c r="D5461" t="s">
        <v>5663</v>
      </c>
      <c r="E5461" t="s">
        <v>8</v>
      </c>
    </row>
    <row r="5462" spans="1:5" hidden="1" outlineLevel="2">
      <c r="A5462" s="3" t="e">
        <f>(HYPERLINK("http://www.autodoc.ru/Web/price/art/5624ABZ?analog=on","5624ABZ"))*1</f>
        <v>#VALUE!</v>
      </c>
      <c r="B5462" s="1">
        <v>6969286</v>
      </c>
      <c r="C5462" t="s">
        <v>3186</v>
      </c>
      <c r="D5462" t="s">
        <v>5664</v>
      </c>
      <c r="E5462" t="s">
        <v>8</v>
      </c>
    </row>
    <row r="5463" spans="1:5" hidden="1" outlineLevel="1">
      <c r="A5463" s="2">
        <v>0</v>
      </c>
      <c r="B5463" s="26" t="s">
        <v>5665</v>
      </c>
      <c r="C5463" s="27">
        <v>0</v>
      </c>
      <c r="D5463" s="27">
        <v>0</v>
      </c>
      <c r="E5463" s="27">
        <v>0</v>
      </c>
    </row>
    <row r="5464" spans="1:5" hidden="1" outlineLevel="2">
      <c r="A5464" s="3" t="e">
        <f>(HYPERLINK("http://www.autodoc.ru/Web/price/art/5630ABL?analog=on","5630ABL"))*1</f>
        <v>#VALUE!</v>
      </c>
      <c r="B5464" s="1">
        <v>6963391</v>
      </c>
      <c r="C5464" t="s">
        <v>2379</v>
      </c>
      <c r="D5464" t="s">
        <v>5666</v>
      </c>
      <c r="E5464" t="s">
        <v>8</v>
      </c>
    </row>
    <row r="5465" spans="1:5" hidden="1" outlineLevel="2">
      <c r="A5465" s="3" t="e">
        <f>(HYPERLINK("http://www.autodoc.ru/Web/price/art/5630ABLBL?analog=on","5630ABLBL"))*1</f>
        <v>#VALUE!</v>
      </c>
      <c r="B5465" s="1">
        <v>6963392</v>
      </c>
      <c r="C5465" t="s">
        <v>2379</v>
      </c>
      <c r="D5465" t="s">
        <v>5667</v>
      </c>
      <c r="E5465" t="s">
        <v>8</v>
      </c>
    </row>
    <row r="5466" spans="1:5" hidden="1" outlineLevel="2">
      <c r="A5466" s="3" t="e">
        <f>(HYPERLINK("http://www.autodoc.ru/Web/price/art/5630ABZ?analog=on","5630ABZ"))*1</f>
        <v>#VALUE!</v>
      </c>
      <c r="B5466" s="1">
        <v>6963393</v>
      </c>
      <c r="C5466" t="s">
        <v>2379</v>
      </c>
      <c r="D5466" t="s">
        <v>5668</v>
      </c>
      <c r="E5466" t="s">
        <v>8</v>
      </c>
    </row>
    <row r="5467" spans="1:5" hidden="1" outlineLevel="2">
      <c r="A5467" s="3" t="e">
        <f>(HYPERLINK("http://www.autodoc.ru/Web/price/art/5630AKCS?analog=on","5630AKCS"))*1</f>
        <v>#VALUE!</v>
      </c>
      <c r="B5467" s="1">
        <v>6101050</v>
      </c>
      <c r="C5467" t="s">
        <v>19</v>
      </c>
      <c r="D5467" t="s">
        <v>5669</v>
      </c>
      <c r="E5467" t="s">
        <v>21</v>
      </c>
    </row>
    <row r="5468" spans="1:5" hidden="1" outlineLevel="2">
      <c r="A5468" s="3" t="e">
        <f>(HYPERLINK("http://www.autodoc.ru/Web/price/art/5630BBLS?analog=on","5630BBLS"))*1</f>
        <v>#VALUE!</v>
      </c>
      <c r="B5468" s="1">
        <v>6998958</v>
      </c>
      <c r="C5468" t="s">
        <v>2379</v>
      </c>
      <c r="D5468" t="s">
        <v>5670</v>
      </c>
      <c r="E5468" t="s">
        <v>23</v>
      </c>
    </row>
    <row r="5469" spans="1:5" hidden="1" outlineLevel="2">
      <c r="A5469" s="3" t="e">
        <f>(HYPERLINK("http://www.autodoc.ru/Web/price/art/5630LBLS4FD?analog=on","5630LBLS4FD"))*1</f>
        <v>#VALUE!</v>
      </c>
      <c r="B5469" s="1">
        <v>6995753</v>
      </c>
      <c r="C5469" t="s">
        <v>2379</v>
      </c>
      <c r="D5469" t="s">
        <v>5671</v>
      </c>
      <c r="E5469" t="s">
        <v>10</v>
      </c>
    </row>
    <row r="5470" spans="1:5" hidden="1" outlineLevel="2">
      <c r="A5470" s="3" t="e">
        <f>(HYPERLINK("http://www.autodoc.ru/Web/price/art/5630LBLS4RD?analog=on","5630LBLS4RD"))*1</f>
        <v>#VALUE!</v>
      </c>
      <c r="B5470" s="1">
        <v>6995754</v>
      </c>
      <c r="C5470" t="s">
        <v>2379</v>
      </c>
      <c r="D5470" t="s">
        <v>5672</v>
      </c>
      <c r="E5470" t="s">
        <v>10</v>
      </c>
    </row>
    <row r="5471" spans="1:5" hidden="1" outlineLevel="2">
      <c r="A5471" s="3" t="e">
        <f>(HYPERLINK("http://www.autodoc.ru/Web/price/art/5630LBLS4RQZ?analog=on","5630LBLS4RQZ"))*1</f>
        <v>#VALUE!</v>
      </c>
      <c r="B5471" s="1">
        <v>6900332</v>
      </c>
      <c r="C5471" t="s">
        <v>2379</v>
      </c>
      <c r="D5471" t="s">
        <v>5673</v>
      </c>
      <c r="E5471" t="s">
        <v>10</v>
      </c>
    </row>
    <row r="5472" spans="1:5" hidden="1" outlineLevel="2">
      <c r="A5472" s="3" t="e">
        <f>(HYPERLINK("http://www.autodoc.ru/Web/price/art/5630RBLS4FD?analog=on","5630RBLS4FD"))*1</f>
        <v>#VALUE!</v>
      </c>
      <c r="B5472" s="1">
        <v>6995755</v>
      </c>
      <c r="C5472" t="s">
        <v>2379</v>
      </c>
      <c r="D5472" t="s">
        <v>5674</v>
      </c>
      <c r="E5472" t="s">
        <v>10</v>
      </c>
    </row>
    <row r="5473" spans="1:5" hidden="1" outlineLevel="1">
      <c r="A5473" s="2">
        <v>0</v>
      </c>
      <c r="B5473" s="26" t="s">
        <v>5675</v>
      </c>
      <c r="C5473" s="27">
        <v>0</v>
      </c>
      <c r="D5473" s="27">
        <v>0</v>
      </c>
      <c r="E5473" s="27">
        <v>0</v>
      </c>
    </row>
    <row r="5474" spans="1:5" hidden="1" outlineLevel="2">
      <c r="A5474" s="3" t="e">
        <f>(HYPERLINK("http://www.autodoc.ru/Web/price/art/5634ABL?analog=on","5634ABL"))*1</f>
        <v>#VALUE!</v>
      </c>
      <c r="B5474" s="1">
        <v>6963396</v>
      </c>
      <c r="C5474" t="s">
        <v>2381</v>
      </c>
      <c r="D5474" t="s">
        <v>5676</v>
      </c>
      <c r="E5474" t="s">
        <v>8</v>
      </c>
    </row>
    <row r="5475" spans="1:5" hidden="1" outlineLevel="2">
      <c r="A5475" s="3" t="e">
        <f>(HYPERLINK("http://www.autodoc.ru/Web/price/art/5634ABLBL?analog=on","5634ABLBL"))*1</f>
        <v>#VALUE!</v>
      </c>
      <c r="B5475" s="1">
        <v>6964107</v>
      </c>
      <c r="C5475" t="s">
        <v>2381</v>
      </c>
      <c r="D5475" t="s">
        <v>5677</v>
      </c>
      <c r="E5475" t="s">
        <v>8</v>
      </c>
    </row>
    <row r="5476" spans="1:5" hidden="1" outlineLevel="2">
      <c r="A5476" s="3" t="e">
        <f>(HYPERLINK("http://www.autodoc.ru/Web/price/art/5634ABZ?analog=on","5634ABZ"))*1</f>
        <v>#VALUE!</v>
      </c>
      <c r="B5476" s="1">
        <v>6963480</v>
      </c>
      <c r="C5476" t="s">
        <v>2381</v>
      </c>
      <c r="D5476" t="s">
        <v>5678</v>
      </c>
      <c r="E5476" t="s">
        <v>8</v>
      </c>
    </row>
    <row r="5477" spans="1:5" hidden="1" outlineLevel="2">
      <c r="A5477" s="3" t="e">
        <f>(HYPERLINK("http://www.autodoc.ru/Web/price/art/5634AKCH?analog=on","5634AKCH"))*1</f>
        <v>#VALUE!</v>
      </c>
      <c r="B5477" s="1">
        <v>6101123</v>
      </c>
      <c r="C5477" t="s">
        <v>19</v>
      </c>
      <c r="D5477" t="s">
        <v>5679</v>
      </c>
      <c r="E5477" t="s">
        <v>21</v>
      </c>
    </row>
    <row r="5478" spans="1:5" hidden="1" outlineLevel="2">
      <c r="A5478" s="3" t="e">
        <f>(HYPERLINK("http://www.autodoc.ru/Web/price/art/5634BBLH?analog=on","5634BBLH"))*1</f>
        <v>#VALUE!</v>
      </c>
      <c r="B5478" s="1">
        <v>6998257</v>
      </c>
      <c r="C5478" t="s">
        <v>2381</v>
      </c>
      <c r="D5478" t="s">
        <v>5680</v>
      </c>
      <c r="E5478" t="s">
        <v>23</v>
      </c>
    </row>
    <row r="5479" spans="1:5" hidden="1" outlineLevel="1">
      <c r="A5479" s="2">
        <v>0</v>
      </c>
      <c r="B5479" s="26" t="s">
        <v>5681</v>
      </c>
      <c r="C5479" s="27">
        <v>0</v>
      </c>
      <c r="D5479" s="27">
        <v>0</v>
      </c>
      <c r="E5479" s="27">
        <v>0</v>
      </c>
    </row>
    <row r="5480" spans="1:5" hidden="1" outlineLevel="2">
      <c r="A5480" s="3" t="e">
        <f>(HYPERLINK("http://www.autodoc.ru/Web/price/art/5643ABL?analog=on","5643ABL"))*1</f>
        <v>#VALUE!</v>
      </c>
      <c r="B5480" s="1">
        <v>6963750</v>
      </c>
      <c r="C5480" t="s">
        <v>1883</v>
      </c>
      <c r="D5480" t="s">
        <v>5682</v>
      </c>
      <c r="E5480" t="s">
        <v>8</v>
      </c>
    </row>
    <row r="5481" spans="1:5" hidden="1" outlineLevel="2">
      <c r="A5481" s="3" t="e">
        <f>(HYPERLINK("http://www.autodoc.ru/Web/price/art/5643ABLBL?analog=on","5643ABLBL"))*1</f>
        <v>#VALUE!</v>
      </c>
      <c r="B5481" s="1">
        <v>6963984</v>
      </c>
      <c r="C5481" t="s">
        <v>1883</v>
      </c>
      <c r="D5481" t="s">
        <v>5683</v>
      </c>
      <c r="E5481" t="s">
        <v>8</v>
      </c>
    </row>
    <row r="5482" spans="1:5" hidden="1" outlineLevel="2">
      <c r="A5482" s="3" t="e">
        <f>(HYPERLINK("http://www.autodoc.ru/Web/price/art/5643AGN?analog=on","5643AGN"))*1</f>
        <v>#VALUE!</v>
      </c>
      <c r="B5482" s="1">
        <v>6963403</v>
      </c>
      <c r="C5482" t="s">
        <v>1883</v>
      </c>
      <c r="D5482" t="s">
        <v>5684</v>
      </c>
      <c r="E5482" t="s">
        <v>8</v>
      </c>
    </row>
    <row r="5483" spans="1:5" hidden="1" outlineLevel="2">
      <c r="A5483" s="3" t="e">
        <f>(HYPERLINK("http://www.autodoc.ru/Web/price/art/5643AGNBL?analog=on","5643AGNBL"))*1</f>
        <v>#VALUE!</v>
      </c>
      <c r="B5483" s="1">
        <v>6963870</v>
      </c>
      <c r="C5483" t="s">
        <v>1883</v>
      </c>
      <c r="D5483" t="s">
        <v>5685</v>
      </c>
      <c r="E5483" t="s">
        <v>8</v>
      </c>
    </row>
    <row r="5484" spans="1:5" hidden="1" outlineLevel="2">
      <c r="A5484" s="3" t="e">
        <f>(HYPERLINK("http://www.autodoc.ru/Web/price/art/5643ASMH?analog=on","5643ASMH"))*1</f>
        <v>#VALUE!</v>
      </c>
      <c r="B5484" s="1">
        <v>6101025</v>
      </c>
      <c r="C5484" t="s">
        <v>19</v>
      </c>
      <c r="D5484" t="s">
        <v>5686</v>
      </c>
      <c r="E5484" t="s">
        <v>21</v>
      </c>
    </row>
    <row r="5485" spans="1:5" hidden="1" outlineLevel="2">
      <c r="A5485" s="3" t="e">
        <f>(HYPERLINK("http://www.autodoc.ru/Web/price/art/5643BBLS?analog=on","5643BBLS"))*1</f>
        <v>#VALUE!</v>
      </c>
      <c r="B5485" s="1">
        <v>6998863</v>
      </c>
      <c r="C5485" t="s">
        <v>1883</v>
      </c>
      <c r="D5485" t="s">
        <v>5687</v>
      </c>
      <c r="E5485" t="s">
        <v>23</v>
      </c>
    </row>
    <row r="5486" spans="1:5" hidden="1" outlineLevel="2">
      <c r="A5486" s="3" t="e">
        <f>(HYPERLINK("http://www.autodoc.ru/Web/price/art/5643RGNH5FD?analog=on","5643RGNH5FD"))*1</f>
        <v>#VALUE!</v>
      </c>
      <c r="B5486" s="1">
        <v>6900058</v>
      </c>
      <c r="C5486" t="s">
        <v>1883</v>
      </c>
      <c r="D5486" t="s">
        <v>5688</v>
      </c>
      <c r="E5486" t="s">
        <v>10</v>
      </c>
    </row>
    <row r="5487" spans="1:5" hidden="1" outlineLevel="1">
      <c r="A5487" s="2">
        <v>0</v>
      </c>
      <c r="B5487" s="26" t="s">
        <v>5689</v>
      </c>
      <c r="C5487" s="27">
        <v>0</v>
      </c>
      <c r="D5487" s="27">
        <v>0</v>
      </c>
      <c r="E5487" s="27">
        <v>0</v>
      </c>
    </row>
    <row r="5488" spans="1:5" hidden="1" outlineLevel="2">
      <c r="A5488" s="3" t="e">
        <f>(HYPERLINK("http://www.autodoc.ru/Web/price/art/5649AGN?analog=on","5649AGN"))*1</f>
        <v>#VALUE!</v>
      </c>
      <c r="B5488" s="1">
        <v>6961428</v>
      </c>
      <c r="C5488" t="s">
        <v>72</v>
      </c>
      <c r="D5488" t="s">
        <v>5690</v>
      </c>
      <c r="E5488" t="s">
        <v>8</v>
      </c>
    </row>
    <row r="5489" spans="1:5" hidden="1" outlineLevel="2">
      <c r="A5489" s="3" t="e">
        <f>(HYPERLINK("http://www.autodoc.ru/Web/price/art/5649AGNBL?analog=on","5649AGNBL"))*1</f>
        <v>#VALUE!</v>
      </c>
      <c r="B5489" s="1">
        <v>6961429</v>
      </c>
      <c r="C5489" t="s">
        <v>72</v>
      </c>
      <c r="D5489" t="s">
        <v>5691</v>
      </c>
      <c r="E5489" t="s">
        <v>8</v>
      </c>
    </row>
    <row r="5490" spans="1:5" hidden="1" outlineLevel="2">
      <c r="A5490" s="3" t="e">
        <f>(HYPERLINK("http://www.autodoc.ru/Web/price/art/5649ASMST?analog=on","5649ASMST"))*1</f>
        <v>#VALUE!</v>
      </c>
      <c r="B5490" s="1">
        <v>6100135</v>
      </c>
      <c r="C5490" t="s">
        <v>19</v>
      </c>
      <c r="D5490" t="s">
        <v>5692</v>
      </c>
      <c r="E5490" t="s">
        <v>21</v>
      </c>
    </row>
    <row r="5491" spans="1:5" hidden="1" outlineLevel="2">
      <c r="A5491" s="3" t="e">
        <f>(HYPERLINK("http://www.autodoc.ru/Web/price/art/5649BGNS?analog=on","5649BGNS"))*1</f>
        <v>#VALUE!</v>
      </c>
      <c r="B5491" s="1">
        <v>6992472</v>
      </c>
      <c r="C5491" t="s">
        <v>72</v>
      </c>
      <c r="D5491" t="s">
        <v>5693</v>
      </c>
      <c r="E5491" t="s">
        <v>23</v>
      </c>
    </row>
    <row r="5492" spans="1:5" hidden="1" outlineLevel="2">
      <c r="A5492" s="3" t="e">
        <f>(HYPERLINK("http://www.autodoc.ru/Web/price/art/5649LGNE5RD?analog=on","5649LGNE5RD"))*1</f>
        <v>#VALUE!</v>
      </c>
      <c r="B5492" s="1">
        <v>6980483</v>
      </c>
      <c r="C5492" t="s">
        <v>72</v>
      </c>
      <c r="D5492" t="s">
        <v>5694</v>
      </c>
      <c r="E5492" t="s">
        <v>10</v>
      </c>
    </row>
    <row r="5493" spans="1:5" hidden="1" outlineLevel="2">
      <c r="A5493" s="3" t="e">
        <f>(HYPERLINK("http://www.autodoc.ru/Web/price/art/5649LGNE5RV?analog=on","5649LGNE5RV"))*1</f>
        <v>#VALUE!</v>
      </c>
      <c r="B5493" s="1">
        <v>6980484</v>
      </c>
      <c r="C5493" t="s">
        <v>72</v>
      </c>
      <c r="D5493" t="s">
        <v>5695</v>
      </c>
      <c r="E5493" t="s">
        <v>10</v>
      </c>
    </row>
    <row r="5494" spans="1:5" hidden="1" outlineLevel="2">
      <c r="A5494" s="3" t="e">
        <f>(HYPERLINK("http://www.autodoc.ru/Web/price/art/5649LGNS4FD?analog=on","5649LGNS4FD"))*1</f>
        <v>#VALUE!</v>
      </c>
      <c r="B5494" s="1">
        <v>6992473</v>
      </c>
      <c r="C5494" t="s">
        <v>72</v>
      </c>
      <c r="D5494" t="s">
        <v>5696</v>
      </c>
      <c r="E5494" t="s">
        <v>10</v>
      </c>
    </row>
    <row r="5495" spans="1:5" hidden="1" outlineLevel="2">
      <c r="A5495" s="3" t="e">
        <f>(HYPERLINK("http://www.autodoc.ru/Web/price/art/5649LGNS4RD?analog=on","5649LGNS4RD"))*1</f>
        <v>#VALUE!</v>
      </c>
      <c r="B5495" s="1">
        <v>6992475</v>
      </c>
      <c r="C5495" t="s">
        <v>72</v>
      </c>
      <c r="D5495" t="s">
        <v>5697</v>
      </c>
      <c r="E5495" t="s">
        <v>10</v>
      </c>
    </row>
    <row r="5496" spans="1:5" hidden="1" outlineLevel="2">
      <c r="A5496" s="3" t="e">
        <f>(HYPERLINK("http://www.autodoc.ru/Web/price/art/5649LGNS4RV?analog=on","5649LGNS4RV"))*1</f>
        <v>#VALUE!</v>
      </c>
      <c r="B5496" s="1">
        <v>6992413</v>
      </c>
      <c r="C5496" t="s">
        <v>72</v>
      </c>
      <c r="D5496" t="s">
        <v>5698</v>
      </c>
      <c r="E5496" t="s">
        <v>10</v>
      </c>
    </row>
    <row r="5497" spans="1:5" hidden="1" outlineLevel="2">
      <c r="A5497" s="3" t="e">
        <f>(HYPERLINK("http://www.autodoc.ru/Web/price/art/5649RGNE5RD?analog=on","5649RGNE5RD"))*1</f>
        <v>#VALUE!</v>
      </c>
      <c r="B5497" s="1">
        <v>6980485</v>
      </c>
      <c r="C5497" t="s">
        <v>72</v>
      </c>
      <c r="D5497" t="s">
        <v>5699</v>
      </c>
      <c r="E5497" t="s">
        <v>10</v>
      </c>
    </row>
    <row r="5498" spans="1:5" hidden="1" outlineLevel="2">
      <c r="A5498" s="3" t="e">
        <f>(HYPERLINK("http://www.autodoc.ru/Web/price/art/5649RGNE5RV?analog=on","5649RGNE5RV"))*1</f>
        <v>#VALUE!</v>
      </c>
      <c r="B5498" s="1">
        <v>6980486</v>
      </c>
      <c r="C5498" t="s">
        <v>72</v>
      </c>
      <c r="D5498" t="s">
        <v>5700</v>
      </c>
      <c r="E5498" t="s">
        <v>10</v>
      </c>
    </row>
    <row r="5499" spans="1:5" hidden="1" outlineLevel="2">
      <c r="A5499" s="3" t="e">
        <f>(HYPERLINK("http://www.autodoc.ru/Web/price/art/5649RGNS4FD?analog=on","5649RGNS4FD"))*1</f>
        <v>#VALUE!</v>
      </c>
      <c r="B5499" s="1">
        <v>6992474</v>
      </c>
      <c r="C5499" t="s">
        <v>72</v>
      </c>
      <c r="D5499" t="s">
        <v>5701</v>
      </c>
      <c r="E5499" t="s">
        <v>10</v>
      </c>
    </row>
    <row r="5500" spans="1:5" hidden="1" outlineLevel="2">
      <c r="A5500" s="3" t="e">
        <f>(HYPERLINK("http://www.autodoc.ru/Web/price/art/5649RGNS4RD?analog=on","5649RGNS4RD"))*1</f>
        <v>#VALUE!</v>
      </c>
      <c r="B5500" s="1">
        <v>6992476</v>
      </c>
      <c r="C5500" t="s">
        <v>72</v>
      </c>
      <c r="D5500" t="s">
        <v>5702</v>
      </c>
      <c r="E5500" t="s">
        <v>10</v>
      </c>
    </row>
    <row r="5501" spans="1:5" hidden="1" outlineLevel="2">
      <c r="A5501" s="3" t="e">
        <f>(HYPERLINK("http://www.autodoc.ru/Web/price/art/5649RGNS4RV?analog=on","5649RGNS4RV"))*1</f>
        <v>#VALUE!</v>
      </c>
      <c r="B5501" s="1">
        <v>6992412</v>
      </c>
      <c r="C5501" t="s">
        <v>72</v>
      </c>
      <c r="D5501" t="s">
        <v>5703</v>
      </c>
      <c r="E5501" t="s">
        <v>10</v>
      </c>
    </row>
    <row r="5502" spans="1:5" hidden="1" outlineLevel="1">
      <c r="A5502" s="2">
        <v>0</v>
      </c>
      <c r="B5502" s="26" t="s">
        <v>5704</v>
      </c>
      <c r="C5502" s="27">
        <v>0</v>
      </c>
      <c r="D5502" s="27">
        <v>0</v>
      </c>
      <c r="E5502" s="27">
        <v>0</v>
      </c>
    </row>
    <row r="5503" spans="1:5" hidden="1" outlineLevel="2">
      <c r="A5503" s="3" t="e">
        <f>(HYPERLINK("http://www.autodoc.ru/Web/price/art/5673AGNW?analog=on","5673AGNW"))*1</f>
        <v>#VALUE!</v>
      </c>
      <c r="B5503" s="1">
        <v>6961315</v>
      </c>
      <c r="C5503" t="s">
        <v>425</v>
      </c>
      <c r="D5503" t="s">
        <v>5705</v>
      </c>
      <c r="E5503" t="s">
        <v>8</v>
      </c>
    </row>
    <row r="5504" spans="1:5" hidden="1" outlineLevel="2">
      <c r="A5504" s="3" t="e">
        <f>(HYPERLINK("http://www.autodoc.ru/Web/price/art/5673ASMVT?analog=on","5673ASMVT"))*1</f>
        <v>#VALUE!</v>
      </c>
      <c r="B5504" s="1">
        <v>6101794</v>
      </c>
      <c r="C5504" t="s">
        <v>19</v>
      </c>
      <c r="D5504" t="s">
        <v>5706</v>
      </c>
      <c r="E5504" t="s">
        <v>21</v>
      </c>
    </row>
    <row r="5505" spans="1:5" hidden="1" outlineLevel="2">
      <c r="A5505" s="3" t="e">
        <f>(HYPERLINK("http://www.autodoc.ru/Web/price/art/5673BGNV?analog=on","5673BGNV"))*1</f>
        <v>#VALUE!</v>
      </c>
      <c r="B5505" s="1">
        <v>6900721</v>
      </c>
      <c r="C5505" t="s">
        <v>425</v>
      </c>
      <c r="D5505" t="s">
        <v>5707</v>
      </c>
      <c r="E5505" t="s">
        <v>23</v>
      </c>
    </row>
    <row r="5506" spans="1:5" hidden="1" outlineLevel="2">
      <c r="A5506" s="3" t="e">
        <f>(HYPERLINK("http://www.autodoc.ru/Web/price/art/5673LGNV5FD?analog=on","5673LGNV5FD"))*1</f>
        <v>#VALUE!</v>
      </c>
      <c r="B5506" s="1">
        <v>6999971</v>
      </c>
      <c r="C5506" t="s">
        <v>425</v>
      </c>
      <c r="D5506" t="s">
        <v>5708</v>
      </c>
      <c r="E5506" t="s">
        <v>10</v>
      </c>
    </row>
    <row r="5507" spans="1:5" hidden="1" outlineLevel="2">
      <c r="A5507" s="3" t="e">
        <f>(HYPERLINK("http://www.autodoc.ru/Web/price/art/5673LGNV5RD?analog=on","5673LGNV5RD"))*1</f>
        <v>#VALUE!</v>
      </c>
      <c r="B5507" s="1">
        <v>6900164</v>
      </c>
      <c r="C5507" t="s">
        <v>425</v>
      </c>
      <c r="D5507" t="s">
        <v>5709</v>
      </c>
      <c r="E5507" t="s">
        <v>10</v>
      </c>
    </row>
    <row r="5508" spans="1:5" hidden="1" outlineLevel="2">
      <c r="A5508" s="3" t="e">
        <f>(HYPERLINK("http://www.autodoc.ru/Web/price/art/5673RGNV5FD?analog=on","5673RGNV5FD"))*1</f>
        <v>#VALUE!</v>
      </c>
      <c r="B5508" s="1">
        <v>6900059</v>
      </c>
      <c r="C5508" t="s">
        <v>425</v>
      </c>
      <c r="D5508" t="s">
        <v>5710</v>
      </c>
      <c r="E5508" t="s">
        <v>10</v>
      </c>
    </row>
    <row r="5509" spans="1:5" hidden="1" outlineLevel="2">
      <c r="A5509" s="3" t="e">
        <f>(HYPERLINK("http://www.autodoc.ru/Web/price/art/5673RGNV5RD?analog=on","5673RGNV5RD"))*1</f>
        <v>#VALUE!</v>
      </c>
      <c r="B5509" s="1">
        <v>6900370</v>
      </c>
      <c r="C5509" t="s">
        <v>425</v>
      </c>
      <c r="D5509" t="s">
        <v>5711</v>
      </c>
      <c r="E5509" t="s">
        <v>10</v>
      </c>
    </row>
    <row r="5510" spans="1:5" hidden="1" outlineLevel="1">
      <c r="A5510" s="2">
        <v>0</v>
      </c>
      <c r="B5510" s="26" t="s">
        <v>5712</v>
      </c>
      <c r="C5510" s="27">
        <v>0</v>
      </c>
      <c r="D5510" s="27">
        <v>0</v>
      </c>
      <c r="E5510" s="27">
        <v>0</v>
      </c>
    </row>
    <row r="5511" spans="1:5" hidden="1" outlineLevel="2">
      <c r="A5511" s="3" t="e">
        <f>(HYPERLINK("http://www.autodoc.ru/Web/price/art/5628ABL?analog=on","5628ABL"))*1</f>
        <v>#VALUE!</v>
      </c>
      <c r="B5511" s="1">
        <v>6963565</v>
      </c>
      <c r="C5511" t="s">
        <v>970</v>
      </c>
      <c r="D5511" t="s">
        <v>5713</v>
      </c>
      <c r="E5511" t="s">
        <v>8</v>
      </c>
    </row>
    <row r="5512" spans="1:5" hidden="1" outlineLevel="2">
      <c r="A5512" s="3" t="e">
        <f>(HYPERLINK("http://www.autodoc.ru/Web/price/art/5628ACL?analog=on","5628ACL"))*1</f>
        <v>#VALUE!</v>
      </c>
      <c r="B5512" s="1">
        <v>6964519</v>
      </c>
      <c r="C5512" t="s">
        <v>970</v>
      </c>
      <c r="D5512" t="s">
        <v>5714</v>
      </c>
      <c r="E5512" t="s">
        <v>8</v>
      </c>
    </row>
    <row r="5513" spans="1:5" hidden="1" outlineLevel="2">
      <c r="A5513" s="3" t="e">
        <f>(HYPERLINK("http://www.autodoc.ru/Web/price/art/5628AKCP?analog=on","5628AKCP"))*1</f>
        <v>#VALUE!</v>
      </c>
      <c r="B5513" s="1">
        <v>6102169</v>
      </c>
      <c r="C5513" t="s">
        <v>19</v>
      </c>
      <c r="D5513" t="s">
        <v>5715</v>
      </c>
      <c r="E5513" t="s">
        <v>21</v>
      </c>
    </row>
    <row r="5514" spans="1:5" hidden="1" outlineLevel="2">
      <c r="A5514" s="3" t="e">
        <f>(HYPERLINK("http://www.autodoc.ru/Web/price/art/5628RBLP2FD?analog=on","5628RBLP2FD"))*1</f>
        <v>#VALUE!</v>
      </c>
      <c r="B5514" s="1">
        <v>6999400</v>
      </c>
      <c r="C5514" t="s">
        <v>970</v>
      </c>
      <c r="D5514" t="s">
        <v>5716</v>
      </c>
      <c r="E5514" t="s">
        <v>10</v>
      </c>
    </row>
    <row r="5515" spans="1:5" hidden="1" outlineLevel="2">
      <c r="A5515" s="3" t="e">
        <f>(HYPERLINK("http://www.autodoc.ru/Web/price/art/5628RCLP2FD?analog=on","5628RCLP2FD"))*1</f>
        <v>#VALUE!</v>
      </c>
      <c r="B5515" s="1">
        <v>6900525</v>
      </c>
      <c r="C5515" t="s">
        <v>970</v>
      </c>
      <c r="D5515" t="s">
        <v>5717</v>
      </c>
      <c r="E5515" t="s">
        <v>10</v>
      </c>
    </row>
    <row r="5516" spans="1:5" hidden="1" outlineLevel="1">
      <c r="A5516" s="2">
        <v>0</v>
      </c>
      <c r="B5516" s="26" t="s">
        <v>5718</v>
      </c>
      <c r="C5516" s="27">
        <v>0</v>
      </c>
      <c r="D5516" s="27">
        <v>0</v>
      </c>
      <c r="E5516" s="27">
        <v>0</v>
      </c>
    </row>
    <row r="5517" spans="1:5" hidden="1" outlineLevel="2">
      <c r="A5517" s="3" t="e">
        <f>(HYPERLINK("http://www.autodoc.ru/Web/price/art/5650ABL?analog=on","5650ABL"))*1</f>
        <v>#VALUE!</v>
      </c>
      <c r="B5517" s="1">
        <v>6963566</v>
      </c>
      <c r="C5517" t="s">
        <v>5719</v>
      </c>
      <c r="D5517" t="s">
        <v>5720</v>
      </c>
      <c r="E5517" t="s">
        <v>8</v>
      </c>
    </row>
    <row r="5518" spans="1:5" hidden="1" outlineLevel="2">
      <c r="A5518" s="3" t="e">
        <f>(HYPERLINK("http://www.autodoc.ru/Web/price/art/5650AGN?analog=on","5650AGN"))*1</f>
        <v>#VALUE!</v>
      </c>
      <c r="B5518" s="1">
        <v>6963567</v>
      </c>
      <c r="C5518" t="s">
        <v>5719</v>
      </c>
      <c r="D5518" t="s">
        <v>5721</v>
      </c>
      <c r="E5518" t="s">
        <v>8</v>
      </c>
    </row>
    <row r="5519" spans="1:5" hidden="1" outlineLevel="2">
      <c r="A5519" s="3" t="e">
        <f>(HYPERLINK("http://www.autodoc.ru/Web/price/art/5650AGN1P?analog=on","5650AGN1P"))*1</f>
        <v>#VALUE!</v>
      </c>
      <c r="B5519" s="1">
        <v>6960774</v>
      </c>
      <c r="C5519" t="s">
        <v>538</v>
      </c>
      <c r="D5519" t="s">
        <v>5722</v>
      </c>
      <c r="E5519" t="s">
        <v>8</v>
      </c>
    </row>
    <row r="5520" spans="1:5" hidden="1" outlineLevel="2">
      <c r="A5520" s="3" t="e">
        <f>(HYPERLINK("http://www.autodoc.ru/Web/price/art/5650AGN2P?analog=on","5650AGN2P"))*1</f>
        <v>#VALUE!</v>
      </c>
      <c r="B5520" s="1">
        <v>6961839</v>
      </c>
      <c r="C5520" t="s">
        <v>879</v>
      </c>
      <c r="D5520" t="s">
        <v>5723</v>
      </c>
      <c r="E5520" t="s">
        <v>8</v>
      </c>
    </row>
    <row r="5521" spans="1:5" hidden="1" outlineLevel="2">
      <c r="A5521" s="3" t="e">
        <f>(HYPERLINK("http://www.autodoc.ru/Web/price/art/5650AGN3P?analog=on","5650AGN3P"))*1</f>
        <v>#VALUE!</v>
      </c>
      <c r="B5521" s="1">
        <v>6961838</v>
      </c>
      <c r="C5521" t="s">
        <v>879</v>
      </c>
      <c r="D5521" t="s">
        <v>5724</v>
      </c>
      <c r="E5521" t="s">
        <v>8</v>
      </c>
    </row>
    <row r="5522" spans="1:5" hidden="1" outlineLevel="2">
      <c r="A5522" s="3" t="e">
        <f>(HYPERLINK("http://www.autodoc.ru/Web/price/art/5650AGNBL?analog=on","5650AGNBL"))*1</f>
        <v>#VALUE!</v>
      </c>
      <c r="B5522" s="1">
        <v>6950079</v>
      </c>
      <c r="C5522" t="s">
        <v>5719</v>
      </c>
      <c r="D5522" t="s">
        <v>5725</v>
      </c>
      <c r="E5522" t="s">
        <v>8</v>
      </c>
    </row>
    <row r="5523" spans="1:5" hidden="1" outlineLevel="2">
      <c r="A5523" s="3" t="e">
        <f>(HYPERLINK("http://www.autodoc.ru/Web/price/art/5650AGNH1P?analog=on","5650AGNH1P"))*1</f>
        <v>#VALUE!</v>
      </c>
      <c r="B5523" s="1">
        <v>6965334</v>
      </c>
      <c r="C5523" t="s">
        <v>538</v>
      </c>
      <c r="D5523" t="s">
        <v>5726</v>
      </c>
      <c r="E5523" t="s">
        <v>8</v>
      </c>
    </row>
    <row r="5524" spans="1:5" hidden="1" outlineLevel="2">
      <c r="A5524" s="3" t="e">
        <f>(HYPERLINK("http://www.autodoc.ru/Web/price/art/5650AGNH2P?analog=on","5650AGNH2P"))*1</f>
        <v>#VALUE!</v>
      </c>
      <c r="B5524" s="1">
        <v>6962913</v>
      </c>
      <c r="C5524" t="s">
        <v>831</v>
      </c>
      <c r="D5524" t="s">
        <v>5727</v>
      </c>
      <c r="E5524" t="s">
        <v>8</v>
      </c>
    </row>
    <row r="5525" spans="1:5" hidden="1" outlineLevel="2">
      <c r="A5525" s="3" t="e">
        <f>(HYPERLINK("http://www.autodoc.ru/Web/price/art/5650ASMP?analog=on","5650ASMP"))*1</f>
        <v>#VALUE!</v>
      </c>
      <c r="B5525" s="1">
        <v>6101596</v>
      </c>
      <c r="C5525" t="s">
        <v>19</v>
      </c>
      <c r="D5525" t="s">
        <v>5728</v>
      </c>
      <c r="E5525" t="s">
        <v>21</v>
      </c>
    </row>
    <row r="5526" spans="1:5" hidden="1" outlineLevel="2">
      <c r="A5526" s="3" t="e">
        <f>(HYPERLINK("http://www.autodoc.ru/Web/price/art/5650ASMPC?analog=on","5650ASMPC"))*1</f>
        <v>#VALUE!</v>
      </c>
      <c r="B5526" s="1">
        <v>6100136</v>
      </c>
      <c r="C5526" t="s">
        <v>19</v>
      </c>
      <c r="D5526" t="s">
        <v>5729</v>
      </c>
      <c r="E5526" t="s">
        <v>21</v>
      </c>
    </row>
    <row r="5527" spans="1:5" hidden="1" outlineLevel="2">
      <c r="A5527" s="3" t="e">
        <f>(HYPERLINK("http://www.autodoc.ru/Web/price/art/5650ASMR?analog=on","5650ASMR"))*1</f>
        <v>#VALUE!</v>
      </c>
      <c r="B5527" s="1">
        <v>6101597</v>
      </c>
      <c r="C5527" t="s">
        <v>19</v>
      </c>
      <c r="D5527" t="s">
        <v>5730</v>
      </c>
      <c r="E5527" t="s">
        <v>21</v>
      </c>
    </row>
    <row r="5528" spans="1:5" hidden="1" outlineLevel="2">
      <c r="A5528" s="3" t="e">
        <f>(HYPERLINK("http://www.autodoc.ru/Web/price/art/5650BGNP?analog=on","5650BGNP"))*1</f>
        <v>#VALUE!</v>
      </c>
      <c r="B5528" s="1">
        <v>6995903</v>
      </c>
      <c r="C5528" t="s">
        <v>5719</v>
      </c>
      <c r="D5528" t="s">
        <v>5731</v>
      </c>
      <c r="E5528" t="s">
        <v>23</v>
      </c>
    </row>
    <row r="5529" spans="1:5" hidden="1" outlineLevel="2">
      <c r="A5529" s="3" t="e">
        <f>(HYPERLINK("http://www.autodoc.ru/Web/price/art/5650LGNP4FD?analog=on","5650LGNP4FD"))*1</f>
        <v>#VALUE!</v>
      </c>
      <c r="B5529" s="1">
        <v>6995992</v>
      </c>
      <c r="C5529" t="s">
        <v>5719</v>
      </c>
      <c r="D5529" t="s">
        <v>5732</v>
      </c>
      <c r="E5529" t="s">
        <v>10</v>
      </c>
    </row>
    <row r="5530" spans="1:5" hidden="1" outlineLevel="2">
      <c r="A5530" s="3" t="e">
        <f>(HYPERLINK("http://www.autodoc.ru/Web/price/art/5650LGNR5FD?analog=on","5650LGNR5FD"))*1</f>
        <v>#VALUE!</v>
      </c>
      <c r="B5530" s="1">
        <v>6993233</v>
      </c>
      <c r="C5530" t="s">
        <v>538</v>
      </c>
      <c r="D5530" t="s">
        <v>5733</v>
      </c>
      <c r="E5530" t="s">
        <v>10</v>
      </c>
    </row>
    <row r="5531" spans="1:5" hidden="1" outlineLevel="2">
      <c r="A5531" s="3" t="e">
        <f>(HYPERLINK("http://www.autodoc.ru/Web/price/art/5650LGNR5RD?analog=on","5650LGNR5RD"))*1</f>
        <v>#VALUE!</v>
      </c>
      <c r="B5531" s="1">
        <v>6993690</v>
      </c>
      <c r="C5531" t="s">
        <v>538</v>
      </c>
      <c r="D5531" t="s">
        <v>5734</v>
      </c>
      <c r="E5531" t="s">
        <v>10</v>
      </c>
    </row>
    <row r="5532" spans="1:5" hidden="1" outlineLevel="2">
      <c r="A5532" s="3" t="e">
        <f>(HYPERLINK("http://www.autodoc.ru/Web/price/art/5650LGNR5RV?analog=on","5650LGNR5RV"))*1</f>
        <v>#VALUE!</v>
      </c>
      <c r="B5532" s="1">
        <v>6980487</v>
      </c>
      <c r="C5532" t="s">
        <v>538</v>
      </c>
      <c r="D5532" t="s">
        <v>5735</v>
      </c>
      <c r="E5532" t="s">
        <v>10</v>
      </c>
    </row>
    <row r="5533" spans="1:5" hidden="1" outlineLevel="2">
      <c r="A5533" s="3" t="e">
        <f>(HYPERLINK("http://www.autodoc.ru/Web/price/art/5650RGNP4FD?analog=on","5650RGNP4FD"))*1</f>
        <v>#VALUE!</v>
      </c>
      <c r="B5533" s="1">
        <v>6995993</v>
      </c>
      <c r="C5533" t="s">
        <v>5719</v>
      </c>
      <c r="D5533" t="s">
        <v>5736</v>
      </c>
      <c r="E5533" t="s">
        <v>10</v>
      </c>
    </row>
    <row r="5534" spans="1:5" hidden="1" outlineLevel="2">
      <c r="A5534" s="3" t="e">
        <f>(HYPERLINK("http://www.autodoc.ru/Web/price/art/5650RGNP4RD?analog=on","5650RGNP4RD"))*1</f>
        <v>#VALUE!</v>
      </c>
      <c r="B5534" s="1">
        <v>6995994</v>
      </c>
      <c r="C5534" t="s">
        <v>5719</v>
      </c>
      <c r="D5534" t="s">
        <v>5737</v>
      </c>
      <c r="E5534" t="s">
        <v>10</v>
      </c>
    </row>
    <row r="5535" spans="1:5" hidden="1" outlineLevel="2">
      <c r="A5535" s="3" t="e">
        <f>(HYPERLINK("http://www.autodoc.ru/Web/price/art/5650RGNR5FD?analog=on","5650RGNR5FD"))*1</f>
        <v>#VALUE!</v>
      </c>
      <c r="B5535" s="1">
        <v>6993234</v>
      </c>
      <c r="C5535" t="s">
        <v>5719</v>
      </c>
      <c r="D5535" t="s">
        <v>5738</v>
      </c>
      <c r="E5535" t="s">
        <v>10</v>
      </c>
    </row>
    <row r="5536" spans="1:5" hidden="1" outlineLevel="2">
      <c r="A5536" s="3" t="e">
        <f>(HYPERLINK("http://www.autodoc.ru/Web/price/art/5650RGNR5RD?analog=on","5650RGNR5RD"))*1</f>
        <v>#VALUE!</v>
      </c>
      <c r="B5536" s="1">
        <v>6993678</v>
      </c>
      <c r="C5536" t="s">
        <v>5719</v>
      </c>
      <c r="D5536" t="s">
        <v>5739</v>
      </c>
      <c r="E5536" t="s">
        <v>10</v>
      </c>
    </row>
    <row r="5537" spans="1:5" hidden="1" outlineLevel="2">
      <c r="A5537" s="3" t="e">
        <f>(HYPERLINK("http://www.autodoc.ru/Web/price/art/5650RGNR5RV?analog=on","5650RGNR5RV"))*1</f>
        <v>#VALUE!</v>
      </c>
      <c r="B5537" s="1">
        <v>6980489</v>
      </c>
      <c r="C5537" t="s">
        <v>5719</v>
      </c>
      <c r="D5537" t="s">
        <v>5740</v>
      </c>
      <c r="E5537" t="s">
        <v>10</v>
      </c>
    </row>
    <row r="5538" spans="1:5" hidden="1" outlineLevel="1">
      <c r="A5538" s="2">
        <v>0</v>
      </c>
      <c r="B5538" s="26" t="s">
        <v>5741</v>
      </c>
      <c r="C5538" s="27">
        <v>0</v>
      </c>
      <c r="D5538" s="27">
        <v>0</v>
      </c>
      <c r="E5538" s="27">
        <v>0</v>
      </c>
    </row>
    <row r="5539" spans="1:5" hidden="1" outlineLevel="2">
      <c r="A5539" s="3" t="e">
        <f>(HYPERLINK("http://www.autodoc.ru/Web/price/art/5679AGS?analog=on","5679AGS"))*1</f>
        <v>#VALUE!</v>
      </c>
      <c r="B5539" s="1">
        <v>6961786</v>
      </c>
      <c r="C5539" t="s">
        <v>389</v>
      </c>
      <c r="D5539" t="s">
        <v>5742</v>
      </c>
      <c r="E5539" t="s">
        <v>8</v>
      </c>
    </row>
    <row r="5540" spans="1:5" hidden="1" outlineLevel="1">
      <c r="A5540" s="2">
        <v>0</v>
      </c>
      <c r="B5540" s="26" t="s">
        <v>5743</v>
      </c>
      <c r="C5540" s="27">
        <v>0</v>
      </c>
      <c r="D5540" s="27">
        <v>0</v>
      </c>
      <c r="E5540" s="27">
        <v>0</v>
      </c>
    </row>
    <row r="5541" spans="1:5" hidden="1" outlineLevel="2">
      <c r="A5541" s="3" t="e">
        <f>(HYPERLINK("http://www.autodoc.ru/Web/price/art/5614ACL?analog=on","5614ACL"))*1</f>
        <v>#VALUE!</v>
      </c>
      <c r="B5541" s="1">
        <v>6963477</v>
      </c>
      <c r="C5541" t="s">
        <v>5744</v>
      </c>
      <c r="D5541" t="s">
        <v>5745</v>
      </c>
      <c r="E5541" t="s">
        <v>8</v>
      </c>
    </row>
    <row r="5542" spans="1:5" hidden="1" outlineLevel="2">
      <c r="A5542" s="3" t="e">
        <f>(HYPERLINK("http://www.autodoc.ru/Web/price/art/5614ASRV?analog=on","5614ASRV"))*1</f>
        <v>#VALUE!</v>
      </c>
      <c r="B5542" s="1">
        <v>6102512</v>
      </c>
      <c r="C5542" t="s">
        <v>19</v>
      </c>
      <c r="D5542" t="s">
        <v>5746</v>
      </c>
      <c r="E5542" t="s">
        <v>21</v>
      </c>
    </row>
    <row r="5543" spans="1:5" hidden="1" outlineLevel="2">
      <c r="A5543" s="3" t="e">
        <f>(HYPERLINK("http://www.autodoc.ru/Web/price/art/5614BCLV?analog=on","5614BCLV"))*1</f>
        <v>#VALUE!</v>
      </c>
      <c r="B5543" s="1">
        <v>6998861</v>
      </c>
      <c r="C5543" t="s">
        <v>5744</v>
      </c>
      <c r="D5543" t="s">
        <v>5747</v>
      </c>
      <c r="E5543" t="s">
        <v>23</v>
      </c>
    </row>
    <row r="5544" spans="1:5" hidden="1" outlineLevel="1">
      <c r="A5544" s="2">
        <v>0</v>
      </c>
      <c r="B5544" s="26" t="s">
        <v>5748</v>
      </c>
      <c r="C5544" s="27">
        <v>0</v>
      </c>
      <c r="D5544" s="27">
        <v>0</v>
      </c>
      <c r="E5544" s="27">
        <v>0</v>
      </c>
    </row>
    <row r="5545" spans="1:5" hidden="1" outlineLevel="2">
      <c r="A5545" s="3" t="e">
        <f>(HYPERLINK("http://www.autodoc.ru/Web/price/art/5629ABL?analog=on","5629ABL"))*1</f>
        <v>#VALUE!</v>
      </c>
      <c r="B5545" s="1">
        <v>6969278</v>
      </c>
      <c r="C5545" t="s">
        <v>1189</v>
      </c>
      <c r="D5545" t="s">
        <v>5749</v>
      </c>
      <c r="E5545" t="s">
        <v>8</v>
      </c>
    </row>
    <row r="5546" spans="1:5" hidden="1" outlineLevel="2">
      <c r="A5546" s="3" t="e">
        <f>(HYPERLINK("http://www.autodoc.ru/Web/price/art/5629ABLBL?analog=on","5629ABLBL"))*1</f>
        <v>#VALUE!</v>
      </c>
      <c r="B5546" s="1">
        <v>6969289</v>
      </c>
      <c r="C5546" t="s">
        <v>1189</v>
      </c>
      <c r="D5546" t="s">
        <v>5750</v>
      </c>
      <c r="E5546" t="s">
        <v>8</v>
      </c>
    </row>
    <row r="5547" spans="1:5" hidden="1" outlineLevel="2">
      <c r="A5547" s="3" t="e">
        <f>(HYPERLINK("http://www.autodoc.ru/Web/price/art/5629ABZ?analog=on","5629ABZ"))*1</f>
        <v>#VALUE!</v>
      </c>
      <c r="B5547" s="1">
        <v>6969288</v>
      </c>
      <c r="C5547" t="s">
        <v>1189</v>
      </c>
      <c r="D5547" t="s">
        <v>5751</v>
      </c>
      <c r="E5547" t="s">
        <v>8</v>
      </c>
    </row>
    <row r="5548" spans="1:5" hidden="1" outlineLevel="2">
      <c r="A5548" s="3" t="e">
        <f>(HYPERLINK("http://www.autodoc.ru/Web/price/art/5629ACL?analog=on","5629ACL"))*1</f>
        <v>#VALUE!</v>
      </c>
      <c r="B5548" s="1">
        <v>6969280</v>
      </c>
      <c r="C5548" t="s">
        <v>1189</v>
      </c>
      <c r="D5548" t="s">
        <v>5752</v>
      </c>
      <c r="E5548" t="s">
        <v>8</v>
      </c>
    </row>
    <row r="5549" spans="1:5" hidden="1" outlineLevel="2">
      <c r="A5549" s="3" t="e">
        <f>(HYPERLINK("http://www.autodoc.ru/Web/price/art/5629AKCV?analog=on","5629AKCV"))*1</f>
        <v>#VALUE!</v>
      </c>
      <c r="B5549" s="1">
        <v>6101178</v>
      </c>
      <c r="C5549" t="s">
        <v>19</v>
      </c>
      <c r="D5549" t="s">
        <v>5753</v>
      </c>
      <c r="E5549" t="s">
        <v>21</v>
      </c>
    </row>
    <row r="5550" spans="1:5" hidden="1" outlineLevel="2">
      <c r="A5550" s="3" t="e">
        <f>(HYPERLINK("http://www.autodoc.ru/Web/price/art/5629BBLV?analog=on","5629BBLV"))*1</f>
        <v>#VALUE!</v>
      </c>
      <c r="B5550" s="1">
        <v>6998770</v>
      </c>
      <c r="C5550" t="s">
        <v>1189</v>
      </c>
      <c r="D5550" t="s">
        <v>5754</v>
      </c>
      <c r="E5550" t="s">
        <v>23</v>
      </c>
    </row>
    <row r="5551" spans="1:5" hidden="1" outlineLevel="2">
      <c r="A5551" s="3" t="e">
        <f>(HYPERLINK("http://www.autodoc.ru/Web/price/art/5629BCLV?analog=on","5629BCLV"))*1</f>
        <v>#VALUE!</v>
      </c>
      <c r="B5551" s="1">
        <v>6998862</v>
      </c>
      <c r="C5551" t="s">
        <v>1189</v>
      </c>
      <c r="D5551" t="s">
        <v>5755</v>
      </c>
      <c r="E5551" t="s">
        <v>23</v>
      </c>
    </row>
    <row r="5552" spans="1:5" hidden="1" outlineLevel="2">
      <c r="A5552" s="3" t="e">
        <f>(HYPERLINK("http://www.autodoc.ru/Web/price/art/5629LBLV2FD?analog=on","5629LBLV2FD"))*1</f>
        <v>#VALUE!</v>
      </c>
      <c r="B5552" s="1">
        <v>6995749</v>
      </c>
      <c r="C5552" t="s">
        <v>1189</v>
      </c>
      <c r="D5552" t="s">
        <v>5756</v>
      </c>
      <c r="E5552" t="s">
        <v>10</v>
      </c>
    </row>
    <row r="5553" spans="1:5" hidden="1" outlineLevel="2">
      <c r="A5553" s="3" t="e">
        <f>(HYPERLINK("http://www.autodoc.ru/Web/price/art/5629LCLV2FD?analog=on","5629LCLV2FD"))*1</f>
        <v>#VALUE!</v>
      </c>
      <c r="B5553" s="1">
        <v>6995751</v>
      </c>
      <c r="C5553" t="s">
        <v>1189</v>
      </c>
      <c r="D5553" t="s">
        <v>5757</v>
      </c>
      <c r="E5553" t="s">
        <v>10</v>
      </c>
    </row>
    <row r="5554" spans="1:5" hidden="1" outlineLevel="2">
      <c r="A5554" s="3" t="e">
        <f>(HYPERLINK("http://www.autodoc.ru/Web/price/art/5629RBLV2FD?analog=on","5629RBLV2FD"))*1</f>
        <v>#VALUE!</v>
      </c>
      <c r="B5554" s="1">
        <v>6995750</v>
      </c>
      <c r="C5554" t="s">
        <v>1189</v>
      </c>
      <c r="D5554" t="s">
        <v>5758</v>
      </c>
      <c r="E5554" t="s">
        <v>10</v>
      </c>
    </row>
    <row r="5555" spans="1:5" hidden="1" outlineLevel="2">
      <c r="A5555" s="3" t="e">
        <f>(HYPERLINK("http://www.autodoc.ru/Web/price/art/5629RCLV2FD?analog=on","5629RCLV2FD"))*1</f>
        <v>#VALUE!</v>
      </c>
      <c r="B5555" s="1">
        <v>6995752</v>
      </c>
      <c r="C5555" t="s">
        <v>1189</v>
      </c>
      <c r="D5555" t="s">
        <v>5759</v>
      </c>
      <c r="E5555" t="s">
        <v>10</v>
      </c>
    </row>
    <row r="5556" spans="1:5" hidden="1" outlineLevel="1">
      <c r="A5556" s="2">
        <v>0</v>
      </c>
      <c r="B5556" s="26" t="s">
        <v>5760</v>
      </c>
      <c r="C5556" s="27">
        <v>0</v>
      </c>
      <c r="D5556" s="27">
        <v>0</v>
      </c>
      <c r="E5556" s="27">
        <v>0</v>
      </c>
    </row>
    <row r="5557" spans="1:5" hidden="1" outlineLevel="2">
      <c r="A5557" s="3" t="e">
        <f>(HYPERLINK("http://www.autodoc.ru/Web/price/art/5622ABL?analog=on","5622ABL"))*1</f>
        <v>#VALUE!</v>
      </c>
      <c r="B5557" s="1">
        <v>6961425</v>
      </c>
      <c r="C5557" t="s">
        <v>3186</v>
      </c>
      <c r="D5557" t="s">
        <v>5761</v>
      </c>
      <c r="E5557" t="s">
        <v>8</v>
      </c>
    </row>
    <row r="5558" spans="1:5" hidden="1" outlineLevel="2">
      <c r="A5558" s="3" t="e">
        <f>(HYPERLINK("http://www.autodoc.ru/Web/price/art/5622AKMH?analog=on","5622AKMH"))*1</f>
        <v>#VALUE!</v>
      </c>
      <c r="B5558" s="1">
        <v>6101061</v>
      </c>
      <c r="C5558" t="s">
        <v>19</v>
      </c>
      <c r="D5558" t="s">
        <v>5762</v>
      </c>
      <c r="E5558" t="s">
        <v>21</v>
      </c>
    </row>
    <row r="5559" spans="1:5" hidden="1" outlineLevel="2">
      <c r="A5559" s="3" t="e">
        <f>(HYPERLINK("http://www.autodoc.ru/Web/price/art/5622AKMHC?analog=on","5622AKMHC"))*1</f>
        <v>#VALUE!</v>
      </c>
      <c r="B5559" s="1">
        <v>6101404</v>
      </c>
      <c r="C5559" t="s">
        <v>19</v>
      </c>
      <c r="D5559" t="s">
        <v>5763</v>
      </c>
      <c r="E5559" t="s">
        <v>21</v>
      </c>
    </row>
    <row r="5560" spans="1:5" hidden="1" outlineLevel="2">
      <c r="A5560" s="3" t="e">
        <f>(HYPERLINK("http://www.autodoc.ru/Web/price/art/5622BBLH?analog=on","5622BBLH"))*1</f>
        <v>#VALUE!</v>
      </c>
      <c r="B5560" s="1">
        <v>6998957</v>
      </c>
      <c r="C5560" t="s">
        <v>3186</v>
      </c>
      <c r="D5560" t="s">
        <v>5764</v>
      </c>
      <c r="E5560" t="s">
        <v>23</v>
      </c>
    </row>
    <row r="5561" spans="1:5" hidden="1" outlineLevel="2">
      <c r="A5561" s="3" t="e">
        <f>(HYPERLINK("http://www.autodoc.ru/Web/price/art/5622LBLH5FD?analog=on","5622LBLH5FD"))*1</f>
        <v>#VALUE!</v>
      </c>
      <c r="B5561" s="1">
        <v>6999109</v>
      </c>
      <c r="C5561" t="s">
        <v>3186</v>
      </c>
      <c r="D5561" t="s">
        <v>5765</v>
      </c>
      <c r="E5561" t="s">
        <v>10</v>
      </c>
    </row>
    <row r="5562" spans="1:5" hidden="1" outlineLevel="2">
      <c r="A5562" s="3" t="e">
        <f>(HYPERLINK("http://www.autodoc.ru/Web/price/art/5622RBLH5FD?analog=on","5622RBLH5FD"))*1</f>
        <v>#VALUE!</v>
      </c>
      <c r="B5562" s="1">
        <v>6999111</v>
      </c>
      <c r="C5562" t="s">
        <v>3186</v>
      </c>
      <c r="D5562" t="s">
        <v>5766</v>
      </c>
      <c r="E5562" t="s">
        <v>10</v>
      </c>
    </row>
    <row r="5563" spans="1:5" hidden="1" outlineLevel="1">
      <c r="A5563" s="2">
        <v>0</v>
      </c>
      <c r="B5563" s="26" t="s">
        <v>5767</v>
      </c>
      <c r="C5563" s="27">
        <v>0</v>
      </c>
      <c r="D5563" s="27">
        <v>0</v>
      </c>
      <c r="E5563" s="27">
        <v>0</v>
      </c>
    </row>
    <row r="5564" spans="1:5" hidden="1" outlineLevel="2">
      <c r="A5564" s="3" t="e">
        <f>(HYPERLINK("http://www.autodoc.ru/Web/price/art/5633ABL?analog=on","5633ABL"))*1</f>
        <v>#VALUE!</v>
      </c>
      <c r="B5564" s="1">
        <v>6963394</v>
      </c>
      <c r="C5564" t="s">
        <v>2379</v>
      </c>
      <c r="D5564" t="s">
        <v>5768</v>
      </c>
      <c r="E5564" t="s">
        <v>8</v>
      </c>
    </row>
    <row r="5565" spans="1:5" hidden="1" outlineLevel="2">
      <c r="A5565" s="3" t="e">
        <f>(HYPERLINK("http://www.autodoc.ru/Web/price/art/5633ABLBL?analog=on","5633ABLBL"))*1</f>
        <v>#VALUE!</v>
      </c>
      <c r="B5565" s="1">
        <v>6963395</v>
      </c>
      <c r="C5565" t="s">
        <v>2379</v>
      </c>
      <c r="D5565" t="s">
        <v>5769</v>
      </c>
      <c r="E5565" t="s">
        <v>8</v>
      </c>
    </row>
    <row r="5566" spans="1:5" hidden="1" outlineLevel="2">
      <c r="A5566" s="3" t="e">
        <f>(HYPERLINK("http://www.autodoc.ru/Web/price/art/5633ASMHT?analog=on","5633ASMHT"))*1</f>
        <v>#VALUE!</v>
      </c>
      <c r="B5566" s="1">
        <v>6101073</v>
      </c>
      <c r="C5566" t="s">
        <v>19</v>
      </c>
      <c r="D5566" t="s">
        <v>5770</v>
      </c>
      <c r="E5566" t="s">
        <v>21</v>
      </c>
    </row>
    <row r="5567" spans="1:5" hidden="1" outlineLevel="2">
      <c r="A5567" s="3" t="e">
        <f>(HYPERLINK("http://www.autodoc.ru/Web/price/art/5633ASMHTC?analog=on","5633ASMHTC"))*1</f>
        <v>#VALUE!</v>
      </c>
      <c r="B5567" s="1">
        <v>6102359</v>
      </c>
      <c r="C5567" t="s">
        <v>19</v>
      </c>
      <c r="D5567" t="s">
        <v>5771</v>
      </c>
      <c r="E5567" t="s">
        <v>21</v>
      </c>
    </row>
    <row r="5568" spans="1:5" hidden="1" outlineLevel="2">
      <c r="A5568" s="3" t="e">
        <f>(HYPERLINK("http://www.autodoc.ru/Web/price/art/5633BBLS?analog=on","5633BBLS"))*1</f>
        <v>#VALUE!</v>
      </c>
      <c r="B5568" s="1">
        <v>6992477</v>
      </c>
      <c r="C5568" t="s">
        <v>2379</v>
      </c>
      <c r="D5568" t="s">
        <v>5772</v>
      </c>
      <c r="E5568" t="s">
        <v>23</v>
      </c>
    </row>
    <row r="5569" spans="1:5" hidden="1" outlineLevel="2">
      <c r="A5569" s="3" t="e">
        <f>(HYPERLINK("http://www.autodoc.ru/Web/price/art/5633BCLS?analog=on","5633BCLS"))*1</f>
        <v>#VALUE!</v>
      </c>
      <c r="B5569" s="1">
        <v>6999903</v>
      </c>
      <c r="C5569" t="s">
        <v>2379</v>
      </c>
      <c r="D5569" t="s">
        <v>5773</v>
      </c>
      <c r="E5569" t="s">
        <v>23</v>
      </c>
    </row>
    <row r="5570" spans="1:5" hidden="1" outlineLevel="2">
      <c r="A5570" s="3" t="e">
        <f>(HYPERLINK("http://www.autodoc.ru/Web/price/art/5633LBLS4FD?analog=on","5633LBLS4FD"))*1</f>
        <v>#VALUE!</v>
      </c>
      <c r="B5570" s="1">
        <v>6996784</v>
      </c>
      <c r="C5570" t="s">
        <v>2379</v>
      </c>
      <c r="D5570" t="s">
        <v>5774</v>
      </c>
      <c r="E5570" t="s">
        <v>10</v>
      </c>
    </row>
    <row r="5571" spans="1:5" hidden="1" outlineLevel="2">
      <c r="A5571" s="3" t="e">
        <f>(HYPERLINK("http://www.autodoc.ru/Web/price/art/5633LBLS4RD?analog=on","5633LBLS4RD"))*1</f>
        <v>#VALUE!</v>
      </c>
      <c r="B5571" s="1">
        <v>6980478</v>
      </c>
      <c r="C5571" t="s">
        <v>2379</v>
      </c>
      <c r="D5571" t="s">
        <v>5775</v>
      </c>
      <c r="E5571" t="s">
        <v>10</v>
      </c>
    </row>
    <row r="5572" spans="1:5" hidden="1" outlineLevel="2">
      <c r="A5572" s="3" t="e">
        <f>(HYPERLINK("http://www.autodoc.ru/Web/price/art/5633LBLS4RV?analog=on","5633LBLS4RV"))*1</f>
        <v>#VALUE!</v>
      </c>
      <c r="B5572" s="1">
        <v>6992478</v>
      </c>
      <c r="C5572" t="s">
        <v>2379</v>
      </c>
      <c r="D5572" t="s">
        <v>5776</v>
      </c>
      <c r="E5572" t="s">
        <v>10</v>
      </c>
    </row>
    <row r="5573" spans="1:5" hidden="1" outlineLevel="2">
      <c r="A5573" s="3" t="e">
        <f>(HYPERLINK("http://www.autodoc.ru/Web/price/art/5633RBLS4FD?analog=on","5633RBLS4FD"))*1</f>
        <v>#VALUE!</v>
      </c>
      <c r="B5573" s="1">
        <v>6996785</v>
      </c>
      <c r="C5573" t="s">
        <v>2379</v>
      </c>
      <c r="D5573" t="s">
        <v>5777</v>
      </c>
      <c r="E5573" t="s">
        <v>10</v>
      </c>
    </row>
    <row r="5574" spans="1:5" hidden="1" outlineLevel="2">
      <c r="A5574" s="3" t="e">
        <f>(HYPERLINK("http://www.autodoc.ru/Web/price/art/5633RBLS4RD?analog=on","5633RBLS4RD"))*1</f>
        <v>#VALUE!</v>
      </c>
      <c r="B5574" s="1">
        <v>6980479</v>
      </c>
      <c r="C5574" t="s">
        <v>2379</v>
      </c>
      <c r="D5574" t="s">
        <v>5778</v>
      </c>
      <c r="E5574" t="s">
        <v>10</v>
      </c>
    </row>
    <row r="5575" spans="1:5" hidden="1" outlineLevel="2">
      <c r="A5575" s="3" t="e">
        <f>(HYPERLINK("http://www.autodoc.ru/Web/price/art/5633RBLS4RV?analog=on","5633RBLS4RV"))*1</f>
        <v>#VALUE!</v>
      </c>
      <c r="B5575" s="1">
        <v>6992479</v>
      </c>
      <c r="C5575" t="s">
        <v>2379</v>
      </c>
      <c r="D5575" t="s">
        <v>5779</v>
      </c>
      <c r="E5575" t="s">
        <v>10</v>
      </c>
    </row>
    <row r="5576" spans="1:5" hidden="1" outlineLevel="1">
      <c r="A5576" s="2">
        <v>0</v>
      </c>
      <c r="B5576" s="26" t="s">
        <v>5780</v>
      </c>
      <c r="C5576" s="27">
        <v>0</v>
      </c>
      <c r="D5576" s="27">
        <v>0</v>
      </c>
      <c r="E5576" s="27">
        <v>0</v>
      </c>
    </row>
    <row r="5577" spans="1:5" hidden="1" outlineLevel="2">
      <c r="A5577" s="3" t="e">
        <f>(HYPERLINK("http://www.autodoc.ru/Web/price/art/5642ABL?analog=on","5642ABL"))*1</f>
        <v>#VALUE!</v>
      </c>
      <c r="B5577" s="1">
        <v>6961427</v>
      </c>
      <c r="C5577" t="s">
        <v>1883</v>
      </c>
      <c r="D5577" t="s">
        <v>5781</v>
      </c>
      <c r="E5577" t="s">
        <v>8</v>
      </c>
    </row>
    <row r="5578" spans="1:5" hidden="1" outlineLevel="2">
      <c r="A5578" s="3" t="e">
        <f>(HYPERLINK("http://www.autodoc.ru/Web/price/art/5642ABLBL?analog=on","5642ABLBL"))*1</f>
        <v>#VALUE!</v>
      </c>
      <c r="B5578" s="1">
        <v>6963402</v>
      </c>
      <c r="C5578" t="s">
        <v>1883</v>
      </c>
      <c r="D5578" t="s">
        <v>5782</v>
      </c>
      <c r="E5578" t="s">
        <v>8</v>
      </c>
    </row>
    <row r="5579" spans="1:5" hidden="1" outlineLevel="2">
      <c r="A5579" s="3" t="e">
        <f>(HYPERLINK("http://www.autodoc.ru/Web/price/art/5642AGN?analog=on","5642AGN"))*1</f>
        <v>#VALUE!</v>
      </c>
      <c r="B5579" s="1">
        <v>6964161</v>
      </c>
      <c r="C5579" t="s">
        <v>1883</v>
      </c>
      <c r="D5579" t="s">
        <v>5783</v>
      </c>
      <c r="E5579" t="s">
        <v>8</v>
      </c>
    </row>
    <row r="5580" spans="1:5" hidden="1" outlineLevel="2">
      <c r="A5580" s="3" t="e">
        <f>(HYPERLINK("http://www.autodoc.ru/Web/price/art/5642ASMHT?analog=on","5642ASMHT"))*1</f>
        <v>#VALUE!</v>
      </c>
      <c r="B5580" s="1">
        <v>6101070</v>
      </c>
      <c r="C5580" t="s">
        <v>19</v>
      </c>
      <c r="D5580" t="s">
        <v>5784</v>
      </c>
      <c r="E5580" t="s">
        <v>21</v>
      </c>
    </row>
    <row r="5581" spans="1:5" hidden="1" outlineLevel="2">
      <c r="A5581" s="3" t="e">
        <f>(HYPERLINK("http://www.autodoc.ru/Web/price/art/5642BGNS?analog=on","5642BGNS"))*1</f>
        <v>#VALUE!</v>
      </c>
      <c r="B5581" s="1">
        <v>6992480</v>
      </c>
      <c r="C5581" t="s">
        <v>1883</v>
      </c>
      <c r="D5581" t="s">
        <v>5785</v>
      </c>
      <c r="E5581" t="s">
        <v>23</v>
      </c>
    </row>
    <row r="5582" spans="1:5" hidden="1" outlineLevel="2">
      <c r="A5582" s="3" t="e">
        <f>(HYPERLINK("http://www.autodoc.ru/Web/price/art/5642LBLS4FD?analog=on","5642LBLS4FD"))*1</f>
        <v>#VALUE!</v>
      </c>
      <c r="B5582" s="1">
        <v>6995418</v>
      </c>
      <c r="C5582" t="s">
        <v>1883</v>
      </c>
      <c r="D5582" t="s">
        <v>5786</v>
      </c>
      <c r="E5582" t="s">
        <v>10</v>
      </c>
    </row>
    <row r="5583" spans="1:5" hidden="1" outlineLevel="2">
      <c r="A5583" s="3" t="e">
        <f>(HYPERLINK("http://www.autodoc.ru/Web/price/art/5642LBLS4RV?analog=on","5642LBLS4RV"))*1</f>
        <v>#VALUE!</v>
      </c>
      <c r="B5583" s="1">
        <v>6995420</v>
      </c>
      <c r="C5583" t="s">
        <v>1883</v>
      </c>
      <c r="D5583" t="s">
        <v>5787</v>
      </c>
      <c r="E5583" t="s">
        <v>10</v>
      </c>
    </row>
    <row r="5584" spans="1:5" hidden="1" outlineLevel="2">
      <c r="A5584" s="3" t="e">
        <f>(HYPERLINK("http://www.autodoc.ru/Web/price/art/5642LGNS4FD?analog=on","5642LGNS4FD"))*1</f>
        <v>#VALUE!</v>
      </c>
      <c r="B5584" s="1">
        <v>6992481</v>
      </c>
      <c r="C5584" t="s">
        <v>1883</v>
      </c>
      <c r="D5584" t="s">
        <v>5788</v>
      </c>
      <c r="E5584" t="s">
        <v>10</v>
      </c>
    </row>
    <row r="5585" spans="1:5" hidden="1" outlineLevel="2">
      <c r="A5585" s="3" t="e">
        <f>(HYPERLINK("http://www.autodoc.ru/Web/price/art/5642LGNS4RD?analog=on","5642LGNS4RD"))*1</f>
        <v>#VALUE!</v>
      </c>
      <c r="B5585" s="1">
        <v>6900165</v>
      </c>
      <c r="C5585" t="s">
        <v>1883</v>
      </c>
      <c r="D5585" t="s">
        <v>5789</v>
      </c>
      <c r="E5585" t="s">
        <v>10</v>
      </c>
    </row>
    <row r="5586" spans="1:5" hidden="1" outlineLevel="2">
      <c r="A5586" s="3" t="e">
        <f>(HYPERLINK("http://www.autodoc.ru/Web/price/art/5642LGNS4RV?analog=on","5642LGNS4RV"))*1</f>
        <v>#VALUE!</v>
      </c>
      <c r="B5586" s="1">
        <v>6900297</v>
      </c>
      <c r="C5586" t="s">
        <v>1883</v>
      </c>
      <c r="D5586" t="s">
        <v>5790</v>
      </c>
      <c r="E5586" t="s">
        <v>10</v>
      </c>
    </row>
    <row r="5587" spans="1:5" hidden="1" outlineLevel="2">
      <c r="A5587" s="3" t="e">
        <f>(HYPERLINK("http://www.autodoc.ru/Web/price/art/5642RBLS4FD?analog=on","5642RBLS4FD"))*1</f>
        <v>#VALUE!</v>
      </c>
      <c r="B5587" s="1">
        <v>6995421</v>
      </c>
      <c r="C5587" t="s">
        <v>1883</v>
      </c>
      <c r="D5587" t="s">
        <v>5791</v>
      </c>
      <c r="E5587" t="s">
        <v>10</v>
      </c>
    </row>
    <row r="5588" spans="1:5" hidden="1" outlineLevel="2">
      <c r="A5588" s="3" t="e">
        <f>(HYPERLINK("http://www.autodoc.ru/Web/price/art/5642RBLS4RV?analog=on","5642RBLS4RV"))*1</f>
        <v>#VALUE!</v>
      </c>
      <c r="B5588" s="1">
        <v>6995423</v>
      </c>
      <c r="C5588" t="s">
        <v>1883</v>
      </c>
      <c r="D5588" t="s">
        <v>5792</v>
      </c>
      <c r="E5588" t="s">
        <v>10</v>
      </c>
    </row>
    <row r="5589" spans="1:5" hidden="1" outlineLevel="2">
      <c r="A5589" s="3" t="e">
        <f>(HYPERLINK("http://www.autodoc.ru/Web/price/art/5642RGNS4FD?analog=on","5642RGNS4FD"))*1</f>
        <v>#VALUE!</v>
      </c>
      <c r="B5589" s="1">
        <v>6992523</v>
      </c>
      <c r="C5589" t="s">
        <v>1883</v>
      </c>
      <c r="D5589" t="s">
        <v>5793</v>
      </c>
      <c r="E5589" t="s">
        <v>10</v>
      </c>
    </row>
    <row r="5590" spans="1:5" hidden="1" outlineLevel="2">
      <c r="A5590" s="3" t="e">
        <f>(HYPERLINK("http://www.autodoc.ru/Web/price/art/5642RGNS4RD?analog=on","5642RGNS4RD"))*1</f>
        <v>#VALUE!</v>
      </c>
      <c r="B5590" s="1">
        <v>6900242</v>
      </c>
      <c r="C5590" t="s">
        <v>1883</v>
      </c>
      <c r="D5590" t="s">
        <v>5794</v>
      </c>
      <c r="E5590" t="s">
        <v>10</v>
      </c>
    </row>
    <row r="5591" spans="1:5" hidden="1" outlineLevel="2">
      <c r="A5591" s="3" t="e">
        <f>(HYPERLINK("http://www.autodoc.ru/Web/price/art/5642RGNS4RV?analog=on","5642RGNS4RV"))*1</f>
        <v>#VALUE!</v>
      </c>
      <c r="B5591" s="1">
        <v>6900314</v>
      </c>
      <c r="C5591" t="s">
        <v>1883</v>
      </c>
      <c r="D5591" t="s">
        <v>5795</v>
      </c>
      <c r="E5591" t="s">
        <v>10</v>
      </c>
    </row>
    <row r="5592" spans="1:5" hidden="1" outlineLevel="1">
      <c r="A5592" s="2">
        <v>0</v>
      </c>
      <c r="B5592" s="26" t="s">
        <v>5796</v>
      </c>
      <c r="C5592" s="27">
        <v>0</v>
      </c>
      <c r="D5592" s="27">
        <v>0</v>
      </c>
      <c r="E5592" s="27">
        <v>0</v>
      </c>
    </row>
    <row r="5593" spans="1:5" hidden="1" outlineLevel="2">
      <c r="A5593" s="3" t="e">
        <f>(HYPERLINK("http://www.autodoc.ru/Web/price/art/5648AGN?analog=on","5648AGN"))*1</f>
        <v>#VALUE!</v>
      </c>
      <c r="B5593" s="1">
        <v>6963404</v>
      </c>
      <c r="C5593" t="s">
        <v>240</v>
      </c>
      <c r="D5593" t="s">
        <v>5797</v>
      </c>
      <c r="E5593" t="s">
        <v>8</v>
      </c>
    </row>
    <row r="5594" spans="1:5" hidden="1" outlineLevel="2">
      <c r="A5594" s="3" t="e">
        <f>(HYPERLINK("http://www.autodoc.ru/Web/price/art/5648AGNBL?analog=on","5648AGNBL"))*1</f>
        <v>#VALUE!</v>
      </c>
      <c r="B5594" s="1">
        <v>6963215</v>
      </c>
      <c r="C5594" t="s">
        <v>240</v>
      </c>
      <c r="D5594" t="s">
        <v>5798</v>
      </c>
      <c r="E5594" t="s">
        <v>8</v>
      </c>
    </row>
    <row r="5595" spans="1:5" hidden="1" outlineLevel="2">
      <c r="A5595" s="3" t="e">
        <f>(HYPERLINK("http://www.autodoc.ru/Web/price/art/5648BGNS?analog=on","5648BGNS"))*1</f>
        <v>#VALUE!</v>
      </c>
      <c r="B5595" s="1">
        <v>6992482</v>
      </c>
      <c r="C5595" t="s">
        <v>240</v>
      </c>
      <c r="D5595" t="s">
        <v>5799</v>
      </c>
      <c r="E5595" t="s">
        <v>23</v>
      </c>
    </row>
    <row r="5596" spans="1:5" hidden="1" outlineLevel="2">
      <c r="A5596" s="3" t="e">
        <f>(HYPERLINK("http://www.autodoc.ru/Web/price/art/5648LGNS4FD?analog=on","5648LGNS4FD"))*1</f>
        <v>#VALUE!</v>
      </c>
      <c r="B5596" s="1">
        <v>6992483</v>
      </c>
      <c r="C5596" t="s">
        <v>240</v>
      </c>
      <c r="D5596" t="s">
        <v>5800</v>
      </c>
      <c r="E5596" t="s">
        <v>10</v>
      </c>
    </row>
    <row r="5597" spans="1:5" hidden="1" outlineLevel="2">
      <c r="A5597" s="3" t="e">
        <f>(HYPERLINK("http://www.autodoc.ru/Web/price/art/5648LGNS4RD?analog=on","5648LGNS4RD"))*1</f>
        <v>#VALUE!</v>
      </c>
      <c r="B5597" s="1">
        <v>6980481</v>
      </c>
      <c r="C5597" t="s">
        <v>240</v>
      </c>
      <c r="D5597" t="s">
        <v>5801</v>
      </c>
      <c r="E5597" t="s">
        <v>10</v>
      </c>
    </row>
    <row r="5598" spans="1:5" hidden="1" outlineLevel="2">
      <c r="A5598" s="3" t="e">
        <f>(HYPERLINK("http://www.autodoc.ru/Web/price/art/5648LGNS4RV?analog=on","5648LGNS4RV"))*1</f>
        <v>#VALUE!</v>
      </c>
      <c r="B5598" s="1">
        <v>6992485</v>
      </c>
      <c r="C5598" t="s">
        <v>240</v>
      </c>
      <c r="D5598" t="s">
        <v>5802</v>
      </c>
      <c r="E5598" t="s">
        <v>10</v>
      </c>
    </row>
    <row r="5599" spans="1:5" hidden="1" outlineLevel="2">
      <c r="A5599" s="3" t="e">
        <f>(HYPERLINK("http://www.autodoc.ru/Web/price/art/5648RGNS4FD?analog=on","5648RGNS4FD"))*1</f>
        <v>#VALUE!</v>
      </c>
      <c r="B5599" s="1">
        <v>6992484</v>
      </c>
      <c r="C5599" t="s">
        <v>240</v>
      </c>
      <c r="D5599" t="s">
        <v>5803</v>
      </c>
      <c r="E5599" t="s">
        <v>10</v>
      </c>
    </row>
    <row r="5600" spans="1:5" hidden="1" outlineLevel="2">
      <c r="A5600" s="3" t="e">
        <f>(HYPERLINK("http://www.autodoc.ru/Web/price/art/5648RGNS4RD?analog=on","5648RGNS4RD"))*1</f>
        <v>#VALUE!</v>
      </c>
      <c r="B5600" s="1">
        <v>6980482</v>
      </c>
      <c r="C5600" t="s">
        <v>240</v>
      </c>
      <c r="D5600" t="s">
        <v>5804</v>
      </c>
      <c r="E5600" t="s">
        <v>10</v>
      </c>
    </row>
    <row r="5601" spans="1:5" hidden="1" outlineLevel="2">
      <c r="A5601" s="3" t="e">
        <f>(HYPERLINK("http://www.autodoc.ru/Web/price/art/5648RGNS4RV?analog=on","5648RGNS4RV"))*1</f>
        <v>#VALUE!</v>
      </c>
      <c r="B5601" s="1">
        <v>6992486</v>
      </c>
      <c r="C5601" t="s">
        <v>240</v>
      </c>
      <c r="D5601" t="s">
        <v>5805</v>
      </c>
      <c r="E5601" t="s">
        <v>10</v>
      </c>
    </row>
    <row r="5602" spans="1:5" hidden="1" outlineLevel="1">
      <c r="A5602" s="2">
        <v>0</v>
      </c>
      <c r="B5602" s="26" t="s">
        <v>5806</v>
      </c>
      <c r="C5602" s="27">
        <v>0</v>
      </c>
      <c r="D5602" s="27">
        <v>0</v>
      </c>
      <c r="E5602" s="27">
        <v>0</v>
      </c>
    </row>
    <row r="5603" spans="1:5" hidden="1" outlineLevel="2">
      <c r="A5603" s="3" t="e">
        <f>(HYPERLINK("http://www.autodoc.ru/Web/price/art/5670AGN?analog=on","5670AGN"))*1</f>
        <v>#VALUE!</v>
      </c>
      <c r="B5603" s="1">
        <v>6961787</v>
      </c>
      <c r="C5603" t="s">
        <v>896</v>
      </c>
      <c r="D5603" t="s">
        <v>5807</v>
      </c>
      <c r="E5603" t="s">
        <v>8</v>
      </c>
    </row>
    <row r="5604" spans="1:5" hidden="1" outlineLevel="2">
      <c r="A5604" s="3" t="e">
        <f>(HYPERLINK("http://www.autodoc.ru/Web/price/art/5670AGNBL?analog=on","5670AGNBL"))*1</f>
        <v>#VALUE!</v>
      </c>
      <c r="B5604" s="1">
        <v>6963093</v>
      </c>
      <c r="C5604" t="s">
        <v>896</v>
      </c>
      <c r="D5604" t="s">
        <v>5808</v>
      </c>
      <c r="E5604" t="s">
        <v>8</v>
      </c>
    </row>
    <row r="5605" spans="1:5" hidden="1" outlineLevel="2">
      <c r="A5605" s="3" t="e">
        <f>(HYPERLINK("http://www.autodoc.ru/Web/price/art/5670ASMST?analog=on","5670ASMST"))*1</f>
        <v>#VALUE!</v>
      </c>
      <c r="B5605" s="1">
        <v>6102315</v>
      </c>
      <c r="C5605" t="s">
        <v>19</v>
      </c>
      <c r="D5605" t="s">
        <v>5809</v>
      </c>
      <c r="E5605" t="s">
        <v>21</v>
      </c>
    </row>
    <row r="5606" spans="1:5" hidden="1" outlineLevel="2">
      <c r="A5606" s="3" t="e">
        <f>(HYPERLINK("http://www.autodoc.ru/Web/price/art/5670LGNE5RDW?analog=on","5670LGNE5RDW"))*1</f>
        <v>#VALUE!</v>
      </c>
      <c r="B5606" s="1">
        <v>6900167</v>
      </c>
      <c r="C5606" t="s">
        <v>896</v>
      </c>
      <c r="D5606" t="s">
        <v>5810</v>
      </c>
      <c r="E5606" t="s">
        <v>10</v>
      </c>
    </row>
    <row r="5607" spans="1:5" hidden="1" outlineLevel="2">
      <c r="A5607" s="3" t="e">
        <f>(HYPERLINK("http://www.autodoc.ru/Web/price/art/5670LGNE5RV?analog=on","5670LGNE5RV"))*1</f>
        <v>#VALUE!</v>
      </c>
      <c r="B5607" s="1">
        <v>6900299</v>
      </c>
      <c r="C5607" t="s">
        <v>896</v>
      </c>
      <c r="D5607" t="s">
        <v>5811</v>
      </c>
      <c r="E5607" t="s">
        <v>10</v>
      </c>
    </row>
    <row r="5608" spans="1:5" hidden="1" outlineLevel="2">
      <c r="A5608" s="3" t="e">
        <f>(HYPERLINK("http://www.autodoc.ru/Web/price/art/5670LGNS4FDW?analog=on","5670LGNS4FDW"))*1</f>
        <v>#VALUE!</v>
      </c>
      <c r="B5608" s="1">
        <v>6999068</v>
      </c>
      <c r="C5608" t="s">
        <v>896</v>
      </c>
      <c r="D5608" t="s">
        <v>5812</v>
      </c>
      <c r="E5608" t="s">
        <v>10</v>
      </c>
    </row>
    <row r="5609" spans="1:5" hidden="1" outlineLevel="2">
      <c r="A5609" s="3" t="e">
        <f>(HYPERLINK("http://www.autodoc.ru/Web/price/art/5670LGNS4RDW?analog=on","5670LGNS4RDW"))*1</f>
        <v>#VALUE!</v>
      </c>
      <c r="B5609" s="1">
        <v>6900166</v>
      </c>
      <c r="C5609" t="s">
        <v>896</v>
      </c>
      <c r="D5609" t="s">
        <v>5813</v>
      </c>
      <c r="E5609" t="s">
        <v>10</v>
      </c>
    </row>
    <row r="5610" spans="1:5" hidden="1" outlineLevel="2">
      <c r="A5610" s="3" t="e">
        <f>(HYPERLINK("http://www.autodoc.ru/Web/price/art/5670LGNS4RV?analog=on","5670LGNS4RV"))*1</f>
        <v>#VALUE!</v>
      </c>
      <c r="B5610" s="1">
        <v>6900298</v>
      </c>
      <c r="C5610" t="s">
        <v>896</v>
      </c>
      <c r="D5610" t="s">
        <v>5814</v>
      </c>
      <c r="E5610" t="s">
        <v>10</v>
      </c>
    </row>
    <row r="5611" spans="1:5" hidden="1" outlineLevel="2">
      <c r="A5611" s="3" t="e">
        <f>(HYPERLINK("http://www.autodoc.ru/Web/price/art/5670RGNE5RDW?analog=on","5670RGNE5RDW"))*1</f>
        <v>#VALUE!</v>
      </c>
      <c r="B5611" s="1">
        <v>6900243</v>
      </c>
      <c r="C5611" t="s">
        <v>896</v>
      </c>
      <c r="D5611" t="s">
        <v>5815</v>
      </c>
      <c r="E5611" t="s">
        <v>10</v>
      </c>
    </row>
    <row r="5612" spans="1:5" hidden="1" outlineLevel="2">
      <c r="A5612" s="3" t="e">
        <f>(HYPERLINK("http://www.autodoc.ru/Web/price/art/5670RGNE5RV?analog=on","5670RGNE5RV"))*1</f>
        <v>#VALUE!</v>
      </c>
      <c r="B5612" s="1">
        <v>6900316</v>
      </c>
      <c r="C5612" t="s">
        <v>896</v>
      </c>
      <c r="D5612" t="s">
        <v>5816</v>
      </c>
      <c r="E5612" t="s">
        <v>10</v>
      </c>
    </row>
    <row r="5613" spans="1:5" hidden="1" outlineLevel="2">
      <c r="A5613" s="3" t="e">
        <f>(HYPERLINK("http://www.autodoc.ru/Web/price/art/5670RGNS4FDW?analog=on","5670RGNS4FDW"))*1</f>
        <v>#VALUE!</v>
      </c>
      <c r="B5613" s="1">
        <v>6999067</v>
      </c>
      <c r="C5613" t="s">
        <v>896</v>
      </c>
      <c r="D5613" t="s">
        <v>5817</v>
      </c>
      <c r="E5613" t="s">
        <v>10</v>
      </c>
    </row>
    <row r="5614" spans="1:5" hidden="1" outlineLevel="2">
      <c r="A5614" s="3" t="e">
        <f>(HYPERLINK("http://www.autodoc.ru/Web/price/art/5670RGNS4RDW?analog=on","5670RGNS4RDW"))*1</f>
        <v>#VALUE!</v>
      </c>
      <c r="B5614" s="1">
        <v>6900371</v>
      </c>
      <c r="C5614" t="s">
        <v>896</v>
      </c>
      <c r="D5614" t="s">
        <v>5818</v>
      </c>
      <c r="E5614" t="s">
        <v>10</v>
      </c>
    </row>
    <row r="5615" spans="1:5" hidden="1" outlineLevel="2">
      <c r="A5615" s="3" t="e">
        <f>(HYPERLINK("http://www.autodoc.ru/Web/price/art/5670RGNS4RV?analog=on","5670RGNS4RV"))*1</f>
        <v>#VALUE!</v>
      </c>
      <c r="B5615" s="1">
        <v>6900315</v>
      </c>
      <c r="C5615" t="s">
        <v>896</v>
      </c>
      <c r="D5615" t="s">
        <v>5819</v>
      </c>
      <c r="E5615" t="s">
        <v>10</v>
      </c>
    </row>
    <row r="5616" spans="1:5" hidden="1" outlineLevel="1">
      <c r="A5616" s="2">
        <v>0</v>
      </c>
      <c r="B5616" s="26" t="s">
        <v>5820</v>
      </c>
      <c r="C5616" s="27">
        <v>0</v>
      </c>
      <c r="D5616" s="27">
        <v>0</v>
      </c>
      <c r="E5616" s="27">
        <v>0</v>
      </c>
    </row>
    <row r="5617" spans="1:5" hidden="1" outlineLevel="2">
      <c r="A5617" s="3" t="e">
        <f>(HYPERLINK("http://www.autodoc.ru/Web/price/art/5684AGN?analog=on","5684AGN"))*1</f>
        <v>#VALUE!</v>
      </c>
      <c r="B5617" s="1">
        <v>6963059</v>
      </c>
      <c r="C5617" t="s">
        <v>290</v>
      </c>
      <c r="D5617" t="s">
        <v>5821</v>
      </c>
      <c r="E5617" t="s">
        <v>8</v>
      </c>
    </row>
    <row r="5618" spans="1:5" hidden="1" outlineLevel="2">
      <c r="A5618" s="3" t="e">
        <f>(HYPERLINK("http://www.autodoc.ru/Web/price/art/5684AGNBL?analog=on","5684AGNBL"))*1</f>
        <v>#VALUE!</v>
      </c>
      <c r="B5618" s="1">
        <v>6964746</v>
      </c>
      <c r="C5618" t="s">
        <v>290</v>
      </c>
      <c r="D5618" t="s">
        <v>5822</v>
      </c>
      <c r="E5618" t="s">
        <v>8</v>
      </c>
    </row>
    <row r="5619" spans="1:5" hidden="1" outlineLevel="2">
      <c r="A5619" s="3" t="e">
        <f>(HYPERLINK("http://www.autodoc.ru/Web/price/art/5684AGNM1B?analog=on","5684AGNM1B"))*1</f>
        <v>#VALUE!</v>
      </c>
      <c r="B5619" s="1">
        <v>6963060</v>
      </c>
      <c r="C5619" t="s">
        <v>290</v>
      </c>
      <c r="D5619" t="s">
        <v>5823</v>
      </c>
      <c r="E5619" t="s">
        <v>8</v>
      </c>
    </row>
    <row r="5620" spans="1:5" hidden="1" outlineLevel="2">
      <c r="A5620" s="3" t="e">
        <f>(HYPERLINK("http://www.autodoc.ru/Web/price/art/5684ASMS?analog=on","5684ASMS"))*1</f>
        <v>#VALUE!</v>
      </c>
      <c r="B5620" s="1">
        <v>6102628</v>
      </c>
      <c r="C5620" t="s">
        <v>19</v>
      </c>
      <c r="D5620" t="s">
        <v>5824</v>
      </c>
      <c r="E5620" t="s">
        <v>21</v>
      </c>
    </row>
    <row r="5621" spans="1:5" hidden="1" outlineLevel="2">
      <c r="A5621" s="3" t="e">
        <f>(HYPERLINK("http://www.autodoc.ru/Web/price/art/5684LGNS4RDW?analog=on","5684LGNS4RDW"))*1</f>
        <v>#VALUE!</v>
      </c>
      <c r="B5621" s="1">
        <v>6900996</v>
      </c>
      <c r="C5621" t="s">
        <v>290</v>
      </c>
      <c r="D5621" t="s">
        <v>5825</v>
      </c>
      <c r="E5621" t="s">
        <v>10</v>
      </c>
    </row>
    <row r="5622" spans="1:5" hidden="1" outlineLevel="2">
      <c r="A5622" s="3" t="e">
        <f>(HYPERLINK("http://www.autodoc.ru/Web/price/art/5684BGNS?analog=on","5684BGNS"))*1</f>
        <v>#VALUE!</v>
      </c>
      <c r="B5622" s="1">
        <v>6901026</v>
      </c>
      <c r="C5622" t="s">
        <v>290</v>
      </c>
      <c r="D5622" t="s">
        <v>5826</v>
      </c>
      <c r="E5622" t="s">
        <v>10</v>
      </c>
    </row>
    <row r="5623" spans="1:5" hidden="1" outlineLevel="2">
      <c r="A5623" s="3" t="e">
        <f>(HYPERLINK("http://www.autodoc.ru/Web/price/art/5684RGNS4RDW?analog=on","5684RGNS4RDW"))*1</f>
        <v>#VALUE!</v>
      </c>
      <c r="B5623" s="1">
        <v>6901847</v>
      </c>
      <c r="C5623" t="s">
        <v>290</v>
      </c>
      <c r="D5623" t="s">
        <v>5827</v>
      </c>
      <c r="E5623" t="s">
        <v>10</v>
      </c>
    </row>
    <row r="5624" spans="1:5" hidden="1" outlineLevel="2">
      <c r="A5624" s="3" t="e">
        <f>(HYPERLINK("http://www.autodoc.ru/Web/price/art/5684RGNS4FDW?analog=on","5684RGNS4FDW"))*1</f>
        <v>#VALUE!</v>
      </c>
      <c r="B5624" s="1">
        <v>6901848</v>
      </c>
      <c r="C5624" t="s">
        <v>290</v>
      </c>
      <c r="D5624" t="s">
        <v>5828</v>
      </c>
      <c r="E5624" t="s">
        <v>10</v>
      </c>
    </row>
    <row r="5625" spans="1:5" hidden="1" outlineLevel="2">
      <c r="A5625" s="3" t="e">
        <f>(HYPERLINK("http://www.autodoc.ru/Web/price/art/5684LGNS4FDW?analog=on","5684LGNS4FDW"))*1</f>
        <v>#VALUE!</v>
      </c>
      <c r="B5625" s="1">
        <v>6901849</v>
      </c>
      <c r="C5625" t="s">
        <v>290</v>
      </c>
      <c r="D5625" t="s">
        <v>5829</v>
      </c>
      <c r="E5625" t="s">
        <v>10</v>
      </c>
    </row>
    <row r="5626" spans="1:5" hidden="1" outlineLevel="1">
      <c r="A5626" s="2">
        <v>0</v>
      </c>
      <c r="B5626" s="26" t="s">
        <v>5830</v>
      </c>
      <c r="C5626" s="27">
        <v>0</v>
      </c>
      <c r="D5626" s="27">
        <v>0</v>
      </c>
      <c r="E5626" s="27">
        <v>0</v>
      </c>
    </row>
    <row r="5627" spans="1:5" hidden="1" outlineLevel="2">
      <c r="A5627" s="3" t="e">
        <f>(HYPERLINK("http://www.autodoc.ru/Web/price/art/5668AGN?analog=on","5668AGN"))*1</f>
        <v>#VALUE!</v>
      </c>
      <c r="B5627" s="1">
        <v>6961027</v>
      </c>
      <c r="C5627" t="s">
        <v>896</v>
      </c>
      <c r="D5627" t="s">
        <v>5831</v>
      </c>
      <c r="E5627" t="s">
        <v>8</v>
      </c>
    </row>
    <row r="5628" spans="1:5" hidden="1" outlineLevel="2">
      <c r="A5628" s="3" t="e">
        <f>(HYPERLINK("http://www.autodoc.ru/Web/price/art/5668AGNH?analog=on","5668AGNH"))*1</f>
        <v>#VALUE!</v>
      </c>
      <c r="B5628" s="1">
        <v>6962266</v>
      </c>
      <c r="C5628" t="s">
        <v>896</v>
      </c>
      <c r="D5628" t="s">
        <v>5832</v>
      </c>
      <c r="E5628" t="s">
        <v>8</v>
      </c>
    </row>
    <row r="5629" spans="1:5" hidden="1" outlineLevel="2">
      <c r="A5629" s="3" t="e">
        <f>(HYPERLINK("http://www.autodoc.ru/Web/price/art/5668ASMRT?analog=on","5668ASMRT"))*1</f>
        <v>#VALUE!</v>
      </c>
      <c r="B5629" s="1">
        <v>6101576</v>
      </c>
      <c r="C5629" t="s">
        <v>19</v>
      </c>
      <c r="D5629" t="s">
        <v>5833</v>
      </c>
      <c r="E5629" t="s">
        <v>21</v>
      </c>
    </row>
    <row r="5630" spans="1:5" hidden="1" outlineLevel="2">
      <c r="A5630" s="3" t="e">
        <f>(HYPERLINK("http://www.autodoc.ru/Web/price/art/5668LGNR5FDW?analog=on","5668LGNR5FDW"))*1</f>
        <v>#VALUE!</v>
      </c>
      <c r="B5630" s="1">
        <v>6999972</v>
      </c>
      <c r="C5630" t="s">
        <v>896</v>
      </c>
      <c r="D5630" t="s">
        <v>5834</v>
      </c>
      <c r="E5630" t="s">
        <v>10</v>
      </c>
    </row>
    <row r="5631" spans="1:5" hidden="1" outlineLevel="2">
      <c r="A5631" s="3" t="e">
        <f>(HYPERLINK("http://www.autodoc.ru/Web/price/art/5668LGNR5RDW?analog=on","5668LGNR5RDW"))*1</f>
        <v>#VALUE!</v>
      </c>
      <c r="B5631" s="1">
        <v>6900168</v>
      </c>
      <c r="C5631" t="s">
        <v>896</v>
      </c>
      <c r="D5631" t="s">
        <v>5835</v>
      </c>
      <c r="E5631" t="s">
        <v>10</v>
      </c>
    </row>
    <row r="5632" spans="1:5" hidden="1" outlineLevel="2">
      <c r="A5632" s="3" t="e">
        <f>(HYPERLINK("http://www.autodoc.ru/Web/price/art/5668RGNR5FDW?analog=on","5668RGNR5FDW"))*1</f>
        <v>#VALUE!</v>
      </c>
      <c r="B5632" s="1">
        <v>6900060</v>
      </c>
      <c r="C5632" t="s">
        <v>896</v>
      </c>
      <c r="D5632" t="s">
        <v>5836</v>
      </c>
      <c r="E5632" t="s">
        <v>10</v>
      </c>
    </row>
    <row r="5633" spans="1:5" hidden="1" outlineLevel="2">
      <c r="A5633" s="3" t="e">
        <f>(HYPERLINK("http://www.autodoc.ru/Web/price/art/5668RGNR5RDW?analog=on","5668RGNR5RDW"))*1</f>
        <v>#VALUE!</v>
      </c>
      <c r="B5633" s="1">
        <v>6900244</v>
      </c>
      <c r="C5633" t="s">
        <v>896</v>
      </c>
      <c r="D5633" t="s">
        <v>5837</v>
      </c>
      <c r="E5633" t="s">
        <v>10</v>
      </c>
    </row>
    <row r="5634" spans="1:5" hidden="1" outlineLevel="1">
      <c r="A5634" s="2">
        <v>0</v>
      </c>
      <c r="B5634" s="26" t="s">
        <v>5838</v>
      </c>
      <c r="C5634" s="27">
        <v>0</v>
      </c>
      <c r="D5634" s="27">
        <v>0</v>
      </c>
      <c r="E5634" s="27">
        <v>0</v>
      </c>
    </row>
    <row r="5635" spans="1:5" hidden="1" outlineLevel="2">
      <c r="A5635" s="3" t="e">
        <f>(HYPERLINK("http://www.autodoc.ru/Web/price/art/5680AGNHM1B?analog=on","5680AGNHM1B"))*1</f>
        <v>#VALUE!</v>
      </c>
      <c r="B5635" s="1">
        <v>6963004</v>
      </c>
      <c r="C5635" t="s">
        <v>290</v>
      </c>
      <c r="D5635" t="s">
        <v>5839</v>
      </c>
      <c r="E5635" t="s">
        <v>8</v>
      </c>
    </row>
    <row r="5636" spans="1:5" hidden="1" outlineLevel="2">
      <c r="A5636" s="3" t="e">
        <f>(HYPERLINK("http://www.autodoc.ru/Web/price/art/5680AGN?analog=on","5680AGN"))*1</f>
        <v>#VALUE!</v>
      </c>
      <c r="B5636" s="1">
        <v>6962617</v>
      </c>
      <c r="C5636" t="s">
        <v>290</v>
      </c>
      <c r="D5636" t="s">
        <v>5840</v>
      </c>
      <c r="E5636" t="s">
        <v>8</v>
      </c>
    </row>
    <row r="5637" spans="1:5" hidden="1" outlineLevel="2">
      <c r="A5637" s="3" t="e">
        <f>(HYPERLINK("http://www.autodoc.ru/Web/price/art/5680AGNH?analog=on","5680AGNH"))*1</f>
        <v>#VALUE!</v>
      </c>
      <c r="B5637" s="1">
        <v>6963003</v>
      </c>
      <c r="C5637" t="s">
        <v>290</v>
      </c>
      <c r="D5637" t="s">
        <v>5841</v>
      </c>
      <c r="E5637" t="s">
        <v>8</v>
      </c>
    </row>
    <row r="5638" spans="1:5" hidden="1" outlineLevel="2">
      <c r="A5638" s="3" t="e">
        <f>(HYPERLINK("http://www.autodoc.ru/Web/price/art/5680ASMRT?analog=on","5680ASMRT"))*1</f>
        <v>#VALUE!</v>
      </c>
      <c r="B5638" s="1">
        <v>6102639</v>
      </c>
      <c r="C5638" t="s">
        <v>19</v>
      </c>
      <c r="D5638" t="s">
        <v>5842</v>
      </c>
      <c r="E5638" t="s">
        <v>21</v>
      </c>
    </row>
    <row r="5639" spans="1:5" hidden="1" outlineLevel="2">
      <c r="A5639" s="3" t="e">
        <f>(HYPERLINK("http://www.autodoc.ru/Web/price/art/5680LGNR5FDW?analog=on","5680LGNR5FDW"))*1</f>
        <v>#VALUE!</v>
      </c>
      <c r="B5639" s="1">
        <v>6900444</v>
      </c>
      <c r="C5639" t="s">
        <v>290</v>
      </c>
      <c r="D5639" t="s">
        <v>5843</v>
      </c>
      <c r="E5639" t="s">
        <v>10</v>
      </c>
    </row>
    <row r="5640" spans="1:5" hidden="1" outlineLevel="2">
      <c r="A5640" s="3" t="e">
        <f>(HYPERLINK("http://www.autodoc.ru/Web/price/art/5680LGNR5RDW?analog=on","5680LGNR5RDW"))*1</f>
        <v>#VALUE!</v>
      </c>
      <c r="B5640" s="1">
        <v>6900446</v>
      </c>
      <c r="C5640" t="s">
        <v>290</v>
      </c>
      <c r="D5640" t="s">
        <v>5844</v>
      </c>
      <c r="E5640" t="s">
        <v>10</v>
      </c>
    </row>
    <row r="5641" spans="1:5" hidden="1" outlineLevel="2">
      <c r="A5641" s="3" t="e">
        <f>(HYPERLINK("http://www.autodoc.ru/Web/price/art/5680RGNR5FDW?analog=on","5680RGNR5FDW"))*1</f>
        <v>#VALUE!</v>
      </c>
      <c r="B5641" s="1">
        <v>6900443</v>
      </c>
      <c r="C5641" t="s">
        <v>290</v>
      </c>
      <c r="D5641" t="s">
        <v>5845</v>
      </c>
      <c r="E5641" t="s">
        <v>10</v>
      </c>
    </row>
    <row r="5642" spans="1:5" hidden="1" outlineLevel="2">
      <c r="A5642" s="3" t="e">
        <f>(HYPERLINK("http://www.autodoc.ru/Web/price/art/5680RGNR5RDW?analog=on","5680RGNR5RDW"))*1</f>
        <v>#VALUE!</v>
      </c>
      <c r="B5642" s="1">
        <v>6900445</v>
      </c>
      <c r="C5642" t="s">
        <v>290</v>
      </c>
      <c r="D5642" t="s">
        <v>5846</v>
      </c>
      <c r="E5642" t="s">
        <v>10</v>
      </c>
    </row>
    <row r="5643" spans="1:5" hidden="1" outlineLevel="2">
      <c r="A5643" s="3" t="e">
        <f>(HYPERLINK("http://www.autodoc.ru/Web/price/art/5680LYPR5RDW?analog=on","5680LYPR5RDW"))*1</f>
        <v>#VALUE!</v>
      </c>
      <c r="B5643" s="1">
        <v>6900448</v>
      </c>
      <c r="C5643" t="s">
        <v>290</v>
      </c>
      <c r="D5643" t="s">
        <v>5847</v>
      </c>
      <c r="E5643" t="s">
        <v>23</v>
      </c>
    </row>
    <row r="5644" spans="1:5" hidden="1" outlineLevel="2">
      <c r="A5644" s="3" t="e">
        <f>(HYPERLINK("http://www.autodoc.ru/Web/price/art/5680RYPR5RDW?analog=on","5680RYPR5RDW"))*1</f>
        <v>#VALUE!</v>
      </c>
      <c r="B5644" s="1">
        <v>6900447</v>
      </c>
      <c r="C5644" t="s">
        <v>290</v>
      </c>
      <c r="D5644" t="s">
        <v>5848</v>
      </c>
      <c r="E5644" t="s">
        <v>23</v>
      </c>
    </row>
    <row r="5645" spans="1:5" hidden="1" outlineLevel="1">
      <c r="A5645" s="2">
        <v>0</v>
      </c>
      <c r="B5645" s="26" t="s">
        <v>5849</v>
      </c>
      <c r="C5645" s="27">
        <v>0</v>
      </c>
      <c r="D5645" s="27">
        <v>0</v>
      </c>
      <c r="E5645" s="27">
        <v>0</v>
      </c>
    </row>
    <row r="5646" spans="1:5" hidden="1" outlineLevel="2">
      <c r="A5646" s="3" t="e">
        <f>(HYPERLINK("http://www.autodoc.ru/Web/price/art/5660AGNBL?analog=on","5660AGNBL"))*1</f>
        <v>#VALUE!</v>
      </c>
      <c r="B5646" s="1">
        <v>6962945</v>
      </c>
      <c r="C5646" t="s">
        <v>831</v>
      </c>
      <c r="D5646" t="s">
        <v>5850</v>
      </c>
      <c r="E5646" t="s">
        <v>8</v>
      </c>
    </row>
    <row r="5647" spans="1:5" hidden="1" outlineLevel="2">
      <c r="A5647" s="3" t="e">
        <f>(HYPERLINK("http://www.autodoc.ru/Web/price/art/5660AGNW?analog=on","5660AGNW"))*1</f>
        <v>#VALUE!</v>
      </c>
      <c r="B5647" s="1">
        <v>6960144</v>
      </c>
      <c r="C5647" t="s">
        <v>831</v>
      </c>
      <c r="D5647" t="s">
        <v>5851</v>
      </c>
      <c r="E5647" t="s">
        <v>8</v>
      </c>
    </row>
    <row r="5648" spans="1:5" hidden="1" outlineLevel="2">
      <c r="A5648" s="3" t="e">
        <f>(HYPERLINK("http://www.autodoc.ru/Web/price/art/5660ASMRB?analog=on","5660ASMRB"))*1</f>
        <v>#VALUE!</v>
      </c>
      <c r="B5648" s="1">
        <v>6102360</v>
      </c>
      <c r="C5648" t="s">
        <v>19</v>
      </c>
      <c r="D5648" t="s">
        <v>5852</v>
      </c>
      <c r="E5648" t="s">
        <v>21</v>
      </c>
    </row>
    <row r="5649" spans="1:5" hidden="1" outlineLevel="2">
      <c r="A5649" s="3" t="e">
        <f>(HYPERLINK("http://www.autodoc.ru/Web/price/art/5660ASMRT?analog=on","5660ASMRT"))*1</f>
        <v>#VALUE!</v>
      </c>
      <c r="B5649" s="1">
        <v>6101159</v>
      </c>
      <c r="C5649" t="s">
        <v>19</v>
      </c>
      <c r="D5649" t="s">
        <v>5853</v>
      </c>
      <c r="E5649" t="s">
        <v>21</v>
      </c>
    </row>
    <row r="5650" spans="1:5" hidden="1" outlineLevel="2">
      <c r="A5650" s="3" t="e">
        <f>(HYPERLINK("http://www.autodoc.ru/Web/price/art/5660BGNRZ?analog=on","5660BGNRZ"))*1</f>
        <v>#VALUE!</v>
      </c>
      <c r="B5650" s="1">
        <v>6990445</v>
      </c>
      <c r="C5650" t="s">
        <v>831</v>
      </c>
      <c r="D5650" t="s">
        <v>5854</v>
      </c>
      <c r="E5650" t="s">
        <v>23</v>
      </c>
    </row>
    <row r="5651" spans="1:5" hidden="1" outlineLevel="2">
      <c r="A5651" s="3" t="e">
        <f>(HYPERLINK("http://www.autodoc.ru/Web/price/art/5660LGNR3FDW?analog=on","5660LGNR3FDW"))*1</f>
        <v>#VALUE!</v>
      </c>
      <c r="B5651" s="1">
        <v>6990447</v>
      </c>
      <c r="C5651" t="s">
        <v>831</v>
      </c>
      <c r="D5651" t="s">
        <v>5855</v>
      </c>
      <c r="E5651" t="s">
        <v>10</v>
      </c>
    </row>
    <row r="5652" spans="1:5" hidden="1" outlineLevel="2">
      <c r="A5652" s="3" t="e">
        <f>(HYPERLINK("http://www.autodoc.ru/Web/price/art/5660LGNR3RQW?analog=on","5660LGNR3RQW"))*1</f>
        <v>#VALUE!</v>
      </c>
      <c r="B5652" s="1">
        <v>6990449</v>
      </c>
      <c r="C5652" t="s">
        <v>831</v>
      </c>
      <c r="D5652" t="s">
        <v>5856</v>
      </c>
      <c r="E5652" t="s">
        <v>10</v>
      </c>
    </row>
    <row r="5653" spans="1:5" hidden="1" outlineLevel="2">
      <c r="A5653" s="3" t="e">
        <f>(HYPERLINK("http://www.autodoc.ru/Web/price/art/5660LGNR5FDW?analog=on","5660LGNR5FDW"))*1</f>
        <v>#VALUE!</v>
      </c>
      <c r="B5653" s="1">
        <v>6990878</v>
      </c>
      <c r="C5653" t="s">
        <v>831</v>
      </c>
      <c r="D5653" t="s">
        <v>5857</v>
      </c>
      <c r="E5653" t="s">
        <v>10</v>
      </c>
    </row>
    <row r="5654" spans="1:5" hidden="1" outlineLevel="2">
      <c r="A5654" s="3" t="e">
        <f>(HYPERLINK("http://www.autodoc.ru/Web/price/art/5660LGNR5RDW?analog=on","5660LGNR5RDW"))*1</f>
        <v>#VALUE!</v>
      </c>
      <c r="B5654" s="1">
        <v>6990881</v>
      </c>
      <c r="C5654" t="s">
        <v>831</v>
      </c>
      <c r="D5654" t="s">
        <v>5858</v>
      </c>
      <c r="E5654" t="s">
        <v>10</v>
      </c>
    </row>
    <row r="5655" spans="1:5" hidden="1" outlineLevel="2">
      <c r="A5655" s="3" t="e">
        <f>(HYPERLINK("http://www.autodoc.ru/Web/price/art/5660LGNR5RQZ?analog=on","5660LGNR5RQZ"))*1</f>
        <v>#VALUE!</v>
      </c>
      <c r="B5655" s="1">
        <v>6990885</v>
      </c>
      <c r="C5655" t="s">
        <v>831</v>
      </c>
      <c r="D5655" t="s">
        <v>5859</v>
      </c>
      <c r="E5655" t="s">
        <v>10</v>
      </c>
    </row>
    <row r="5656" spans="1:5" hidden="1" outlineLevel="2">
      <c r="A5656" s="3" t="e">
        <f>(HYPERLINK("http://www.autodoc.ru/Web/price/art/5660LGNR5RV?analog=on","5660LGNR5RV"))*1</f>
        <v>#VALUE!</v>
      </c>
      <c r="B5656" s="1">
        <v>6990883</v>
      </c>
      <c r="C5656" t="s">
        <v>831</v>
      </c>
      <c r="D5656" t="s">
        <v>5860</v>
      </c>
      <c r="E5656" t="s">
        <v>10</v>
      </c>
    </row>
    <row r="5657" spans="1:5" hidden="1" outlineLevel="2">
      <c r="A5657" s="3" t="e">
        <f>(HYPERLINK("http://www.autodoc.ru/Web/price/art/5660RGNR3FDW?analog=on","5660RGNR3FDW"))*1</f>
        <v>#VALUE!</v>
      </c>
      <c r="B5657" s="1">
        <v>6990446</v>
      </c>
      <c r="C5657" t="s">
        <v>831</v>
      </c>
      <c r="D5657" t="s">
        <v>5861</v>
      </c>
      <c r="E5657" t="s">
        <v>10</v>
      </c>
    </row>
    <row r="5658" spans="1:5" hidden="1" outlineLevel="2">
      <c r="A5658" s="3" t="e">
        <f>(HYPERLINK("http://www.autodoc.ru/Web/price/art/5660RGNR3RQW?analog=on","5660RGNR3RQW"))*1</f>
        <v>#VALUE!</v>
      </c>
      <c r="B5658" s="1">
        <v>6990448</v>
      </c>
      <c r="C5658" t="s">
        <v>831</v>
      </c>
      <c r="D5658" t="s">
        <v>5862</v>
      </c>
      <c r="E5658" t="s">
        <v>10</v>
      </c>
    </row>
    <row r="5659" spans="1:5" hidden="1" outlineLevel="2">
      <c r="A5659" s="3" t="e">
        <f>(HYPERLINK("http://www.autodoc.ru/Web/price/art/5660RGNR5FDW?analog=on","5660RGNR5FDW"))*1</f>
        <v>#VALUE!</v>
      </c>
      <c r="B5659" s="1">
        <v>6990877</v>
      </c>
      <c r="C5659" t="s">
        <v>831</v>
      </c>
      <c r="D5659" t="s">
        <v>5863</v>
      </c>
      <c r="E5659" t="s">
        <v>10</v>
      </c>
    </row>
    <row r="5660" spans="1:5" hidden="1" outlineLevel="2">
      <c r="A5660" s="3" t="e">
        <f>(HYPERLINK("http://www.autodoc.ru/Web/price/art/5660RGNR5RDW?analog=on","5660RGNR5RDW"))*1</f>
        <v>#VALUE!</v>
      </c>
      <c r="B5660" s="1">
        <v>6990879</v>
      </c>
      <c r="C5660" t="s">
        <v>831</v>
      </c>
      <c r="D5660" t="s">
        <v>5864</v>
      </c>
      <c r="E5660" t="s">
        <v>10</v>
      </c>
    </row>
    <row r="5661" spans="1:5" hidden="1" outlineLevel="2">
      <c r="A5661" s="3" t="e">
        <f>(HYPERLINK("http://www.autodoc.ru/Web/price/art/5660RGNR5RQZ?analog=on","5660RGNR5RQZ"))*1</f>
        <v>#VALUE!</v>
      </c>
      <c r="B5661" s="1">
        <v>6990884</v>
      </c>
      <c r="C5661" t="s">
        <v>831</v>
      </c>
      <c r="D5661" t="s">
        <v>5865</v>
      </c>
      <c r="E5661" t="s">
        <v>10</v>
      </c>
    </row>
    <row r="5662" spans="1:5" hidden="1" outlineLevel="2">
      <c r="A5662" s="3" t="e">
        <f>(HYPERLINK("http://www.autodoc.ru/Web/price/art/5660RGNR5RV?analog=on","5660RGNR5RV"))*1</f>
        <v>#VALUE!</v>
      </c>
      <c r="B5662" s="1">
        <v>6990882</v>
      </c>
      <c r="C5662" t="s">
        <v>831</v>
      </c>
      <c r="D5662" t="s">
        <v>5866</v>
      </c>
      <c r="E5662" t="s">
        <v>10</v>
      </c>
    </row>
    <row r="5663" spans="1:5" hidden="1" outlineLevel="1">
      <c r="A5663" s="2">
        <v>0</v>
      </c>
      <c r="B5663" s="26" t="s">
        <v>5867</v>
      </c>
      <c r="C5663" s="27">
        <v>0</v>
      </c>
      <c r="D5663" s="27">
        <v>0</v>
      </c>
      <c r="E5663" s="27">
        <v>0</v>
      </c>
    </row>
    <row r="5664" spans="1:5" hidden="1" outlineLevel="2">
      <c r="A5664" s="3" t="e">
        <f>(HYPERLINK("http://www.autodoc.ru/Web/price/art/5621ABL?analog=on","5621ABL"))*1</f>
        <v>#VALUE!</v>
      </c>
      <c r="B5664" s="1">
        <v>6969274</v>
      </c>
      <c r="C5664" t="s">
        <v>180</v>
      </c>
      <c r="D5664" t="s">
        <v>5868</v>
      </c>
      <c r="E5664" t="s">
        <v>8</v>
      </c>
    </row>
    <row r="5665" spans="1:5" hidden="1" outlineLevel="2">
      <c r="A5665" s="3" t="e">
        <f>(HYPERLINK("http://www.autodoc.ru/Web/price/art/5621ABLBL?analog=on","5621ABLBL"))*1</f>
        <v>#VALUE!</v>
      </c>
      <c r="B5665" s="1">
        <v>6969275</v>
      </c>
      <c r="C5665" t="s">
        <v>180</v>
      </c>
      <c r="D5665" t="s">
        <v>5869</v>
      </c>
      <c r="E5665" t="s">
        <v>8</v>
      </c>
    </row>
    <row r="5666" spans="1:5" hidden="1" outlineLevel="2">
      <c r="A5666" s="3" t="e">
        <f>(HYPERLINK("http://www.autodoc.ru/Web/price/art/5621ABZ?analog=on","5621ABZ"))*1</f>
        <v>#VALUE!</v>
      </c>
      <c r="B5666" s="1">
        <v>6969273</v>
      </c>
      <c r="C5666" t="s">
        <v>180</v>
      </c>
      <c r="D5666" t="s">
        <v>5870</v>
      </c>
      <c r="E5666" t="s">
        <v>8</v>
      </c>
    </row>
    <row r="5667" spans="1:5" hidden="1" outlineLevel="2">
      <c r="A5667" s="3" t="e">
        <f>(HYPERLINK("http://www.autodoc.ru/Web/price/art/5621AGNBL?analog=on","5621AGNBL"))*1</f>
        <v>#VALUE!</v>
      </c>
      <c r="B5667" s="1">
        <v>6961159</v>
      </c>
      <c r="C5667" t="s">
        <v>180</v>
      </c>
      <c r="D5667" t="s">
        <v>5871</v>
      </c>
      <c r="E5667" t="s">
        <v>8</v>
      </c>
    </row>
    <row r="5668" spans="1:5" hidden="1" outlineLevel="2">
      <c r="A5668" s="3" t="e">
        <f>(HYPERLINK("http://www.autodoc.ru/Web/price/art/5621ASRR?analog=on","5621ASRR"))*1</f>
        <v>#VALUE!</v>
      </c>
      <c r="B5668" s="1">
        <v>6100499</v>
      </c>
      <c r="C5668" t="s">
        <v>19</v>
      </c>
      <c r="D5668" t="s">
        <v>5872</v>
      </c>
      <c r="E5668" t="s">
        <v>21</v>
      </c>
    </row>
    <row r="5669" spans="1:5" hidden="1" outlineLevel="2">
      <c r="A5669" s="3" t="e">
        <f>(HYPERLINK("http://www.autodoc.ru/Web/price/art/5621ASRRC?analog=on","5621ASRRC"))*1</f>
        <v>#VALUE!</v>
      </c>
      <c r="B5669" s="1">
        <v>6101116</v>
      </c>
      <c r="C5669" t="s">
        <v>19</v>
      </c>
      <c r="D5669" t="s">
        <v>5873</v>
      </c>
      <c r="E5669" t="s">
        <v>21</v>
      </c>
    </row>
    <row r="5670" spans="1:5" hidden="1" outlineLevel="2">
      <c r="A5670" s="3" t="e">
        <f>(HYPERLINK("http://www.autodoc.ru/Web/price/art/5621BBLR?analog=on","5621BBLR"))*1</f>
        <v>#VALUE!</v>
      </c>
      <c r="B5670" s="1">
        <v>6998955</v>
      </c>
      <c r="C5670" t="s">
        <v>180</v>
      </c>
      <c r="D5670" t="s">
        <v>5874</v>
      </c>
      <c r="E5670" t="s">
        <v>23</v>
      </c>
    </row>
    <row r="5671" spans="1:5" hidden="1" outlineLevel="2">
      <c r="A5671" s="3" t="e">
        <f>(HYPERLINK("http://www.autodoc.ru/Web/price/art/5621LBLR5RD?analog=on","5621LBLR5RD"))*1</f>
        <v>#VALUE!</v>
      </c>
      <c r="B5671" s="1">
        <v>6999484</v>
      </c>
      <c r="C5671" t="s">
        <v>180</v>
      </c>
      <c r="D5671" t="s">
        <v>5875</v>
      </c>
      <c r="E5671" t="s">
        <v>10</v>
      </c>
    </row>
    <row r="5672" spans="1:5" hidden="1" outlineLevel="2">
      <c r="A5672" s="3" t="e">
        <f>(HYPERLINK("http://www.autodoc.ru/Web/price/art/5621RBLR3FD?analog=on","5621RBLR3FD"))*1</f>
        <v>#VALUE!</v>
      </c>
      <c r="B5672" s="1">
        <v>6995748</v>
      </c>
      <c r="C5672" t="s">
        <v>180</v>
      </c>
      <c r="D5672" t="s">
        <v>5876</v>
      </c>
      <c r="E5672" t="s">
        <v>10</v>
      </c>
    </row>
    <row r="5673" spans="1:5" hidden="1" outlineLevel="2">
      <c r="A5673" s="3" t="e">
        <f>(HYPERLINK("http://www.autodoc.ru/Web/price/art/5621RBLR5RD?analog=on","5621RBLR5RD"))*1</f>
        <v>#VALUE!</v>
      </c>
      <c r="B5673" s="1">
        <v>6999485</v>
      </c>
      <c r="C5673" t="s">
        <v>180</v>
      </c>
      <c r="D5673" t="s">
        <v>5877</v>
      </c>
      <c r="E5673" t="s">
        <v>10</v>
      </c>
    </row>
    <row r="5674" spans="1:5" hidden="1" outlineLevel="1">
      <c r="A5674" s="2">
        <v>0</v>
      </c>
      <c r="B5674" s="26" t="s">
        <v>5878</v>
      </c>
      <c r="C5674" s="27">
        <v>0</v>
      </c>
      <c r="D5674" s="27">
        <v>0</v>
      </c>
      <c r="E5674" s="27">
        <v>0</v>
      </c>
    </row>
    <row r="5675" spans="1:5" hidden="1" outlineLevel="2">
      <c r="A5675" s="3" t="e">
        <f>(HYPERLINK("http://www.autodoc.ru/Web/price/art/5637ACL?analog=on","5637ACL"))*1</f>
        <v>#VALUE!</v>
      </c>
      <c r="B5675" s="1">
        <v>6969293</v>
      </c>
      <c r="C5675" t="s">
        <v>489</v>
      </c>
      <c r="D5675" t="s">
        <v>5879</v>
      </c>
      <c r="E5675" t="s">
        <v>8</v>
      </c>
    </row>
    <row r="5676" spans="1:5" hidden="1" outlineLevel="2">
      <c r="A5676" s="3" t="e">
        <f>(HYPERLINK("http://www.autodoc.ru/Web/price/art/5637ABZ?analog=on","5637ABZ"))*1</f>
        <v>#VALUE!</v>
      </c>
      <c r="B5676" s="1">
        <v>6969294</v>
      </c>
      <c r="C5676" t="s">
        <v>489</v>
      </c>
      <c r="D5676" t="s">
        <v>5880</v>
      </c>
      <c r="E5676" t="s">
        <v>8</v>
      </c>
    </row>
    <row r="5677" spans="1:5" hidden="1" outlineLevel="2">
      <c r="A5677" s="3" t="e">
        <f>(HYPERLINK("http://www.autodoc.ru/Web/price/art/5637ABL?analog=on","5637ABL"))*1</f>
        <v>#VALUE!</v>
      </c>
      <c r="B5677" s="1">
        <v>6969295</v>
      </c>
      <c r="C5677" t="s">
        <v>489</v>
      </c>
      <c r="D5677" t="s">
        <v>5881</v>
      </c>
      <c r="E5677" t="s">
        <v>8</v>
      </c>
    </row>
    <row r="5678" spans="1:5" hidden="1" outlineLevel="2">
      <c r="A5678" s="3" t="e">
        <f>(HYPERLINK("http://www.autodoc.ru/Web/price/art/5637ABLBL?analog=on","5637ABLBL"))*1</f>
        <v>#VALUE!</v>
      </c>
      <c r="B5678" s="1">
        <v>6969296</v>
      </c>
      <c r="C5678" t="s">
        <v>489</v>
      </c>
      <c r="D5678" t="s">
        <v>5882</v>
      </c>
      <c r="E5678" t="s">
        <v>8</v>
      </c>
    </row>
    <row r="5679" spans="1:5" hidden="1" outlineLevel="2">
      <c r="A5679" s="3" t="e">
        <f>(HYPERLINK("http://www.autodoc.ru/Web/price/art/5637AGN?analog=on","5637AGN"))*1</f>
        <v>#VALUE!</v>
      </c>
      <c r="B5679" s="1">
        <v>6963397</v>
      </c>
      <c r="C5679" t="s">
        <v>489</v>
      </c>
      <c r="D5679" t="s">
        <v>5883</v>
      </c>
      <c r="E5679" t="s">
        <v>8</v>
      </c>
    </row>
    <row r="5680" spans="1:5" hidden="1" outlineLevel="2">
      <c r="A5680" s="3" t="e">
        <f>(HYPERLINK("http://www.autodoc.ru/Web/price/art/5637AGNBL?analog=on","5637AGNBL"))*1</f>
        <v>#VALUE!</v>
      </c>
      <c r="B5680" s="1">
        <v>6961022</v>
      </c>
      <c r="C5680" t="s">
        <v>489</v>
      </c>
      <c r="D5680" t="s">
        <v>5884</v>
      </c>
      <c r="E5680" t="s">
        <v>8</v>
      </c>
    </row>
    <row r="5681" spans="1:5" hidden="1" outlineLevel="2">
      <c r="A5681" s="3" t="e">
        <f>(HYPERLINK("http://www.autodoc.ru/Web/price/art/5637AKCR?analog=on","5637AKCR"))*1</f>
        <v>#VALUE!</v>
      </c>
      <c r="B5681" s="1">
        <v>6101164</v>
      </c>
      <c r="C5681" t="s">
        <v>19</v>
      </c>
      <c r="D5681" t="s">
        <v>5885</v>
      </c>
      <c r="E5681" t="s">
        <v>21</v>
      </c>
    </row>
    <row r="5682" spans="1:5" hidden="1" outlineLevel="2">
      <c r="A5682" s="3" t="e">
        <f>(HYPERLINK("http://www.autodoc.ru/Web/price/art/5637ASMRB?analog=on","5637ASMRB"))*1</f>
        <v>#VALUE!</v>
      </c>
      <c r="B5682" s="1">
        <v>6100293</v>
      </c>
      <c r="C5682" t="s">
        <v>19</v>
      </c>
      <c r="D5682" t="s">
        <v>5886</v>
      </c>
      <c r="E5682" t="s">
        <v>21</v>
      </c>
    </row>
    <row r="5683" spans="1:5" hidden="1" outlineLevel="2">
      <c r="A5683" s="3" t="e">
        <f>(HYPERLINK("http://www.autodoc.ru/Web/price/art/5637ASMRT?analog=on","5637ASMRT"))*1</f>
        <v>#VALUE!</v>
      </c>
      <c r="B5683" s="1">
        <v>6100131</v>
      </c>
      <c r="C5683" t="s">
        <v>19</v>
      </c>
      <c r="D5683" t="s">
        <v>5887</v>
      </c>
      <c r="E5683" t="s">
        <v>21</v>
      </c>
    </row>
    <row r="5684" spans="1:5" hidden="1" outlineLevel="2">
      <c r="A5684" s="3" t="e">
        <f>(HYPERLINK("http://www.autodoc.ru/Web/price/art/5637BBLR?analog=on","5637BBLR"))*1</f>
        <v>#VALUE!</v>
      </c>
      <c r="B5684" s="1">
        <v>6998960</v>
      </c>
      <c r="C5684" t="s">
        <v>489</v>
      </c>
      <c r="D5684" t="s">
        <v>5888</v>
      </c>
      <c r="E5684" t="s">
        <v>23</v>
      </c>
    </row>
    <row r="5685" spans="1:5" hidden="1" outlineLevel="2">
      <c r="A5685" s="3" t="e">
        <f>(HYPERLINK("http://www.autodoc.ru/Web/price/art/5637BGNR?analog=on","5637BGNR"))*1</f>
        <v>#VALUE!</v>
      </c>
      <c r="B5685" s="1">
        <v>6992487</v>
      </c>
      <c r="C5685" t="s">
        <v>489</v>
      </c>
      <c r="D5685" t="s">
        <v>5889</v>
      </c>
      <c r="E5685" t="s">
        <v>23</v>
      </c>
    </row>
    <row r="5686" spans="1:5" hidden="1" outlineLevel="2">
      <c r="A5686" s="3" t="e">
        <f>(HYPERLINK("http://www.autodoc.ru/Web/price/art/5637BGYR?analog=on","5637BGYR"))*1</f>
        <v>#VALUE!</v>
      </c>
      <c r="B5686" s="1">
        <v>6998962</v>
      </c>
      <c r="C5686" t="s">
        <v>489</v>
      </c>
      <c r="D5686" t="s">
        <v>5890</v>
      </c>
      <c r="E5686" t="s">
        <v>23</v>
      </c>
    </row>
    <row r="5687" spans="1:5" hidden="1" outlineLevel="2">
      <c r="A5687" s="3" t="e">
        <f>(HYPERLINK("http://www.autodoc.ru/Web/price/art/5637LBLR3FD?analog=on","5637LBLR3FD"))*1</f>
        <v>#VALUE!</v>
      </c>
      <c r="B5687" s="1">
        <v>6995759</v>
      </c>
      <c r="C5687" t="s">
        <v>489</v>
      </c>
      <c r="D5687" t="s">
        <v>5891</v>
      </c>
      <c r="E5687" t="s">
        <v>10</v>
      </c>
    </row>
    <row r="5688" spans="1:5" hidden="1" outlineLevel="2">
      <c r="A5688" s="3" t="e">
        <f>(HYPERLINK("http://www.autodoc.ru/Web/price/art/5637LBLR5RD?analog=on","5637LBLR5RD"))*1</f>
        <v>#VALUE!</v>
      </c>
      <c r="B5688" s="1">
        <v>6995760</v>
      </c>
      <c r="C5688" t="s">
        <v>489</v>
      </c>
      <c r="D5688" t="s">
        <v>5892</v>
      </c>
      <c r="E5688" t="s">
        <v>10</v>
      </c>
    </row>
    <row r="5689" spans="1:5" hidden="1" outlineLevel="2">
      <c r="A5689" s="3" t="e">
        <f>(HYPERLINK("http://www.autodoc.ru/Web/price/art/5637LBLR5RV?analog=on","5637LBLR5RV"))*1</f>
        <v>#VALUE!</v>
      </c>
      <c r="B5689" s="1">
        <v>6995761</v>
      </c>
      <c r="C5689" t="s">
        <v>489</v>
      </c>
      <c r="D5689" t="s">
        <v>5893</v>
      </c>
      <c r="E5689" t="s">
        <v>10</v>
      </c>
    </row>
    <row r="5690" spans="1:5" hidden="1" outlineLevel="2">
      <c r="A5690" s="3" t="e">
        <f>(HYPERLINK("http://www.autodoc.ru/Web/price/art/5637LBZR5RD?analog=on","5637LBZR5RD"))*1</f>
        <v>#VALUE!</v>
      </c>
      <c r="B5690" s="1">
        <v>6995766</v>
      </c>
      <c r="C5690" t="s">
        <v>489</v>
      </c>
      <c r="D5690" t="s">
        <v>5894</v>
      </c>
      <c r="E5690" t="s">
        <v>10</v>
      </c>
    </row>
    <row r="5691" spans="1:5" hidden="1" outlineLevel="2">
      <c r="A5691" s="3" t="e">
        <f>(HYPERLINK("http://www.autodoc.ru/Web/price/art/5637LGNR3FD?analog=on","5637LGNR3FD"))*1</f>
        <v>#VALUE!</v>
      </c>
      <c r="B5691" s="1">
        <v>6992519</v>
      </c>
      <c r="C5691" t="s">
        <v>489</v>
      </c>
      <c r="D5691" t="s">
        <v>5895</v>
      </c>
      <c r="E5691" t="s">
        <v>10</v>
      </c>
    </row>
    <row r="5692" spans="1:5" hidden="1" outlineLevel="2">
      <c r="A5692" s="3" t="e">
        <f>(HYPERLINK("http://www.autodoc.ru/Web/price/art/5637LGNR5RV?analog=on","5637LGNR5RV"))*1</f>
        <v>#VALUE!</v>
      </c>
      <c r="B5692" s="1">
        <v>6992414</v>
      </c>
      <c r="C5692" t="s">
        <v>489</v>
      </c>
      <c r="D5692" t="s">
        <v>5896</v>
      </c>
      <c r="E5692" t="s">
        <v>10</v>
      </c>
    </row>
    <row r="5693" spans="1:5" hidden="1" outlineLevel="2">
      <c r="A5693" s="3" t="e">
        <f>(HYPERLINK("http://www.autodoc.ru/Web/price/art/5637LGYR5RV?analog=on","5637LGYR5RV"))*1</f>
        <v>#VALUE!</v>
      </c>
      <c r="B5693" s="1">
        <v>6995772</v>
      </c>
      <c r="C5693" t="s">
        <v>489</v>
      </c>
      <c r="D5693" t="s">
        <v>5897</v>
      </c>
      <c r="E5693" t="s">
        <v>10</v>
      </c>
    </row>
    <row r="5694" spans="1:5" hidden="1" outlineLevel="2">
      <c r="A5694" s="3" t="e">
        <f>(HYPERLINK("http://www.autodoc.ru/Web/price/art/5637RBLR3FD?analog=on","5637RBLR3FD"))*1</f>
        <v>#VALUE!</v>
      </c>
      <c r="B5694" s="1">
        <v>6995762</v>
      </c>
      <c r="C5694" t="s">
        <v>489</v>
      </c>
      <c r="D5694" t="s">
        <v>5898</v>
      </c>
      <c r="E5694" t="s">
        <v>10</v>
      </c>
    </row>
    <row r="5695" spans="1:5" hidden="1" outlineLevel="2">
      <c r="A5695" s="3" t="e">
        <f>(HYPERLINK("http://www.autodoc.ru/Web/price/art/5637RBLR5RD?analog=on","5637RBLR5RD"))*1</f>
        <v>#VALUE!</v>
      </c>
      <c r="B5695" s="1">
        <v>6995763</v>
      </c>
      <c r="C5695" t="s">
        <v>489</v>
      </c>
      <c r="D5695" t="s">
        <v>5899</v>
      </c>
      <c r="E5695" t="s">
        <v>10</v>
      </c>
    </row>
    <row r="5696" spans="1:5" hidden="1" outlineLevel="2">
      <c r="A5696" s="3" t="e">
        <f>(HYPERLINK("http://www.autodoc.ru/Web/price/art/5637RBZR5RD?analog=on","5637RBZR5RD"))*1</f>
        <v>#VALUE!</v>
      </c>
      <c r="B5696" s="1">
        <v>6995769</v>
      </c>
      <c r="C5696" t="s">
        <v>489</v>
      </c>
      <c r="D5696" t="s">
        <v>5900</v>
      </c>
      <c r="E5696" t="s">
        <v>10</v>
      </c>
    </row>
    <row r="5697" spans="1:5" hidden="1" outlineLevel="2">
      <c r="A5697" s="3" t="e">
        <f>(HYPERLINK("http://www.autodoc.ru/Web/price/art/5637RGNR3FD?analog=on","5637RGNR3FD"))*1</f>
        <v>#VALUE!</v>
      </c>
      <c r="B5697" s="1">
        <v>6992488</v>
      </c>
      <c r="C5697" t="s">
        <v>489</v>
      </c>
      <c r="D5697" t="s">
        <v>5901</v>
      </c>
      <c r="E5697" t="s">
        <v>10</v>
      </c>
    </row>
    <row r="5698" spans="1:5" hidden="1" outlineLevel="2">
      <c r="A5698" s="3" t="e">
        <f>(HYPERLINK("http://www.autodoc.ru/Web/price/art/5637RGNR5RV?analog=on","5637RGNR5RV"))*1</f>
        <v>#VALUE!</v>
      </c>
      <c r="B5698" s="1">
        <v>6992415</v>
      </c>
      <c r="C5698" t="s">
        <v>489</v>
      </c>
      <c r="D5698" t="s">
        <v>5902</v>
      </c>
      <c r="E5698" t="s">
        <v>10</v>
      </c>
    </row>
    <row r="5699" spans="1:5" hidden="1" outlineLevel="1">
      <c r="A5699" s="2">
        <v>0</v>
      </c>
      <c r="B5699" s="26" t="s">
        <v>5903</v>
      </c>
      <c r="C5699" s="27">
        <v>0</v>
      </c>
      <c r="D5699" s="27">
        <v>0</v>
      </c>
      <c r="E5699" s="27">
        <v>0</v>
      </c>
    </row>
    <row r="5700" spans="1:5" hidden="1" outlineLevel="2">
      <c r="A5700" s="3" t="e">
        <f>(HYPERLINK("http://www.autodoc.ru/Web/price/art/5661AGN?analog=on","5661AGN"))*1</f>
        <v>#VALUE!</v>
      </c>
      <c r="B5700" s="1">
        <v>6960677</v>
      </c>
      <c r="C5700" t="s">
        <v>831</v>
      </c>
      <c r="D5700" t="s">
        <v>5904</v>
      </c>
      <c r="E5700" t="s">
        <v>8</v>
      </c>
    </row>
    <row r="5701" spans="1:5" hidden="1" outlineLevel="2">
      <c r="A5701" s="3" t="e">
        <f>(HYPERLINK("http://www.autodoc.ru/Web/price/art/5661AGNBL?analog=on","5661AGNBL"))*1</f>
        <v>#VALUE!</v>
      </c>
      <c r="B5701" s="1">
        <v>6964829</v>
      </c>
      <c r="C5701" t="s">
        <v>5213</v>
      </c>
      <c r="D5701" t="s">
        <v>5905</v>
      </c>
      <c r="E5701" t="s">
        <v>8</v>
      </c>
    </row>
    <row r="5702" spans="1:5" hidden="1" outlineLevel="2">
      <c r="A5702" s="3" t="e">
        <f>(HYPERLINK("http://www.autodoc.ru/Web/price/art/5661AGNBL1C?analog=on","5661AGNBL1C"))*1</f>
        <v>#VALUE!</v>
      </c>
      <c r="B5702" s="1">
        <v>6961179</v>
      </c>
      <c r="C5702" t="s">
        <v>1048</v>
      </c>
      <c r="D5702" t="s">
        <v>5906</v>
      </c>
      <c r="E5702" t="s">
        <v>8</v>
      </c>
    </row>
    <row r="5703" spans="1:5" hidden="1" outlineLevel="2">
      <c r="A5703" s="3" t="e">
        <f>(HYPERLINK("http://www.autodoc.ru/Web/price/art/5661AGNBLH?analog=on","5661AGNBLH"))*1</f>
        <v>#VALUE!</v>
      </c>
      <c r="B5703" s="1">
        <v>6962893</v>
      </c>
      <c r="C5703" t="s">
        <v>831</v>
      </c>
      <c r="D5703" t="s">
        <v>5907</v>
      </c>
      <c r="E5703" t="s">
        <v>8</v>
      </c>
    </row>
    <row r="5704" spans="1:5" hidden="1" outlineLevel="2">
      <c r="A5704" s="3" t="e">
        <f>(HYPERLINK("http://www.autodoc.ru/Web/price/art/5661AGNBLH1C?analog=on","5661AGNBLH1C"))*1</f>
        <v>#VALUE!</v>
      </c>
      <c r="B5704" s="1">
        <v>6962267</v>
      </c>
      <c r="C5704" t="s">
        <v>1048</v>
      </c>
      <c r="D5704" t="s">
        <v>5908</v>
      </c>
      <c r="E5704" t="s">
        <v>8</v>
      </c>
    </row>
    <row r="5705" spans="1:5" hidden="1" outlineLevel="2">
      <c r="A5705" s="3" t="e">
        <f>(HYPERLINK("http://www.autodoc.ru/Web/price/art/5661AGNH?analog=on","5661AGNH"))*1</f>
        <v>#VALUE!</v>
      </c>
      <c r="B5705" s="1">
        <v>6962856</v>
      </c>
      <c r="C5705" t="s">
        <v>831</v>
      </c>
      <c r="D5705" t="s">
        <v>5909</v>
      </c>
      <c r="E5705" t="s">
        <v>8</v>
      </c>
    </row>
    <row r="5706" spans="1:5" hidden="1" outlineLevel="2">
      <c r="A5706" s="3" t="e">
        <f>(HYPERLINK("http://www.autodoc.ru/Web/price/art/5661AGABLHM1P?analog=on","5661AGABLHM1P"))*1</f>
        <v>#VALUE!</v>
      </c>
      <c r="B5706" s="1">
        <v>6964917</v>
      </c>
      <c r="C5706" t="s">
        <v>831</v>
      </c>
      <c r="D5706" t="s">
        <v>5910</v>
      </c>
      <c r="E5706" t="s">
        <v>8</v>
      </c>
    </row>
    <row r="5707" spans="1:5" hidden="1" outlineLevel="2">
      <c r="A5707" s="3" t="e">
        <f>(HYPERLINK("http://www.autodoc.ru/Web/price/art/5661ASMR?analog=on","5661ASMR"))*1</f>
        <v>#VALUE!</v>
      </c>
      <c r="B5707" s="1">
        <v>6101575</v>
      </c>
      <c r="C5707" t="s">
        <v>19</v>
      </c>
      <c r="D5707" t="s">
        <v>5911</v>
      </c>
      <c r="E5707" t="s">
        <v>21</v>
      </c>
    </row>
    <row r="5708" spans="1:5" hidden="1" outlineLevel="2">
      <c r="A5708" s="3" t="e">
        <f>(HYPERLINK("http://www.autodoc.ru/Web/price/art/5661BGNR?analog=on","5661BGNR"))*1</f>
        <v>#VALUE!</v>
      </c>
      <c r="B5708" s="1">
        <v>6992416</v>
      </c>
      <c r="C5708" t="s">
        <v>831</v>
      </c>
      <c r="D5708" t="s">
        <v>5912</v>
      </c>
      <c r="E5708" t="s">
        <v>23</v>
      </c>
    </row>
    <row r="5709" spans="1:5" hidden="1" outlineLevel="2">
      <c r="A5709" s="3" t="e">
        <f>(HYPERLINK("http://www.autodoc.ru/Web/price/art/5661LGNR3FD?analog=on","5661LGNR3FD"))*1</f>
        <v>#VALUE!</v>
      </c>
      <c r="B5709" s="1">
        <v>6980070</v>
      </c>
      <c r="C5709" t="s">
        <v>831</v>
      </c>
      <c r="D5709" t="s">
        <v>5913</v>
      </c>
      <c r="E5709" t="s">
        <v>10</v>
      </c>
    </row>
    <row r="5710" spans="1:5" hidden="1" outlineLevel="2">
      <c r="A5710" s="3" t="e">
        <f>(HYPERLINK("http://www.autodoc.ru/Web/price/art/5661LGNR5FD?analog=on","5661LGNR5FD"))*1</f>
        <v>#VALUE!</v>
      </c>
      <c r="B5710" s="1">
        <v>6980071</v>
      </c>
      <c r="C5710" t="s">
        <v>831</v>
      </c>
      <c r="D5710" t="s">
        <v>5914</v>
      </c>
      <c r="E5710" t="s">
        <v>10</v>
      </c>
    </row>
    <row r="5711" spans="1:5" hidden="1" outlineLevel="2">
      <c r="A5711" s="3" t="e">
        <f>(HYPERLINK("http://www.autodoc.ru/Web/price/art/5661LGNR5RD?analog=on","5661LGNR5RD"))*1</f>
        <v>#VALUE!</v>
      </c>
      <c r="B5711" s="1">
        <v>6980195</v>
      </c>
      <c r="C5711" t="s">
        <v>831</v>
      </c>
      <c r="D5711" t="s">
        <v>5915</v>
      </c>
      <c r="E5711" t="s">
        <v>10</v>
      </c>
    </row>
    <row r="5712" spans="1:5" hidden="1" outlineLevel="2">
      <c r="A5712" s="3" t="e">
        <f>(HYPERLINK("http://www.autodoc.ru/Web/price/art/5661LGNR5RV?analog=on","5661LGNR5RV"))*1</f>
        <v>#VALUE!</v>
      </c>
      <c r="B5712" s="1">
        <v>6980196</v>
      </c>
      <c r="C5712" t="s">
        <v>831</v>
      </c>
      <c r="D5712" t="s">
        <v>5916</v>
      </c>
      <c r="E5712" t="s">
        <v>10</v>
      </c>
    </row>
    <row r="5713" spans="1:5" hidden="1" outlineLevel="2">
      <c r="A5713" s="3" t="e">
        <f>(HYPERLINK("http://www.autodoc.ru/Web/price/art/5661RGNR3FD?analog=on","5661RGNR3FD"))*1</f>
        <v>#VALUE!</v>
      </c>
      <c r="B5713" s="1">
        <v>6980090</v>
      </c>
      <c r="C5713" t="s">
        <v>831</v>
      </c>
      <c r="D5713" t="s">
        <v>5917</v>
      </c>
      <c r="E5713" t="s">
        <v>10</v>
      </c>
    </row>
    <row r="5714" spans="1:5" hidden="1" outlineLevel="2">
      <c r="A5714" s="3" t="e">
        <f>(HYPERLINK("http://www.autodoc.ru/Web/price/art/5661RGNR5FD?analog=on","5661RGNR5FD"))*1</f>
        <v>#VALUE!</v>
      </c>
      <c r="B5714" s="1">
        <v>6980010</v>
      </c>
      <c r="C5714" t="s">
        <v>831</v>
      </c>
      <c r="D5714" t="s">
        <v>5917</v>
      </c>
      <c r="E5714" t="s">
        <v>10</v>
      </c>
    </row>
    <row r="5715" spans="1:5" hidden="1" outlineLevel="2">
      <c r="A5715" s="3" t="e">
        <f>(HYPERLINK("http://www.autodoc.ru/Web/price/art/5661RGNR5RD?analog=on","5661RGNR5RD"))*1</f>
        <v>#VALUE!</v>
      </c>
      <c r="B5715" s="1">
        <v>6980197</v>
      </c>
      <c r="C5715" t="s">
        <v>831</v>
      </c>
      <c r="D5715" t="s">
        <v>5918</v>
      </c>
      <c r="E5715" t="s">
        <v>10</v>
      </c>
    </row>
    <row r="5716" spans="1:5" hidden="1" outlineLevel="2">
      <c r="A5716" s="3" t="e">
        <f>(HYPERLINK("http://www.autodoc.ru/Web/price/art/5661RGNR5RV?analog=on","5661RGNR5RV"))*1</f>
        <v>#VALUE!</v>
      </c>
      <c r="B5716" s="1">
        <v>6980198</v>
      </c>
      <c r="C5716" t="s">
        <v>831</v>
      </c>
      <c r="D5716" t="s">
        <v>5919</v>
      </c>
      <c r="E5716" t="s">
        <v>10</v>
      </c>
    </row>
    <row r="5717" spans="1:5" hidden="1" outlineLevel="1">
      <c r="A5717" s="2">
        <v>0</v>
      </c>
      <c r="B5717" s="26" t="s">
        <v>5920</v>
      </c>
      <c r="C5717" s="27">
        <v>0</v>
      </c>
      <c r="D5717" s="27">
        <v>0</v>
      </c>
      <c r="E5717" s="27">
        <v>0</v>
      </c>
    </row>
    <row r="5718" spans="1:5" hidden="1" outlineLevel="2">
      <c r="A5718" s="3" t="e">
        <f>(HYPERLINK("http://www.autodoc.ru/Web/price/art/5636ABLBL?analog=on","5636ABLBL"))*1</f>
        <v>#VALUE!</v>
      </c>
      <c r="B5718" s="1">
        <v>6964550</v>
      </c>
      <c r="C5718" t="s">
        <v>177</v>
      </c>
      <c r="D5718" t="s">
        <v>5921</v>
      </c>
      <c r="E5718" t="s">
        <v>8</v>
      </c>
    </row>
    <row r="5719" spans="1:5" hidden="1" outlineLevel="1">
      <c r="A5719" s="2">
        <v>0</v>
      </c>
      <c r="B5719" s="26" t="s">
        <v>5922</v>
      </c>
      <c r="C5719" s="27">
        <v>0</v>
      </c>
      <c r="D5719" s="27">
        <v>0</v>
      </c>
      <c r="E5719" s="27">
        <v>0</v>
      </c>
    </row>
    <row r="5720" spans="1:5" hidden="1" outlineLevel="2">
      <c r="A5720" s="3" t="e">
        <f>(HYPERLINK("http://www.autodoc.ru/Web/price/art/5645ABL?analog=on","5645ABL"))*1</f>
        <v>#VALUE!</v>
      </c>
      <c r="B5720" s="1">
        <v>6964265</v>
      </c>
      <c r="C5720" t="s">
        <v>1770</v>
      </c>
      <c r="D5720" t="s">
        <v>5923</v>
      </c>
      <c r="E5720" t="s">
        <v>8</v>
      </c>
    </row>
    <row r="5721" spans="1:5" hidden="1" outlineLevel="2">
      <c r="A5721" s="3" t="e">
        <f>(HYPERLINK("http://www.autodoc.ru/Web/price/art/5645AGN?analog=on","5645AGN"))*1</f>
        <v>#VALUE!</v>
      </c>
      <c r="B5721" s="1">
        <v>6964266</v>
      </c>
      <c r="C5721" t="s">
        <v>1770</v>
      </c>
      <c r="D5721" t="s">
        <v>5924</v>
      </c>
      <c r="E5721" t="s">
        <v>8</v>
      </c>
    </row>
    <row r="5722" spans="1:5" hidden="1" outlineLevel="2">
      <c r="A5722" s="3" t="e">
        <f>(HYPERLINK("http://www.autodoc.ru/Web/price/art/5645AGNBL?analog=on","5645AGNBL"))*1</f>
        <v>#VALUE!</v>
      </c>
      <c r="B5722" s="1">
        <v>6963907</v>
      </c>
      <c r="C5722" t="s">
        <v>1770</v>
      </c>
      <c r="D5722" t="s">
        <v>5925</v>
      </c>
      <c r="E5722" t="s">
        <v>8</v>
      </c>
    </row>
    <row r="5723" spans="1:5" hidden="1" outlineLevel="2">
      <c r="A5723" s="3" t="e">
        <f>(HYPERLINK("http://www.autodoc.ru/Web/price/art/5645ASMV?analog=on","5645ASMV"))*1</f>
        <v>#VALUE!</v>
      </c>
      <c r="B5723" s="1">
        <v>6101131</v>
      </c>
      <c r="C5723" t="s">
        <v>19</v>
      </c>
      <c r="D5723" t="s">
        <v>5926</v>
      </c>
      <c r="E5723" t="s">
        <v>21</v>
      </c>
    </row>
    <row r="5724" spans="1:5" hidden="1" outlineLevel="2">
      <c r="A5724" s="3" t="e">
        <f>(HYPERLINK("http://www.autodoc.ru/Web/price/art/5645BGNV?analog=on","5645BGNV"))*1</f>
        <v>#VALUE!</v>
      </c>
      <c r="B5724" s="1">
        <v>6980009</v>
      </c>
      <c r="C5724" t="s">
        <v>1770</v>
      </c>
      <c r="D5724" t="s">
        <v>5927</v>
      </c>
      <c r="E5724" t="s">
        <v>23</v>
      </c>
    </row>
    <row r="5725" spans="1:5" hidden="1" outlineLevel="2">
      <c r="A5725" s="3" t="e">
        <f>(HYPERLINK("http://www.autodoc.ru/Web/price/art/5645LBLV5FD?analog=on","5645LBLV5FD"))*1</f>
        <v>#VALUE!</v>
      </c>
      <c r="B5725" s="1">
        <v>6999969</v>
      </c>
      <c r="C5725" t="s">
        <v>1770</v>
      </c>
      <c r="D5725" t="s">
        <v>5928</v>
      </c>
      <c r="E5725" t="s">
        <v>10</v>
      </c>
    </row>
    <row r="5726" spans="1:5" hidden="1" outlineLevel="2">
      <c r="A5726" s="3" t="e">
        <f>(HYPERLINK("http://www.autodoc.ru/Web/price/art/5645LGNV5FD?analog=on","5645LGNV5FD"))*1</f>
        <v>#VALUE!</v>
      </c>
      <c r="B5726" s="1">
        <v>6980191</v>
      </c>
      <c r="C5726" t="s">
        <v>1770</v>
      </c>
      <c r="D5726" t="s">
        <v>5929</v>
      </c>
      <c r="E5726" t="s">
        <v>10</v>
      </c>
    </row>
    <row r="5727" spans="1:5" hidden="1" outlineLevel="2">
      <c r="A5727" s="3" t="e">
        <f>(HYPERLINK("http://www.autodoc.ru/Web/price/art/5645RGNV5FD?analog=on","5645RGNV5FD"))*1</f>
        <v>#VALUE!</v>
      </c>
      <c r="B5727" s="1">
        <v>6980193</v>
      </c>
      <c r="C5727" t="s">
        <v>1770</v>
      </c>
      <c r="D5727" t="s">
        <v>5930</v>
      </c>
      <c r="E5727" t="s">
        <v>10</v>
      </c>
    </row>
    <row r="5728" spans="1:5" hidden="1" outlineLevel="2">
      <c r="A5728" s="3" t="e">
        <f>(HYPERLINK("http://www.autodoc.ru/Web/price/art/5645RBLV5FD?analog=on","5645RBLV5FD"))*1</f>
        <v>#VALUE!</v>
      </c>
      <c r="B5728" s="1">
        <v>6980192</v>
      </c>
      <c r="C5728" t="s">
        <v>1770</v>
      </c>
      <c r="D5728" t="s">
        <v>5931</v>
      </c>
      <c r="E5728" t="s">
        <v>10</v>
      </c>
    </row>
    <row r="5729" spans="1:5" hidden="1" outlineLevel="1">
      <c r="A5729" s="2">
        <v>0</v>
      </c>
      <c r="B5729" s="26" t="s">
        <v>5932</v>
      </c>
      <c r="C5729" s="27">
        <v>0</v>
      </c>
      <c r="D5729" s="27">
        <v>0</v>
      </c>
      <c r="E5729" s="27">
        <v>0</v>
      </c>
    </row>
    <row r="5730" spans="1:5" hidden="1" outlineLevel="2">
      <c r="A5730" s="3" t="e">
        <f>(HYPERLINK("http://www.autodoc.ru/Web/price/art/5638ABL?analog=on","5638ABL"))*1</f>
        <v>#VALUE!</v>
      </c>
      <c r="B5730" s="1">
        <v>6963399</v>
      </c>
      <c r="C5730" t="s">
        <v>489</v>
      </c>
      <c r="D5730" t="s">
        <v>5933</v>
      </c>
      <c r="E5730" t="s">
        <v>8</v>
      </c>
    </row>
    <row r="5731" spans="1:5" hidden="1" outlineLevel="2">
      <c r="A5731" s="3" t="e">
        <f>(HYPERLINK("http://www.autodoc.ru/Web/price/art/5638AGN?analog=on","5638AGN"))*1</f>
        <v>#VALUE!</v>
      </c>
      <c r="B5731" s="1">
        <v>6960678</v>
      </c>
      <c r="C5731" t="s">
        <v>489</v>
      </c>
      <c r="D5731" t="s">
        <v>5934</v>
      </c>
      <c r="E5731" t="s">
        <v>8</v>
      </c>
    </row>
    <row r="5732" spans="1:5" hidden="1" outlineLevel="2">
      <c r="A5732" s="3" t="e">
        <f>(HYPERLINK("http://www.autodoc.ru/Web/price/art/5638ASMV?analog=on","5638ASMV"))*1</f>
        <v>#VALUE!</v>
      </c>
      <c r="B5732" s="1">
        <v>6101101</v>
      </c>
      <c r="C5732" t="s">
        <v>19</v>
      </c>
      <c r="D5732" t="s">
        <v>5935</v>
      </c>
      <c r="E5732" t="s">
        <v>21</v>
      </c>
    </row>
    <row r="5733" spans="1:5" hidden="1" outlineLevel="1">
      <c r="A5733" s="2">
        <v>0</v>
      </c>
      <c r="B5733" s="26" t="s">
        <v>5936</v>
      </c>
      <c r="C5733" s="27">
        <v>0</v>
      </c>
      <c r="D5733" s="27">
        <v>0</v>
      </c>
      <c r="E5733" s="27">
        <v>0</v>
      </c>
    </row>
    <row r="5734" spans="1:5" hidden="1" outlineLevel="2">
      <c r="A5734" s="3" t="e">
        <f>(HYPERLINK("http://www.autodoc.ru/Web/price/art/5662AGN?analog=on","5662AGN"))*1</f>
        <v>#VALUE!</v>
      </c>
      <c r="B5734" s="1">
        <v>6950217</v>
      </c>
      <c r="C5734" t="s">
        <v>2598</v>
      </c>
      <c r="D5734" t="s">
        <v>5937</v>
      </c>
      <c r="E5734" t="s">
        <v>8</v>
      </c>
    </row>
    <row r="5735" spans="1:5" hidden="1" outlineLevel="1">
      <c r="A5735" s="2">
        <v>0</v>
      </c>
      <c r="B5735" s="26" t="s">
        <v>5938</v>
      </c>
      <c r="C5735" s="27">
        <v>0</v>
      </c>
      <c r="D5735" s="27">
        <v>0</v>
      </c>
      <c r="E5735" s="27">
        <v>0</v>
      </c>
    </row>
    <row r="5736" spans="1:5" hidden="1" outlineLevel="2">
      <c r="A5736" s="3" t="e">
        <f>(HYPERLINK("http://www.autodoc.ru/Web/price/art/5655AGN?analog=on","5655AGN"))*1</f>
        <v>#VALUE!</v>
      </c>
      <c r="B5736" s="1">
        <v>6961430</v>
      </c>
      <c r="C5736" t="s">
        <v>552</v>
      </c>
      <c r="D5736" t="s">
        <v>5939</v>
      </c>
      <c r="E5736" t="s">
        <v>8</v>
      </c>
    </row>
    <row r="5737" spans="1:5" hidden="1" outlineLevel="2">
      <c r="A5737" s="3" t="e">
        <f>(HYPERLINK("http://www.autodoc.ru/Web/price/art/5655AGNGN?analog=on","5655AGNGN"))*1</f>
        <v>#VALUE!</v>
      </c>
      <c r="B5737" s="1">
        <v>6960145</v>
      </c>
      <c r="C5737" t="s">
        <v>552</v>
      </c>
      <c r="D5737" t="s">
        <v>5940</v>
      </c>
      <c r="E5737" t="s">
        <v>8</v>
      </c>
    </row>
    <row r="5738" spans="1:5" hidden="1" outlineLevel="2">
      <c r="A5738" s="3" t="e">
        <f>(HYPERLINK("http://www.autodoc.ru/Web/price/art/5655ASMVT?analog=on","5655ASMVT"))*1</f>
        <v>#VALUE!</v>
      </c>
      <c r="B5738" s="1">
        <v>6100138</v>
      </c>
      <c r="C5738" t="s">
        <v>19</v>
      </c>
      <c r="D5738" t="s">
        <v>5941</v>
      </c>
      <c r="E5738" t="s">
        <v>21</v>
      </c>
    </row>
    <row r="5739" spans="1:5" hidden="1" outlineLevel="2">
      <c r="A5739" s="3" t="e">
        <f>(HYPERLINK("http://www.autodoc.ru/Web/price/art/5655BGNV?analog=on","5655BGNV"))*1</f>
        <v>#VALUE!</v>
      </c>
      <c r="B5739" s="1">
        <v>6994777</v>
      </c>
      <c r="C5739" t="s">
        <v>552</v>
      </c>
      <c r="D5739" t="s">
        <v>5942</v>
      </c>
      <c r="E5739" t="s">
        <v>23</v>
      </c>
    </row>
    <row r="5740" spans="1:5" hidden="1" outlineLevel="2">
      <c r="A5740" s="3" t="e">
        <f>(HYPERLINK("http://www.autodoc.ru/Web/price/art/5655LGNV5FD?analog=on","5655LGNV5FD"))*1</f>
        <v>#VALUE!</v>
      </c>
      <c r="B5740" s="1">
        <v>6995910</v>
      </c>
      <c r="C5740" t="s">
        <v>552</v>
      </c>
      <c r="D5740" t="s">
        <v>5943</v>
      </c>
      <c r="E5740" t="s">
        <v>10</v>
      </c>
    </row>
    <row r="5741" spans="1:5" hidden="1" outlineLevel="2">
      <c r="A5741" s="3" t="e">
        <f>(HYPERLINK("http://www.autodoc.ru/Web/price/art/5655LGNV5RD?analog=on","5655LGNV5RD"))*1</f>
        <v>#VALUE!</v>
      </c>
      <c r="B5741" s="1">
        <v>6994779</v>
      </c>
      <c r="C5741" t="s">
        <v>552</v>
      </c>
      <c r="D5741" t="s">
        <v>5944</v>
      </c>
      <c r="E5741" t="s">
        <v>10</v>
      </c>
    </row>
    <row r="5742" spans="1:5" hidden="1" outlineLevel="2">
      <c r="A5742" s="3" t="e">
        <f>(HYPERLINK("http://www.autodoc.ru/Web/price/art/5655LGNV5RQZ?analog=on","5655LGNV5RQZ"))*1</f>
        <v>#VALUE!</v>
      </c>
      <c r="B5742" s="1">
        <v>6994778</v>
      </c>
      <c r="C5742" t="s">
        <v>552</v>
      </c>
      <c r="D5742" t="s">
        <v>5945</v>
      </c>
      <c r="E5742" t="s">
        <v>10</v>
      </c>
    </row>
    <row r="5743" spans="1:5" hidden="1" outlineLevel="2">
      <c r="A5743" s="3" t="e">
        <f>(HYPERLINK("http://www.autodoc.ru/Web/price/art/5655RGNV5FD?analog=on","5655RGNV5FD"))*1</f>
        <v>#VALUE!</v>
      </c>
      <c r="B5743" s="1">
        <v>6995911</v>
      </c>
      <c r="C5743" t="s">
        <v>552</v>
      </c>
      <c r="D5743" t="s">
        <v>5946</v>
      </c>
      <c r="E5743" t="s">
        <v>10</v>
      </c>
    </row>
    <row r="5744" spans="1:5" hidden="1" outlineLevel="2">
      <c r="A5744" s="3" t="e">
        <f>(HYPERLINK("http://www.autodoc.ru/Web/price/art/5655RGNV5RD?analog=on","5655RGNV5RD"))*1</f>
        <v>#VALUE!</v>
      </c>
      <c r="B5744" s="1">
        <v>6994781</v>
      </c>
      <c r="C5744" t="s">
        <v>552</v>
      </c>
      <c r="D5744" t="s">
        <v>5947</v>
      </c>
      <c r="E5744" t="s">
        <v>10</v>
      </c>
    </row>
    <row r="5745" spans="1:5" hidden="1" outlineLevel="2">
      <c r="A5745" s="3" t="e">
        <f>(HYPERLINK("http://www.autodoc.ru/Web/price/art/5655RGNV5RQZ?analog=on","5655RGNV5RQZ"))*1</f>
        <v>#VALUE!</v>
      </c>
      <c r="B5745" s="1">
        <v>6994780</v>
      </c>
      <c r="C5745" t="s">
        <v>552</v>
      </c>
      <c r="D5745" t="s">
        <v>5948</v>
      </c>
      <c r="E5745" t="s">
        <v>10</v>
      </c>
    </row>
    <row r="5746" spans="1:5" hidden="1" outlineLevel="1">
      <c r="A5746" s="2">
        <v>0</v>
      </c>
      <c r="B5746" s="26" t="s">
        <v>5949</v>
      </c>
      <c r="C5746" s="27">
        <v>0</v>
      </c>
      <c r="D5746" s="27">
        <v>0</v>
      </c>
      <c r="E5746" s="27">
        <v>0</v>
      </c>
    </row>
    <row r="5747" spans="1:5" hidden="1" outlineLevel="2">
      <c r="A5747" s="3" t="e">
        <f>(HYPERLINK("http://www.autodoc.ru/Web/price/art/5623ABL?analog=on","5623ABL"))*1</f>
        <v>#VALUE!</v>
      </c>
      <c r="B5747" s="1">
        <v>6963479</v>
      </c>
      <c r="C5747" t="s">
        <v>3112</v>
      </c>
      <c r="D5747" t="s">
        <v>5950</v>
      </c>
      <c r="E5747" t="s">
        <v>8</v>
      </c>
    </row>
    <row r="5748" spans="1:5" hidden="1" outlineLevel="2">
      <c r="A5748" s="3" t="e">
        <f>(HYPERLINK("http://www.autodoc.ru/Web/price/art/5623AKMV?analog=on","5623AKMV"))*1</f>
        <v>#VALUE!</v>
      </c>
      <c r="B5748" s="1">
        <v>6101028</v>
      </c>
      <c r="C5748" t="s">
        <v>19</v>
      </c>
      <c r="D5748" t="s">
        <v>5951</v>
      </c>
      <c r="E5748" t="s">
        <v>21</v>
      </c>
    </row>
    <row r="5749" spans="1:5" hidden="1" outlineLevel="1">
      <c r="A5749" s="2">
        <v>0</v>
      </c>
      <c r="B5749" s="26" t="s">
        <v>5952</v>
      </c>
      <c r="C5749" s="27">
        <v>0</v>
      </c>
      <c r="D5749" s="27">
        <v>0</v>
      </c>
      <c r="E5749" s="27">
        <v>0</v>
      </c>
    </row>
    <row r="5750" spans="1:5" hidden="1" outlineLevel="2">
      <c r="A5750" s="3" t="e">
        <f>(HYPERLINK("http://www.autodoc.ru/Web/price/art/5639ABL?analog=on","5639ABL"))*1</f>
        <v>#VALUE!</v>
      </c>
      <c r="B5750" s="1">
        <v>6963481</v>
      </c>
      <c r="C5750" t="s">
        <v>489</v>
      </c>
      <c r="D5750" t="s">
        <v>5953</v>
      </c>
      <c r="E5750" t="s">
        <v>8</v>
      </c>
    </row>
    <row r="5751" spans="1:5" hidden="1" outlineLevel="2">
      <c r="A5751" s="3" t="e">
        <f>(HYPERLINK("http://www.autodoc.ru/Web/price/art/5639AGN?analog=on","5639AGN"))*1</f>
        <v>#VALUE!</v>
      </c>
      <c r="B5751" s="1">
        <v>6963482</v>
      </c>
      <c r="C5751" t="s">
        <v>489</v>
      </c>
      <c r="D5751" t="s">
        <v>5954</v>
      </c>
      <c r="E5751" t="s">
        <v>8</v>
      </c>
    </row>
    <row r="5752" spans="1:5" hidden="1" outlineLevel="2">
      <c r="A5752" s="3" t="e">
        <f>(HYPERLINK("http://www.autodoc.ru/Web/price/art/5639BBLV?analog=on","5639BBLV"))*1</f>
        <v>#VALUE!</v>
      </c>
      <c r="B5752" s="1">
        <v>6997303</v>
      </c>
      <c r="C5752" t="s">
        <v>489</v>
      </c>
      <c r="D5752" t="s">
        <v>5955</v>
      </c>
      <c r="E5752" t="s">
        <v>23</v>
      </c>
    </row>
    <row r="5753" spans="1:5" hidden="1" outlineLevel="2">
      <c r="A5753" s="3" t="e">
        <f>(HYPERLINK("http://www.autodoc.ru/Web/price/art/5639LBLV5FD?analog=on","5639LBLV5FD"))*1</f>
        <v>#VALUE!</v>
      </c>
      <c r="B5753" s="1">
        <v>6999403</v>
      </c>
      <c r="C5753" t="s">
        <v>489</v>
      </c>
      <c r="D5753" t="s">
        <v>5956</v>
      </c>
      <c r="E5753" t="s">
        <v>10</v>
      </c>
    </row>
    <row r="5754" spans="1:5" hidden="1" outlineLevel="2">
      <c r="A5754" s="3" t="e">
        <f>(HYPERLINK("http://www.autodoc.ru/Web/price/art/5639LGNV5FD?analog=on","5639LGNV5FD"))*1</f>
        <v>#VALUE!</v>
      </c>
      <c r="B5754" s="1">
        <v>6992418</v>
      </c>
      <c r="C5754" t="s">
        <v>489</v>
      </c>
      <c r="D5754" t="s">
        <v>5957</v>
      </c>
      <c r="E5754" t="s">
        <v>10</v>
      </c>
    </row>
    <row r="5755" spans="1:5" hidden="1" outlineLevel="2">
      <c r="A5755" s="3" t="e">
        <f>(HYPERLINK("http://www.autodoc.ru/Web/price/art/5639RBLV5FD?analog=on","5639RBLV5FD"))*1</f>
        <v>#VALUE!</v>
      </c>
      <c r="B5755" s="1">
        <v>6999405</v>
      </c>
      <c r="C5755" t="s">
        <v>489</v>
      </c>
      <c r="D5755" t="s">
        <v>5958</v>
      </c>
      <c r="E5755" t="s">
        <v>10</v>
      </c>
    </row>
    <row r="5756" spans="1:5" hidden="1" outlineLevel="2">
      <c r="A5756" s="3" t="e">
        <f>(HYPERLINK("http://www.autodoc.ru/Web/price/art/5639RGNV5FD?analog=on","5639RGNV5FD"))*1</f>
        <v>#VALUE!</v>
      </c>
      <c r="B5756" s="1">
        <v>6992417</v>
      </c>
      <c r="C5756" t="s">
        <v>489</v>
      </c>
      <c r="D5756" t="s">
        <v>5959</v>
      </c>
      <c r="E5756" t="s">
        <v>10</v>
      </c>
    </row>
    <row r="5757" spans="1:5" hidden="1" outlineLevel="1">
      <c r="A5757" s="2">
        <v>0</v>
      </c>
      <c r="B5757" s="26" t="s">
        <v>5960</v>
      </c>
      <c r="C5757" s="27">
        <v>0</v>
      </c>
      <c r="D5757" s="27">
        <v>0</v>
      </c>
      <c r="E5757" s="27">
        <v>0</v>
      </c>
    </row>
    <row r="5758" spans="1:5" hidden="1" outlineLevel="2">
      <c r="A5758" s="3" t="e">
        <f>(HYPERLINK("http://www.autodoc.ru/Web/price/art/5658AGN?analog=on","5658AGN"))*1</f>
        <v>#VALUE!</v>
      </c>
      <c r="B5758" s="1">
        <v>6960679</v>
      </c>
      <c r="C5758" t="s">
        <v>645</v>
      </c>
      <c r="D5758" t="s">
        <v>5961</v>
      </c>
      <c r="E5758" t="s">
        <v>8</v>
      </c>
    </row>
    <row r="5759" spans="1:5" hidden="1" outlineLevel="2">
      <c r="A5759" s="3" t="e">
        <f>(HYPERLINK("http://www.autodoc.ru/Web/price/art/5658AGNBL?analog=on","5658AGNBL"))*1</f>
        <v>#VALUE!</v>
      </c>
      <c r="B5759" s="1">
        <v>6950216</v>
      </c>
      <c r="C5759" t="s">
        <v>645</v>
      </c>
      <c r="D5759" t="s">
        <v>5962</v>
      </c>
      <c r="E5759" t="s">
        <v>8</v>
      </c>
    </row>
    <row r="5760" spans="1:5" hidden="1" outlineLevel="2">
      <c r="A5760" s="3" t="e">
        <f>(HYPERLINK("http://www.autodoc.ru/Web/price/art/5658ASMVT?analog=on","5658ASMVT"))*1</f>
        <v>#VALUE!</v>
      </c>
      <c r="B5760" s="1">
        <v>6100623</v>
      </c>
      <c r="C5760" t="s">
        <v>19</v>
      </c>
      <c r="D5760" t="s">
        <v>5963</v>
      </c>
      <c r="E5760" t="s">
        <v>21</v>
      </c>
    </row>
    <row r="5761" spans="1:5" hidden="1" outlineLevel="2">
      <c r="A5761" s="3" t="e">
        <f>(HYPERLINK("http://www.autodoc.ru/Web/price/art/5658LGNV5FD?analog=on","5658LGNV5FD"))*1</f>
        <v>#VALUE!</v>
      </c>
      <c r="B5761" s="1">
        <v>6999973</v>
      </c>
      <c r="C5761" t="s">
        <v>645</v>
      </c>
      <c r="D5761" t="s">
        <v>5964</v>
      </c>
      <c r="E5761" t="s">
        <v>10</v>
      </c>
    </row>
    <row r="5762" spans="1:5" hidden="1" outlineLevel="2">
      <c r="A5762" s="3" t="e">
        <f>(HYPERLINK("http://www.autodoc.ru/Web/price/art/5658RGNV5FD?analog=on","5658RGNV5FD"))*1</f>
        <v>#VALUE!</v>
      </c>
      <c r="B5762" s="1">
        <v>6900061</v>
      </c>
      <c r="C5762" t="s">
        <v>645</v>
      </c>
      <c r="D5762" t="s">
        <v>5965</v>
      </c>
      <c r="E5762" t="s">
        <v>10</v>
      </c>
    </row>
    <row r="5763" spans="1:5" hidden="1" outlineLevel="2">
      <c r="A5763" s="3" t="e">
        <f>(HYPERLINK("http://www.autodoc.ru/Web/price/art/5658RGNV5RD?analog=on","5658RGNV5RD"))*1</f>
        <v>#VALUE!</v>
      </c>
      <c r="B5763" s="1">
        <v>6900245</v>
      </c>
      <c r="C5763" t="s">
        <v>645</v>
      </c>
      <c r="D5763" t="s">
        <v>5966</v>
      </c>
      <c r="E5763" t="s">
        <v>10</v>
      </c>
    </row>
    <row r="5764" spans="1:5" collapsed="1">
      <c r="A5764" s="28" t="s">
        <v>3804</v>
      </c>
      <c r="B5764" s="28">
        <v>0</v>
      </c>
      <c r="C5764" s="28">
        <v>0</v>
      </c>
      <c r="D5764" s="28">
        <v>0</v>
      </c>
      <c r="E5764" s="28">
        <v>0</v>
      </c>
    </row>
    <row r="5765" spans="1:5" hidden="1" outlineLevel="1">
      <c r="A5765" s="2">
        <v>0</v>
      </c>
      <c r="B5765" s="26" t="s">
        <v>5967</v>
      </c>
      <c r="C5765" s="27">
        <v>0</v>
      </c>
      <c r="D5765" s="27">
        <v>0</v>
      </c>
      <c r="E5765" s="27">
        <v>0</v>
      </c>
    </row>
    <row r="5766" spans="1:5" hidden="1" outlineLevel="2">
      <c r="A5766" s="3" t="e">
        <f>(HYPERLINK("http://www.autodoc.ru/Web/price/art/2300AGN?analog=on","2300AGN"))*1</f>
        <v>#VALUE!</v>
      </c>
      <c r="B5766" s="1">
        <v>6963021</v>
      </c>
      <c r="C5766" t="s">
        <v>755</v>
      </c>
      <c r="D5766" t="s">
        <v>5968</v>
      </c>
      <c r="E5766" t="s">
        <v>8</v>
      </c>
    </row>
    <row r="5767" spans="1:5" hidden="1" outlineLevel="1">
      <c r="A5767" s="2">
        <v>0</v>
      </c>
      <c r="B5767" s="26" t="s">
        <v>5969</v>
      </c>
      <c r="C5767" s="27">
        <v>0</v>
      </c>
      <c r="D5767" s="27">
        <v>0</v>
      </c>
      <c r="E5767" s="27">
        <v>0</v>
      </c>
    </row>
    <row r="5768" spans="1:5" hidden="1" outlineLevel="2">
      <c r="A5768" s="3" t="e">
        <f>(HYPERLINK("http://www.autodoc.ru/Web/price/art/59A9AGSBLVW?analog=on","59A9AGSBLVW"))*1</f>
        <v>#VALUE!</v>
      </c>
      <c r="B5768" s="1">
        <v>6965053</v>
      </c>
      <c r="C5768" t="s">
        <v>956</v>
      </c>
      <c r="D5768" t="s">
        <v>5970</v>
      </c>
      <c r="E5768" t="s">
        <v>8</v>
      </c>
    </row>
    <row r="5769" spans="1:5" collapsed="1">
      <c r="A5769" s="28" t="s">
        <v>5971</v>
      </c>
      <c r="B5769" s="28">
        <v>0</v>
      </c>
      <c r="C5769" s="28">
        <v>0</v>
      </c>
      <c r="D5769" s="28">
        <v>0</v>
      </c>
      <c r="E5769" s="28">
        <v>0</v>
      </c>
    </row>
    <row r="5770" spans="1:5" hidden="1" outlineLevel="1">
      <c r="A5770" s="2">
        <v>0</v>
      </c>
      <c r="B5770" s="26" t="s">
        <v>5972</v>
      </c>
      <c r="C5770" s="27">
        <v>0</v>
      </c>
      <c r="D5770" s="27">
        <v>0</v>
      </c>
      <c r="E5770" s="27">
        <v>0</v>
      </c>
    </row>
    <row r="5771" spans="1:5" hidden="1" outlineLevel="2">
      <c r="A5771" s="3" t="e">
        <f>(HYPERLINK("http://www.autodoc.ru/Web/price/art/5985ABL?analog=on","5985ABL"))*1</f>
        <v>#VALUE!</v>
      </c>
      <c r="B5771" s="1">
        <v>6963754</v>
      </c>
      <c r="C5771" t="s">
        <v>1109</v>
      </c>
      <c r="D5771" t="s">
        <v>5973</v>
      </c>
      <c r="E5771" t="s">
        <v>8</v>
      </c>
    </row>
    <row r="5772" spans="1:5" hidden="1" outlineLevel="2">
      <c r="A5772" s="3" t="e">
        <f>(HYPERLINK("http://www.autodoc.ru/Web/price/art/5985ASMCT?analog=on","5985ASMCT"))*1</f>
        <v>#VALUE!</v>
      </c>
      <c r="B5772" s="1">
        <v>6101072</v>
      </c>
      <c r="C5772" t="s">
        <v>19</v>
      </c>
      <c r="D5772" t="s">
        <v>5974</v>
      </c>
      <c r="E5772" t="s">
        <v>21</v>
      </c>
    </row>
    <row r="5773" spans="1:5" hidden="1" outlineLevel="1">
      <c r="A5773" s="2">
        <v>0</v>
      </c>
      <c r="B5773" s="26" t="s">
        <v>5975</v>
      </c>
      <c r="C5773" s="27">
        <v>0</v>
      </c>
      <c r="D5773" s="27">
        <v>0</v>
      </c>
      <c r="E5773" s="27">
        <v>0</v>
      </c>
    </row>
    <row r="5774" spans="1:5" hidden="1" outlineLevel="2">
      <c r="A5774" s="3" t="e">
        <f>(HYPERLINK("http://www.autodoc.ru/Web/price/art/5963ABL?analog=on","5963ABL"))*1</f>
        <v>#VALUE!</v>
      </c>
      <c r="B5774" s="1">
        <v>6963568</v>
      </c>
      <c r="C5774" t="s">
        <v>3815</v>
      </c>
      <c r="D5774" t="s">
        <v>5976</v>
      </c>
      <c r="E5774" t="s">
        <v>8</v>
      </c>
    </row>
    <row r="5775" spans="1:5" hidden="1" outlineLevel="1">
      <c r="A5775" s="2">
        <v>0</v>
      </c>
      <c r="B5775" s="26" t="s">
        <v>5977</v>
      </c>
      <c r="C5775" s="27">
        <v>0</v>
      </c>
      <c r="D5775" s="27">
        <v>0</v>
      </c>
      <c r="E5775" s="27">
        <v>0</v>
      </c>
    </row>
    <row r="5776" spans="1:5" hidden="1" outlineLevel="2">
      <c r="A5776" s="3" t="e">
        <f>(HYPERLINK("http://www.autodoc.ru/Web/price/art/5977ABL?analog=on","5977ABL"))*1</f>
        <v>#VALUE!</v>
      </c>
      <c r="B5776" s="1">
        <v>6963652</v>
      </c>
      <c r="C5776" t="s">
        <v>1141</v>
      </c>
      <c r="D5776" t="s">
        <v>5978</v>
      </c>
      <c r="E5776" t="s">
        <v>8</v>
      </c>
    </row>
    <row r="5777" spans="1:5" hidden="1" outlineLevel="1">
      <c r="A5777" s="2">
        <v>0</v>
      </c>
      <c r="B5777" s="26" t="s">
        <v>5979</v>
      </c>
      <c r="C5777" s="27">
        <v>0</v>
      </c>
      <c r="D5777" s="27">
        <v>0</v>
      </c>
      <c r="E5777" s="27">
        <v>0</v>
      </c>
    </row>
    <row r="5778" spans="1:5" hidden="1" outlineLevel="2">
      <c r="A5778" s="3" t="e">
        <f>(HYPERLINK("http://www.autodoc.ru/Web/price/art/6001ALG?analog=on","6001ALG"))*1</f>
        <v>#VALUE!</v>
      </c>
      <c r="B5778" s="1">
        <v>6969314</v>
      </c>
      <c r="C5778" t="s">
        <v>3866</v>
      </c>
      <c r="D5778" t="s">
        <v>5980</v>
      </c>
      <c r="E5778" t="s">
        <v>8</v>
      </c>
    </row>
    <row r="5779" spans="1:5" hidden="1" outlineLevel="2">
      <c r="A5779" s="3" t="e">
        <f>(HYPERLINK("http://www.autodoc.ru/Web/price/art/6001ALGBL?analog=on","6001ALGBL"))*1</f>
        <v>#VALUE!</v>
      </c>
      <c r="B5779" s="1">
        <v>6964552</v>
      </c>
      <c r="C5779" t="s">
        <v>3866</v>
      </c>
      <c r="D5779" t="s">
        <v>5981</v>
      </c>
      <c r="E5779" t="s">
        <v>8</v>
      </c>
    </row>
    <row r="5780" spans="1:5" hidden="1" outlineLevel="2">
      <c r="A5780" s="3" t="e">
        <f>(HYPERLINK("http://www.autodoc.ru/Web/price/art/6001ALGGY?analog=on","6001ALGGY"))*1</f>
        <v>#VALUE!</v>
      </c>
      <c r="B5780" s="1">
        <v>6960684</v>
      </c>
      <c r="C5780" t="s">
        <v>3866</v>
      </c>
      <c r="D5780" t="s">
        <v>5982</v>
      </c>
      <c r="E5780" t="s">
        <v>8</v>
      </c>
    </row>
    <row r="5781" spans="1:5" hidden="1" outlineLevel="2">
      <c r="A5781" s="3" t="e">
        <f>(HYPERLINK("http://www.autodoc.ru/Web/price/art/6001AKMH?analog=on","6001AKMH"))*1</f>
        <v>#VALUE!</v>
      </c>
      <c r="B5781" s="1">
        <v>6101108</v>
      </c>
      <c r="C5781" t="s">
        <v>19</v>
      </c>
      <c r="D5781" t="s">
        <v>5983</v>
      </c>
      <c r="E5781" t="s">
        <v>21</v>
      </c>
    </row>
    <row r="5782" spans="1:5" hidden="1" outlineLevel="2">
      <c r="A5782" s="3" t="e">
        <f>(HYPERLINK("http://www.autodoc.ru/Web/price/art/6001ASMHT?analog=on","6001ASMHT"))*1</f>
        <v>#VALUE!</v>
      </c>
      <c r="B5782" s="1">
        <v>6100294</v>
      </c>
      <c r="C5782" t="s">
        <v>19</v>
      </c>
      <c r="D5782" t="s">
        <v>5984</v>
      </c>
      <c r="E5782" t="s">
        <v>21</v>
      </c>
    </row>
    <row r="5783" spans="1:5" hidden="1" outlineLevel="2">
      <c r="A5783" s="3" t="e">
        <f>(HYPERLINK("http://www.autodoc.ru/Web/price/art/6001BLGH?analog=on","6001BLGH"))*1</f>
        <v>#VALUE!</v>
      </c>
      <c r="B5783" s="1">
        <v>6998903</v>
      </c>
      <c r="C5783" t="s">
        <v>3866</v>
      </c>
      <c r="D5783" t="s">
        <v>5985</v>
      </c>
      <c r="E5783" t="s">
        <v>23</v>
      </c>
    </row>
    <row r="5784" spans="1:5" hidden="1" outlineLevel="2">
      <c r="A5784" s="3" t="e">
        <f>(HYPERLINK("http://www.autodoc.ru/Web/price/art/6001BLGS?analog=on","6001BLGS"))*1</f>
        <v>#VALUE!</v>
      </c>
      <c r="B5784" s="1">
        <v>6992424</v>
      </c>
      <c r="C5784" t="s">
        <v>3866</v>
      </c>
      <c r="D5784" t="s">
        <v>5986</v>
      </c>
      <c r="E5784" t="s">
        <v>23</v>
      </c>
    </row>
    <row r="5785" spans="1:5" hidden="1" outlineLevel="2">
      <c r="A5785" s="3" t="e">
        <f>(HYPERLINK("http://www.autodoc.ru/Web/price/art/6001LLGH3FDW?analog=on","6001LLGH3FDW"))*1</f>
        <v>#VALUE!</v>
      </c>
      <c r="B5785" s="1">
        <v>6994208</v>
      </c>
      <c r="C5785" t="s">
        <v>3866</v>
      </c>
      <c r="D5785" t="s">
        <v>5987</v>
      </c>
      <c r="E5785" t="s">
        <v>10</v>
      </c>
    </row>
    <row r="5786" spans="1:5" hidden="1" outlineLevel="2">
      <c r="A5786" s="3" t="e">
        <f>(HYPERLINK("http://www.autodoc.ru/Web/price/art/6001LLGH5FD?analog=on","6001LLGH5FD"))*1</f>
        <v>#VALUE!</v>
      </c>
      <c r="B5786" s="1">
        <v>6900557</v>
      </c>
      <c r="C5786" t="s">
        <v>3866</v>
      </c>
      <c r="D5786" t="s">
        <v>5988</v>
      </c>
      <c r="E5786" t="s">
        <v>10</v>
      </c>
    </row>
    <row r="5787" spans="1:5" hidden="1" outlineLevel="2">
      <c r="A5787" s="3" t="e">
        <f>(HYPERLINK("http://www.autodoc.ru/Web/price/art/6001LLGH5FDW?analog=on","6001LLGH5FDW"))*1</f>
        <v>#VALUE!</v>
      </c>
      <c r="B5787" s="1">
        <v>6994132</v>
      </c>
      <c r="C5787" t="s">
        <v>3866</v>
      </c>
      <c r="D5787" t="s">
        <v>5989</v>
      </c>
      <c r="E5787" t="s">
        <v>10</v>
      </c>
    </row>
    <row r="5788" spans="1:5" hidden="1" outlineLevel="2">
      <c r="A5788" s="3" t="e">
        <f>(HYPERLINK("http://www.autodoc.ru/Web/price/art/6001LLGH5RV?analog=on","6001LLGH5RV"))*1</f>
        <v>#VALUE!</v>
      </c>
      <c r="B5788" s="1">
        <v>6995430</v>
      </c>
      <c r="C5788" t="s">
        <v>3866</v>
      </c>
      <c r="D5788" t="s">
        <v>5990</v>
      </c>
      <c r="E5788" t="s">
        <v>10</v>
      </c>
    </row>
    <row r="5789" spans="1:5" hidden="1" outlineLevel="2">
      <c r="A5789" s="3" t="e">
        <f>(HYPERLINK("http://www.autodoc.ru/Web/price/art/6001RLGH3FDW?analog=on","6001RLGH3FDW"))*1</f>
        <v>#VALUE!</v>
      </c>
      <c r="B5789" s="1">
        <v>6994209</v>
      </c>
      <c r="C5789" t="s">
        <v>3866</v>
      </c>
      <c r="D5789" t="s">
        <v>5991</v>
      </c>
      <c r="E5789" t="s">
        <v>10</v>
      </c>
    </row>
    <row r="5790" spans="1:5" hidden="1" outlineLevel="2">
      <c r="A5790" s="3" t="e">
        <f>(HYPERLINK("http://www.autodoc.ru/Web/price/art/6001RLGH5FDW?analog=on","6001RLGH5FDW"))*1</f>
        <v>#VALUE!</v>
      </c>
      <c r="B5790" s="1">
        <v>6994134</v>
      </c>
      <c r="C5790" t="s">
        <v>3866</v>
      </c>
      <c r="D5790" t="s">
        <v>5992</v>
      </c>
      <c r="E5790" t="s">
        <v>10</v>
      </c>
    </row>
    <row r="5791" spans="1:5" hidden="1" outlineLevel="2">
      <c r="A5791" s="3" t="e">
        <f>(HYPERLINK("http://www.autodoc.ru/Web/price/art/6001RLGH5RD?analog=on","6001RLGH5RD"))*1</f>
        <v>#VALUE!</v>
      </c>
      <c r="B5791" s="1">
        <v>6994135</v>
      </c>
      <c r="C5791" t="s">
        <v>3866</v>
      </c>
      <c r="D5791" t="s">
        <v>5993</v>
      </c>
      <c r="E5791" t="s">
        <v>10</v>
      </c>
    </row>
    <row r="5792" spans="1:5" hidden="1" outlineLevel="2">
      <c r="A5792" s="3" t="e">
        <f>(HYPERLINK("http://www.autodoc.ru/Web/price/art/6001RLGH5RV?analog=on","6001RLGH5RV"))*1</f>
        <v>#VALUE!</v>
      </c>
      <c r="B5792" s="1">
        <v>6995431</v>
      </c>
      <c r="C5792" t="s">
        <v>3866</v>
      </c>
      <c r="D5792" t="s">
        <v>5994</v>
      </c>
      <c r="E5792" t="s">
        <v>10</v>
      </c>
    </row>
    <row r="5793" spans="1:5" hidden="1" outlineLevel="1">
      <c r="A5793" s="2">
        <v>0</v>
      </c>
      <c r="B5793" s="26" t="s">
        <v>5995</v>
      </c>
      <c r="C5793" s="27">
        <v>0</v>
      </c>
      <c r="D5793" s="27">
        <v>0</v>
      </c>
      <c r="E5793" s="27">
        <v>0</v>
      </c>
    </row>
    <row r="5794" spans="1:5" hidden="1" outlineLevel="2">
      <c r="A5794" s="3" t="e">
        <f>(HYPERLINK("http://www.autodoc.ru/Web/price/art/6016AGN?analog=on","6016AGN"))*1</f>
        <v>#VALUE!</v>
      </c>
      <c r="B5794" s="1">
        <v>6960683</v>
      </c>
      <c r="C5794" t="s">
        <v>831</v>
      </c>
      <c r="D5794" t="s">
        <v>5996</v>
      </c>
      <c r="E5794" t="s">
        <v>8</v>
      </c>
    </row>
    <row r="5795" spans="1:5" hidden="1" outlineLevel="2">
      <c r="A5795" s="3" t="e">
        <f>(HYPERLINK("http://www.autodoc.ru/Web/price/art/6016AGN1C?analog=on","6016AGN1C"))*1</f>
        <v>#VALUE!</v>
      </c>
      <c r="B5795" s="1">
        <v>6950108</v>
      </c>
      <c r="C5795" t="s">
        <v>831</v>
      </c>
      <c r="D5795" t="s">
        <v>5997</v>
      </c>
      <c r="E5795" t="s">
        <v>8</v>
      </c>
    </row>
    <row r="5796" spans="1:5" hidden="1" outlineLevel="2">
      <c r="A5796" s="3" t="e">
        <f>(HYPERLINK("http://www.autodoc.ru/Web/price/art/6016ASMST?analog=on","6016ASMST"))*1</f>
        <v>#VALUE!</v>
      </c>
      <c r="B5796" s="1">
        <v>6101186</v>
      </c>
      <c r="C5796" t="s">
        <v>19</v>
      </c>
      <c r="D5796" t="s">
        <v>5998</v>
      </c>
      <c r="E5796" t="s">
        <v>21</v>
      </c>
    </row>
    <row r="5797" spans="1:5" hidden="1" outlineLevel="2">
      <c r="A5797" s="3" t="e">
        <f>(HYPERLINK("http://www.autodoc.ru/Web/price/art/6016BGNSB?analog=on","6016BGNSB"))*1</f>
        <v>#VALUE!</v>
      </c>
      <c r="B5797" s="1">
        <v>6992777</v>
      </c>
      <c r="C5797" t="s">
        <v>831</v>
      </c>
      <c r="D5797" t="s">
        <v>5999</v>
      </c>
      <c r="E5797" t="s">
        <v>23</v>
      </c>
    </row>
    <row r="5798" spans="1:5" hidden="1" outlineLevel="2">
      <c r="A5798" s="3" t="e">
        <f>(HYPERLINK("http://www.autodoc.ru/Web/price/art/6016LGNS4FDW?analog=on","6016LGNS4FDW"))*1</f>
        <v>#VALUE!</v>
      </c>
      <c r="B5798" s="1">
        <v>6993136</v>
      </c>
      <c r="C5798" t="s">
        <v>831</v>
      </c>
      <c r="D5798" t="s">
        <v>6000</v>
      </c>
      <c r="E5798" t="s">
        <v>10</v>
      </c>
    </row>
    <row r="5799" spans="1:5" hidden="1" outlineLevel="2">
      <c r="A5799" s="3" t="e">
        <f>(HYPERLINK("http://www.autodoc.ru/Web/price/art/6016LGNS4RDW?analog=on","6016LGNS4RDW"))*1</f>
        <v>#VALUE!</v>
      </c>
      <c r="B5799" s="1">
        <v>6900543</v>
      </c>
      <c r="C5799" t="s">
        <v>831</v>
      </c>
      <c r="D5799" t="s">
        <v>6001</v>
      </c>
      <c r="E5799" t="s">
        <v>10</v>
      </c>
    </row>
    <row r="5800" spans="1:5" hidden="1" outlineLevel="2">
      <c r="A5800" s="3" t="e">
        <f>(HYPERLINK("http://www.autodoc.ru/Web/price/art/6016LGNS4RV?analog=on","6016LGNS4RV"))*1</f>
        <v>#VALUE!</v>
      </c>
      <c r="B5800" s="1">
        <v>6995914</v>
      </c>
      <c r="C5800" t="s">
        <v>831</v>
      </c>
      <c r="D5800" t="s">
        <v>6002</v>
      </c>
      <c r="E5800" t="s">
        <v>10</v>
      </c>
    </row>
    <row r="5801" spans="1:5" hidden="1" outlineLevel="2">
      <c r="A5801" s="3" t="e">
        <f>(HYPERLINK("http://www.autodoc.ru/Web/price/art/6016RGNS4RDW?analog=on","6016RGNS4RDW"))*1</f>
        <v>#VALUE!</v>
      </c>
      <c r="B5801" s="1">
        <v>6900544</v>
      </c>
      <c r="C5801" t="s">
        <v>831</v>
      </c>
      <c r="D5801" t="s">
        <v>6003</v>
      </c>
      <c r="E5801" t="s">
        <v>10</v>
      </c>
    </row>
    <row r="5802" spans="1:5" hidden="1" outlineLevel="2">
      <c r="A5802" s="3" t="e">
        <f>(HYPERLINK("http://www.autodoc.ru/Web/price/art/6016RGNS4RV?analog=on","6016RGNS4RV"))*1</f>
        <v>#VALUE!</v>
      </c>
      <c r="B5802" s="1">
        <v>6995915</v>
      </c>
      <c r="C5802" t="s">
        <v>831</v>
      </c>
      <c r="D5802" t="s">
        <v>6004</v>
      </c>
      <c r="E5802" t="s">
        <v>10</v>
      </c>
    </row>
    <row r="5803" spans="1:5" hidden="1" outlineLevel="1">
      <c r="A5803" s="2">
        <v>0</v>
      </c>
      <c r="B5803" s="26" t="s">
        <v>6005</v>
      </c>
      <c r="C5803" s="27">
        <v>0</v>
      </c>
      <c r="D5803" s="27">
        <v>0</v>
      </c>
      <c r="E5803" s="27">
        <v>0</v>
      </c>
    </row>
    <row r="5804" spans="1:5" hidden="1" outlineLevel="2">
      <c r="A5804" s="3" t="e">
        <f>(HYPERLINK("http://www.autodoc.ru/Web/price/art/6007AGSBLH1C?analog=on","6007AGSBLH1C"))*1</f>
        <v>#VALUE!</v>
      </c>
      <c r="B5804" s="1">
        <v>6964865</v>
      </c>
      <c r="C5804" t="s">
        <v>779</v>
      </c>
      <c r="D5804" t="s">
        <v>6006</v>
      </c>
      <c r="E5804" t="s">
        <v>8</v>
      </c>
    </row>
    <row r="5805" spans="1:5" hidden="1" outlineLevel="2">
      <c r="A5805" s="3" t="e">
        <f>(HYPERLINK("http://www.autodoc.ru/Web/price/art/6007AGS?analog=on","6007AGS"))*1</f>
        <v>#VALUE!</v>
      </c>
      <c r="B5805" s="1">
        <v>6960447</v>
      </c>
      <c r="C5805" t="s">
        <v>831</v>
      </c>
      <c r="D5805" t="s">
        <v>6007</v>
      </c>
      <c r="E5805" t="s">
        <v>8</v>
      </c>
    </row>
    <row r="5806" spans="1:5" hidden="1" outlineLevel="2">
      <c r="A5806" s="3" t="e">
        <f>(HYPERLINK("http://www.autodoc.ru/Web/price/art/6007AGSBL?analog=on","6007AGSBL"))*1</f>
        <v>#VALUE!</v>
      </c>
      <c r="B5806" s="1">
        <v>6962075</v>
      </c>
      <c r="C5806" t="s">
        <v>831</v>
      </c>
      <c r="D5806" t="s">
        <v>6008</v>
      </c>
      <c r="E5806" t="s">
        <v>8</v>
      </c>
    </row>
    <row r="5807" spans="1:5" hidden="1" outlineLevel="2">
      <c r="A5807" s="3" t="e">
        <f>(HYPERLINK("http://www.autodoc.ru/Web/price/art/6007ASMHT?analog=on","6007ASMHT"))*1</f>
        <v>#VALUE!</v>
      </c>
      <c r="B5807" s="1">
        <v>6101107</v>
      </c>
      <c r="C5807" t="s">
        <v>19</v>
      </c>
      <c r="D5807" t="s">
        <v>6009</v>
      </c>
      <c r="E5807" t="s">
        <v>21</v>
      </c>
    </row>
    <row r="5808" spans="1:5" hidden="1" outlineLevel="2">
      <c r="A5808" s="3" t="e">
        <f>(HYPERLINK("http://www.autodoc.ru/Web/price/art/6007BGSH?analog=on","6007BGSH"))*1</f>
        <v>#VALUE!</v>
      </c>
      <c r="B5808" s="1">
        <v>6980002</v>
      </c>
      <c r="C5808" t="s">
        <v>831</v>
      </c>
      <c r="D5808" t="s">
        <v>6010</v>
      </c>
      <c r="E5808" t="s">
        <v>23</v>
      </c>
    </row>
    <row r="5809" spans="1:5" hidden="1" outlineLevel="2">
      <c r="A5809" s="3" t="e">
        <f>(HYPERLINK("http://www.autodoc.ru/Web/price/art/6007RGSH5FDW?analog=on","6007RGSH5FDW"))*1</f>
        <v>#VALUE!</v>
      </c>
      <c r="B5809" s="1">
        <v>6993139</v>
      </c>
      <c r="C5809" t="s">
        <v>831</v>
      </c>
      <c r="D5809" t="s">
        <v>6011</v>
      </c>
      <c r="E5809" t="s">
        <v>10</v>
      </c>
    </row>
    <row r="5810" spans="1:5" hidden="1" outlineLevel="2">
      <c r="A5810" s="3" t="e">
        <f>(HYPERLINK("http://www.autodoc.ru/Web/price/art/6007RGSH5RDW?analog=on","6007RGSH5RDW"))*1</f>
        <v>#VALUE!</v>
      </c>
      <c r="B5810" s="1">
        <v>6992596</v>
      </c>
      <c r="C5810" t="s">
        <v>831</v>
      </c>
      <c r="D5810" t="s">
        <v>6012</v>
      </c>
      <c r="E5810" t="s">
        <v>10</v>
      </c>
    </row>
    <row r="5811" spans="1:5" hidden="1" outlineLevel="2">
      <c r="A5811" s="3" t="e">
        <f>(HYPERLINK("http://www.autodoc.ru/Web/price/art/6007LGSH5FDW?analog=on","6007LGSH5FDW"))*1</f>
        <v>#VALUE!</v>
      </c>
      <c r="B5811" s="1">
        <v>6993138</v>
      </c>
      <c r="C5811" t="s">
        <v>831</v>
      </c>
      <c r="D5811" t="s">
        <v>6013</v>
      </c>
      <c r="E5811" t="s">
        <v>10</v>
      </c>
    </row>
    <row r="5812" spans="1:5" hidden="1" outlineLevel="2">
      <c r="A5812" s="3" t="e">
        <f>(HYPERLINK("http://www.autodoc.ru/Web/price/art/6007LGSH5RDW?analog=on","6007LGSH5RDW"))*1</f>
        <v>#VALUE!</v>
      </c>
      <c r="B5812" s="1">
        <v>6992593</v>
      </c>
      <c r="C5812" t="s">
        <v>831</v>
      </c>
      <c r="D5812" t="s">
        <v>6014</v>
      </c>
      <c r="E5812" t="s">
        <v>10</v>
      </c>
    </row>
    <row r="5813" spans="1:5" hidden="1" outlineLevel="2">
      <c r="A5813" s="3" t="e">
        <f>(HYPERLINK("http://www.autodoc.ru/Web/price/art/6007LGSH5RV?analog=on","6007LGSH5RV"))*1</f>
        <v>#VALUE!</v>
      </c>
      <c r="B5813" s="1">
        <v>6980112</v>
      </c>
      <c r="C5813" t="s">
        <v>831</v>
      </c>
      <c r="D5813" t="s">
        <v>6015</v>
      </c>
      <c r="E5813" t="s">
        <v>10</v>
      </c>
    </row>
    <row r="5814" spans="1:5" hidden="1" outlineLevel="2">
      <c r="A5814" s="3" t="e">
        <f>(HYPERLINK("http://www.autodoc.ru/Web/price/art/6007RGSH5FDW?analog=on","6007RGSH5FDW"))*1</f>
        <v>#VALUE!</v>
      </c>
      <c r="B5814" s="1">
        <v>6993139</v>
      </c>
      <c r="C5814" t="s">
        <v>831</v>
      </c>
      <c r="D5814" t="s">
        <v>6011</v>
      </c>
      <c r="E5814" t="s">
        <v>10</v>
      </c>
    </row>
    <row r="5815" spans="1:5" hidden="1" outlineLevel="2">
      <c r="A5815" s="3" t="e">
        <f>(HYPERLINK("http://www.autodoc.ru/Web/price/art/6007RGSH5RDW?analog=on","6007RGSH5RDW"))*1</f>
        <v>#VALUE!</v>
      </c>
      <c r="B5815" s="1">
        <v>6992596</v>
      </c>
      <c r="C5815" t="s">
        <v>831</v>
      </c>
      <c r="D5815" t="s">
        <v>6012</v>
      </c>
      <c r="E5815" t="s">
        <v>10</v>
      </c>
    </row>
    <row r="5816" spans="1:5" hidden="1" outlineLevel="2">
      <c r="A5816" s="3" t="e">
        <f>(HYPERLINK("http://www.autodoc.ru/Web/price/art/6007RGSH5RV?analog=on","6007RGSH5RV"))*1</f>
        <v>#VALUE!</v>
      </c>
      <c r="B5816" s="1">
        <v>6980553</v>
      </c>
      <c r="C5816" t="s">
        <v>831</v>
      </c>
      <c r="D5816" t="s">
        <v>6016</v>
      </c>
      <c r="E5816" t="s">
        <v>10</v>
      </c>
    </row>
    <row r="5817" spans="1:5" hidden="1" outlineLevel="1">
      <c r="A5817" s="2">
        <v>0</v>
      </c>
      <c r="B5817" s="26" t="s">
        <v>6017</v>
      </c>
      <c r="C5817" s="27">
        <v>0</v>
      </c>
      <c r="D5817" s="27">
        <v>0</v>
      </c>
      <c r="E5817" s="27">
        <v>0</v>
      </c>
    </row>
    <row r="5818" spans="1:5" hidden="1" outlineLevel="2">
      <c r="A5818" s="3" t="e">
        <f>(HYPERLINK("http://www.autodoc.ru/Web/price/art/6014AGS?analog=on","6014AGS"))*1</f>
        <v>#VALUE!</v>
      </c>
      <c r="B5818" s="1">
        <v>6961024</v>
      </c>
      <c r="C5818" t="s">
        <v>831</v>
      </c>
      <c r="D5818" t="s">
        <v>6018</v>
      </c>
      <c r="E5818" t="s">
        <v>8</v>
      </c>
    </row>
    <row r="5819" spans="1:5" hidden="1" outlineLevel="2">
      <c r="A5819" s="3" t="e">
        <f>(HYPERLINK("http://www.autodoc.ru/Web/price/art/6014ASMHT?analog=on","6014ASMHT"))*1</f>
        <v>#VALUE!</v>
      </c>
      <c r="B5819" s="1">
        <v>6101143</v>
      </c>
      <c r="C5819" t="s">
        <v>19</v>
      </c>
      <c r="D5819" t="s">
        <v>6019</v>
      </c>
      <c r="E5819" t="s">
        <v>21</v>
      </c>
    </row>
    <row r="5820" spans="1:5" hidden="1" outlineLevel="2">
      <c r="A5820" s="3" t="e">
        <f>(HYPERLINK("http://www.autodoc.ru/Web/price/art/6014BGSHBZ?analog=on","6014BGSHBZ"))*1</f>
        <v>#VALUE!</v>
      </c>
      <c r="B5820" s="1">
        <v>6992776</v>
      </c>
      <c r="C5820" t="s">
        <v>831</v>
      </c>
      <c r="D5820" t="s">
        <v>6020</v>
      </c>
      <c r="E5820" t="s">
        <v>23</v>
      </c>
    </row>
    <row r="5821" spans="1:5" hidden="1" outlineLevel="2">
      <c r="A5821" s="3" t="e">
        <f>(HYPERLINK("http://www.autodoc.ru/Web/price/art/6014LGSH5FDW?analog=on","6014LGSH5FDW"))*1</f>
        <v>#VALUE!</v>
      </c>
      <c r="B5821" s="1">
        <v>6996258</v>
      </c>
      <c r="C5821" t="s">
        <v>831</v>
      </c>
      <c r="D5821" t="s">
        <v>6021</v>
      </c>
      <c r="E5821" t="s">
        <v>10</v>
      </c>
    </row>
    <row r="5822" spans="1:5" hidden="1" outlineLevel="2">
      <c r="A5822" s="3" t="e">
        <f>(HYPERLINK("http://www.autodoc.ru/Web/price/art/6014LGSH5RDW?analog=on","6014LGSH5RDW"))*1</f>
        <v>#VALUE!</v>
      </c>
      <c r="B5822" s="1">
        <v>6900178</v>
      </c>
      <c r="C5822" t="s">
        <v>831</v>
      </c>
      <c r="D5822" t="s">
        <v>6022</v>
      </c>
      <c r="E5822" t="s">
        <v>10</v>
      </c>
    </row>
    <row r="5823" spans="1:5" hidden="1" outlineLevel="2">
      <c r="A5823" s="3" t="e">
        <f>(HYPERLINK("http://www.autodoc.ru/Web/price/art/6014RGSH5FDW?analog=on","6014RGSH5FDW"))*1</f>
        <v>#VALUE!</v>
      </c>
      <c r="B5823" s="1">
        <v>6996259</v>
      </c>
      <c r="C5823" t="s">
        <v>831</v>
      </c>
      <c r="D5823" t="s">
        <v>6023</v>
      </c>
      <c r="E5823" t="s">
        <v>10</v>
      </c>
    </row>
    <row r="5824" spans="1:5" hidden="1" outlineLevel="2">
      <c r="A5824" s="3" t="e">
        <f>(HYPERLINK("http://www.autodoc.ru/Web/price/art/6014RGSH5RDW?analog=on","6014RGSH5RDW"))*1</f>
        <v>#VALUE!</v>
      </c>
      <c r="B5824" s="1">
        <v>6900259</v>
      </c>
      <c r="C5824" t="s">
        <v>831</v>
      </c>
      <c r="D5824" t="s">
        <v>6024</v>
      </c>
      <c r="E5824" t="s">
        <v>10</v>
      </c>
    </row>
    <row r="5825" spans="1:5" hidden="1" outlineLevel="1">
      <c r="A5825" s="2">
        <v>0</v>
      </c>
      <c r="B5825" s="26" t="s">
        <v>6025</v>
      </c>
      <c r="C5825" s="27">
        <v>0</v>
      </c>
      <c r="D5825" s="27">
        <v>0</v>
      </c>
      <c r="E5825" s="27">
        <v>0</v>
      </c>
    </row>
    <row r="5826" spans="1:5" hidden="1" outlineLevel="2">
      <c r="A5826" s="3" t="e">
        <f>(HYPERLINK("http://www.autodoc.ru/Web/price/art/5969ABL?analog=on","5969ABL"))*1</f>
        <v>#VALUE!</v>
      </c>
      <c r="B5826" s="1">
        <v>6969962</v>
      </c>
      <c r="C5826" t="s">
        <v>3101</v>
      </c>
      <c r="D5826" t="s">
        <v>6026</v>
      </c>
      <c r="E5826" t="s">
        <v>8</v>
      </c>
    </row>
    <row r="5827" spans="1:5" hidden="1" outlineLevel="2">
      <c r="A5827" s="3" t="e">
        <f>(HYPERLINK("http://www.autodoc.ru/Web/price/art/5969ABZ?analog=on","5969ABZ"))*1</f>
        <v>#VALUE!</v>
      </c>
      <c r="B5827" s="1">
        <v>6969961</v>
      </c>
      <c r="C5827" t="s">
        <v>3101</v>
      </c>
      <c r="D5827" t="s">
        <v>6027</v>
      </c>
      <c r="E5827" t="s">
        <v>8</v>
      </c>
    </row>
    <row r="5828" spans="1:5" hidden="1" outlineLevel="2">
      <c r="A5828" s="3" t="e">
        <f>(HYPERLINK("http://www.autodoc.ru/Web/price/art/5969ABZ1C?analog=on","5969ABZ1C"))*1</f>
        <v>#VALUE!</v>
      </c>
      <c r="B5828" s="1">
        <v>6963491</v>
      </c>
      <c r="C5828" t="s">
        <v>3101</v>
      </c>
      <c r="D5828" t="s">
        <v>6027</v>
      </c>
      <c r="E5828" t="s">
        <v>8</v>
      </c>
    </row>
    <row r="5829" spans="1:5" hidden="1" outlineLevel="2">
      <c r="A5829" s="3" t="e">
        <f>(HYPERLINK("http://www.autodoc.ru/Web/price/art/5969AKMHC?analog=on","5969AKMHC"))*1</f>
        <v>#VALUE!</v>
      </c>
      <c r="B5829" s="1">
        <v>6101156</v>
      </c>
      <c r="C5829" t="s">
        <v>19</v>
      </c>
      <c r="D5829" t="s">
        <v>6028</v>
      </c>
      <c r="E5829" t="s">
        <v>21</v>
      </c>
    </row>
    <row r="5830" spans="1:5" hidden="1" outlineLevel="2">
      <c r="A5830" s="3" t="e">
        <f>(HYPERLINK("http://www.autodoc.ru/Web/price/art/5969LBLH5FDW?analog=on","5969LBLH5FDW"))*1</f>
        <v>#VALUE!</v>
      </c>
      <c r="B5830" s="1">
        <v>6995781</v>
      </c>
      <c r="C5830" t="s">
        <v>3101</v>
      </c>
      <c r="D5830" t="s">
        <v>6029</v>
      </c>
      <c r="E5830" t="s">
        <v>10</v>
      </c>
    </row>
    <row r="5831" spans="1:5" hidden="1" outlineLevel="2">
      <c r="A5831" s="3" t="e">
        <f>(HYPERLINK("http://www.autodoc.ru/Web/price/art/5969RBLH5FDW?analog=on","5969RBLH5FDW"))*1</f>
        <v>#VALUE!</v>
      </c>
      <c r="B5831" s="1">
        <v>6995784</v>
      </c>
      <c r="C5831" t="s">
        <v>3101</v>
      </c>
      <c r="D5831" t="s">
        <v>6030</v>
      </c>
      <c r="E5831" t="s">
        <v>10</v>
      </c>
    </row>
    <row r="5832" spans="1:5" hidden="1" outlineLevel="2">
      <c r="A5832" s="3" t="e">
        <f>(HYPERLINK("http://www.autodoc.ru/Web/price/art/5969RBLH5RDW?analog=on","5969RBLH5RDW"))*1</f>
        <v>#VALUE!</v>
      </c>
      <c r="B5832" s="1">
        <v>6995785</v>
      </c>
      <c r="C5832" t="s">
        <v>3101</v>
      </c>
      <c r="D5832" t="s">
        <v>6031</v>
      </c>
      <c r="E5832" t="s">
        <v>10</v>
      </c>
    </row>
    <row r="5833" spans="1:5" hidden="1" outlineLevel="1">
      <c r="A5833" s="2">
        <v>0</v>
      </c>
      <c r="B5833" s="26" t="s">
        <v>6032</v>
      </c>
      <c r="C5833" s="27">
        <v>0</v>
      </c>
      <c r="D5833" s="27">
        <v>0</v>
      </c>
      <c r="E5833" s="27">
        <v>0</v>
      </c>
    </row>
    <row r="5834" spans="1:5" hidden="1" outlineLevel="2">
      <c r="A5834" s="3" t="e">
        <f>(HYPERLINK("http://www.autodoc.ru/Web/price/art/5942ABL?analog=on","5942ABL"))*1</f>
        <v>#VALUE!</v>
      </c>
      <c r="B5834" s="1">
        <v>6963484</v>
      </c>
      <c r="C5834" t="s">
        <v>6033</v>
      </c>
      <c r="D5834" t="s">
        <v>6034</v>
      </c>
      <c r="E5834" t="s">
        <v>8</v>
      </c>
    </row>
    <row r="5835" spans="1:5" hidden="1" outlineLevel="1">
      <c r="A5835" s="2">
        <v>0</v>
      </c>
      <c r="B5835" s="26" t="s">
        <v>6035</v>
      </c>
      <c r="C5835" s="27">
        <v>0</v>
      </c>
      <c r="D5835" s="27">
        <v>0</v>
      </c>
      <c r="E5835" s="27">
        <v>0</v>
      </c>
    </row>
    <row r="5836" spans="1:5" hidden="1" outlineLevel="2">
      <c r="A5836" s="3" t="e">
        <f>(HYPERLINK("http://www.autodoc.ru/Web/price/art/5960ABL?analog=on","5960ABL"))*1</f>
        <v>#VALUE!</v>
      </c>
      <c r="B5836" s="1">
        <v>6963489</v>
      </c>
      <c r="C5836" t="s">
        <v>6036</v>
      </c>
      <c r="D5836" t="s">
        <v>6037</v>
      </c>
      <c r="E5836" t="s">
        <v>8</v>
      </c>
    </row>
    <row r="5837" spans="1:5" hidden="1" outlineLevel="1">
      <c r="A5837" s="2">
        <v>0</v>
      </c>
      <c r="B5837" s="26" t="s">
        <v>6038</v>
      </c>
      <c r="C5837" s="27">
        <v>0</v>
      </c>
      <c r="D5837" s="27">
        <v>0</v>
      </c>
      <c r="E5837" s="27">
        <v>0</v>
      </c>
    </row>
    <row r="5838" spans="1:5" hidden="1" outlineLevel="2">
      <c r="A5838" s="3" t="e">
        <f>(HYPERLINK("http://www.autodoc.ru/Web/price/art/5955ABL?analog=on","5955ABL"))*1</f>
        <v>#VALUE!</v>
      </c>
      <c r="B5838" s="1">
        <v>6968223</v>
      </c>
      <c r="C5838" t="s">
        <v>2978</v>
      </c>
      <c r="D5838" t="s">
        <v>6039</v>
      </c>
      <c r="E5838" t="s">
        <v>8</v>
      </c>
    </row>
    <row r="5839" spans="1:5" hidden="1" outlineLevel="1">
      <c r="A5839" s="2">
        <v>0</v>
      </c>
      <c r="B5839" s="26" t="s">
        <v>6040</v>
      </c>
      <c r="C5839" s="27">
        <v>0</v>
      </c>
      <c r="D5839" s="27">
        <v>0</v>
      </c>
      <c r="E5839" s="27">
        <v>0</v>
      </c>
    </row>
    <row r="5840" spans="1:5" hidden="1" outlineLevel="2">
      <c r="A5840" s="3" t="e">
        <f>(HYPERLINK("http://www.autodoc.ru/Web/price/art/5966AGN2B?analog=on","5966AGN2B"))*1</f>
        <v>#VALUE!</v>
      </c>
      <c r="B5840" s="1">
        <v>6962248</v>
      </c>
      <c r="C5840" t="s">
        <v>366</v>
      </c>
      <c r="D5840" t="s">
        <v>6041</v>
      </c>
      <c r="E5840" t="s">
        <v>8</v>
      </c>
    </row>
    <row r="5841" spans="1:5" hidden="1" outlineLevel="1">
      <c r="A5841" s="2">
        <v>0</v>
      </c>
      <c r="B5841" s="26" t="s">
        <v>6042</v>
      </c>
      <c r="C5841" s="27">
        <v>0</v>
      </c>
      <c r="D5841" s="27">
        <v>0</v>
      </c>
      <c r="E5841" s="27">
        <v>0</v>
      </c>
    </row>
    <row r="5842" spans="1:5" hidden="1" outlineLevel="2">
      <c r="A5842" s="3" t="e">
        <f>(HYPERLINK("http://www.autodoc.ru/Web/price/art/6023ACC?analog=on","6023ACC"))*1</f>
        <v>#VALUE!</v>
      </c>
      <c r="B5842" s="1">
        <v>6190735</v>
      </c>
      <c r="C5842" t="s">
        <v>782</v>
      </c>
      <c r="D5842" t="s">
        <v>6043</v>
      </c>
      <c r="E5842" t="s">
        <v>8</v>
      </c>
    </row>
    <row r="5843" spans="1:5" hidden="1" outlineLevel="2">
      <c r="A5843" s="3" t="e">
        <f>(HYPERLINK("http://www.autodoc.ru/Web/price/art/6023AGN?analog=on","6023AGN"))*1</f>
        <v>#VALUE!</v>
      </c>
      <c r="B5843" s="1">
        <v>6190447</v>
      </c>
      <c r="C5843" t="s">
        <v>782</v>
      </c>
      <c r="D5843" t="s">
        <v>6044</v>
      </c>
      <c r="E5843" t="s">
        <v>8</v>
      </c>
    </row>
    <row r="5844" spans="1:5" hidden="1" outlineLevel="2">
      <c r="A5844" s="3" t="e">
        <f>(HYPERLINK("http://www.autodoc.ru/Web/price/art/6023AGNH?analog=on","6023AGNH"))*1</f>
        <v>#VALUE!</v>
      </c>
      <c r="B5844" s="1">
        <v>6190448</v>
      </c>
      <c r="C5844" t="s">
        <v>782</v>
      </c>
      <c r="D5844" t="s">
        <v>6045</v>
      </c>
      <c r="E5844" t="s">
        <v>8</v>
      </c>
    </row>
    <row r="5845" spans="1:5" hidden="1" outlineLevel="2">
      <c r="A5845" s="3" t="e">
        <f>(HYPERLINK("http://www.autodoc.ru/Web/price/art/6023BGNVL1J?analog=on","6023BGNVL1J"))*1</f>
        <v>#VALUE!</v>
      </c>
      <c r="B5845" s="1">
        <v>6190450</v>
      </c>
      <c r="C5845" t="s">
        <v>782</v>
      </c>
      <c r="D5845" t="s">
        <v>6046</v>
      </c>
      <c r="E5845" t="s">
        <v>23</v>
      </c>
    </row>
    <row r="5846" spans="1:5" hidden="1" outlineLevel="2">
      <c r="A5846" s="3" t="e">
        <f>(HYPERLINK("http://www.autodoc.ru/Web/price/art/6023BGNVLU1J?analog=on","6023BGNVLU1J"))*1</f>
        <v>#VALUE!</v>
      </c>
      <c r="B5846" s="1">
        <v>6190451</v>
      </c>
      <c r="C5846" t="s">
        <v>782</v>
      </c>
      <c r="D5846" t="s">
        <v>6047</v>
      </c>
      <c r="E5846" t="s">
        <v>23</v>
      </c>
    </row>
    <row r="5847" spans="1:5" hidden="1" outlineLevel="2">
      <c r="A5847" s="3" t="e">
        <f>(HYPERLINK("http://www.autodoc.ru/Web/price/art/6023BGNVR1J?analog=on","6023BGNVR1J"))*1</f>
        <v>#VALUE!</v>
      </c>
      <c r="B5847" s="1">
        <v>6190452</v>
      </c>
      <c r="C5847" t="s">
        <v>782</v>
      </c>
      <c r="D5847" t="s">
        <v>6048</v>
      </c>
      <c r="E5847" t="s">
        <v>23</v>
      </c>
    </row>
    <row r="5848" spans="1:5" hidden="1" outlineLevel="2">
      <c r="A5848" s="3" t="e">
        <f>(HYPERLINK("http://www.autodoc.ru/Web/price/art/6023BGNVRU1J?analog=on","6023BGNVRU1J"))*1</f>
        <v>#VALUE!</v>
      </c>
      <c r="B5848" s="1">
        <v>6190453</v>
      </c>
      <c r="C5848" t="s">
        <v>782</v>
      </c>
      <c r="D5848" t="s">
        <v>6049</v>
      </c>
      <c r="E5848" t="s">
        <v>23</v>
      </c>
    </row>
    <row r="5849" spans="1:5" hidden="1" outlineLevel="1">
      <c r="A5849" s="2">
        <v>0</v>
      </c>
      <c r="B5849" s="26" t="s">
        <v>6050</v>
      </c>
      <c r="C5849" s="27">
        <v>0</v>
      </c>
      <c r="D5849" s="27">
        <v>0</v>
      </c>
      <c r="E5849" s="27">
        <v>0</v>
      </c>
    </row>
    <row r="5850" spans="1:5" hidden="1" outlineLevel="2">
      <c r="A5850" s="3" t="e">
        <f>(HYPERLINK("http://www.autodoc.ru/Web/price/art/6069AGSVW?analog=on","6069AGSVW"))*1</f>
        <v>#VALUE!</v>
      </c>
      <c r="B5850" s="1">
        <v>6965135</v>
      </c>
      <c r="C5850" t="s">
        <v>341</v>
      </c>
      <c r="D5850" t="s">
        <v>6051</v>
      </c>
      <c r="E5850" t="s">
        <v>8</v>
      </c>
    </row>
    <row r="5851" spans="1:5" hidden="1" outlineLevel="2">
      <c r="A5851" s="3" t="e">
        <f>(HYPERLINK("http://www.autodoc.ru/Web/price/art/6069AGSMVW1P?analog=on","6069AGSMVW1P"))*1</f>
        <v>#VALUE!</v>
      </c>
      <c r="B5851" s="1">
        <v>6965490</v>
      </c>
      <c r="C5851" t="s">
        <v>341</v>
      </c>
      <c r="D5851" t="s">
        <v>6052</v>
      </c>
      <c r="E5851" t="s">
        <v>8</v>
      </c>
    </row>
    <row r="5852" spans="1:5" hidden="1" outlineLevel="2">
      <c r="A5852" s="3" t="e">
        <f>(HYPERLINK("http://www.autodoc.ru/Web/price/art/6069AGAMVW1P?analog=on","6069AGAMVW1P"))*1</f>
        <v>#VALUE!</v>
      </c>
      <c r="B5852" s="1">
        <v>6965140</v>
      </c>
      <c r="C5852" t="s">
        <v>341</v>
      </c>
      <c r="D5852" t="s">
        <v>6053</v>
      </c>
      <c r="E5852" t="s">
        <v>8</v>
      </c>
    </row>
    <row r="5853" spans="1:5" hidden="1" outlineLevel="2">
      <c r="A5853" s="3" t="e">
        <f>(HYPERLINK("http://www.autodoc.ru/Web/price/art/6069AGAVW?analog=on","6069AGAVW"))*1</f>
        <v>#VALUE!</v>
      </c>
      <c r="B5853" s="1">
        <v>6965139</v>
      </c>
      <c r="C5853" t="s">
        <v>341</v>
      </c>
      <c r="D5853" t="s">
        <v>6054</v>
      </c>
      <c r="E5853" t="s">
        <v>8</v>
      </c>
    </row>
    <row r="5854" spans="1:5" hidden="1" outlineLevel="2">
      <c r="A5854" s="3" t="e">
        <f>(HYPERLINK("http://www.autodoc.ru/Web/price/art/6069RGSR5RDW?analog=on","6069RGSR5RDW"))*1</f>
        <v>#VALUE!</v>
      </c>
      <c r="B5854" s="1">
        <v>6901069</v>
      </c>
      <c r="C5854" t="s">
        <v>341</v>
      </c>
      <c r="D5854" t="s">
        <v>6055</v>
      </c>
      <c r="E5854" t="s">
        <v>10</v>
      </c>
    </row>
    <row r="5855" spans="1:5" hidden="1" outlineLevel="2">
      <c r="A5855" s="3" t="e">
        <f>(HYPERLINK("http://www.autodoc.ru/Web/price/art/6069LGSR5RDW?analog=on","6069LGSR5RDW"))*1</f>
        <v>#VALUE!</v>
      </c>
      <c r="B5855" s="1">
        <v>6901070</v>
      </c>
      <c r="C5855" t="s">
        <v>341</v>
      </c>
      <c r="D5855" t="s">
        <v>6056</v>
      </c>
      <c r="E5855" t="s">
        <v>10</v>
      </c>
    </row>
    <row r="5856" spans="1:5" hidden="1" outlineLevel="2">
      <c r="A5856" s="3" t="e">
        <f>(HYPERLINK("http://www.autodoc.ru/Web/price/art/6069LGSR5FDW?analog=on","6069LGSR5FDW"))*1</f>
        <v>#VALUE!</v>
      </c>
      <c r="B5856" s="1">
        <v>6901068</v>
      </c>
      <c r="C5856" t="s">
        <v>341</v>
      </c>
      <c r="D5856" t="s">
        <v>6057</v>
      </c>
      <c r="E5856" t="s">
        <v>10</v>
      </c>
    </row>
    <row r="5857" spans="1:5" hidden="1" outlineLevel="1">
      <c r="A5857" s="2">
        <v>0</v>
      </c>
      <c r="B5857" s="26" t="s">
        <v>6058</v>
      </c>
      <c r="C5857" s="27">
        <v>0</v>
      </c>
      <c r="D5857" s="27">
        <v>0</v>
      </c>
      <c r="E5857" s="27">
        <v>0</v>
      </c>
    </row>
    <row r="5858" spans="1:5" hidden="1" outlineLevel="2">
      <c r="A5858" s="3" t="e">
        <f>(HYPERLINK("http://www.autodoc.ru/Web/price/art/6030ACC?analog=on","6030ACC"))*1</f>
        <v>#VALUE!</v>
      </c>
      <c r="B5858" s="1">
        <v>6190434</v>
      </c>
      <c r="C5858" t="s">
        <v>782</v>
      </c>
      <c r="D5858" t="s">
        <v>6059</v>
      </c>
      <c r="E5858" t="s">
        <v>8</v>
      </c>
    </row>
    <row r="5859" spans="1:5" hidden="1" outlineLevel="2">
      <c r="A5859" s="3" t="e">
        <f>(HYPERLINK("http://www.autodoc.ru/Web/price/art/6030AGS?analog=on","6030AGS"))*1</f>
        <v>#VALUE!</v>
      </c>
      <c r="B5859" s="1">
        <v>6190435</v>
      </c>
      <c r="C5859" t="s">
        <v>782</v>
      </c>
      <c r="D5859" t="s">
        <v>6060</v>
      </c>
      <c r="E5859" t="s">
        <v>8</v>
      </c>
    </row>
    <row r="5860" spans="1:5" hidden="1" outlineLevel="2">
      <c r="A5860" s="3" t="e">
        <f>(HYPERLINK("http://www.autodoc.ru/Web/price/art/6030BGSV?analog=on","6030BGSV"))*1</f>
        <v>#VALUE!</v>
      </c>
      <c r="B5860" s="1">
        <v>6190437</v>
      </c>
      <c r="C5860" t="s">
        <v>782</v>
      </c>
      <c r="D5860" t="s">
        <v>6061</v>
      </c>
      <c r="E5860" t="s">
        <v>23</v>
      </c>
    </row>
    <row r="5861" spans="1:5" hidden="1" outlineLevel="2">
      <c r="A5861" s="3" t="e">
        <f>(HYPERLINK("http://www.autodoc.ru/Web/price/art/6030BGSVL?analog=on","6030BGSVL"))*1</f>
        <v>#VALUE!</v>
      </c>
      <c r="B5861" s="1">
        <v>6190438</v>
      </c>
      <c r="C5861" t="s">
        <v>782</v>
      </c>
      <c r="D5861" t="s">
        <v>6062</v>
      </c>
      <c r="E5861" t="s">
        <v>23</v>
      </c>
    </row>
    <row r="5862" spans="1:5" hidden="1" outlineLevel="2">
      <c r="A5862" s="3" t="e">
        <f>(HYPERLINK("http://www.autodoc.ru/Web/price/art/6030BGSVRU?analog=on","6030BGSVRU"))*1</f>
        <v>#VALUE!</v>
      </c>
      <c r="B5862" s="1">
        <v>6190439</v>
      </c>
      <c r="C5862" t="s">
        <v>782</v>
      </c>
      <c r="D5862" t="s">
        <v>6063</v>
      </c>
      <c r="E5862" t="s">
        <v>23</v>
      </c>
    </row>
    <row r="5863" spans="1:5" hidden="1" outlineLevel="2">
      <c r="A5863" s="3" t="e">
        <f>(HYPERLINK("http://www.autodoc.ru/Web/price/art/6030LGSV3FD?analog=on","6030LGSV3FD"))*1</f>
        <v>#VALUE!</v>
      </c>
      <c r="B5863" s="1">
        <v>6190440</v>
      </c>
      <c r="C5863" t="s">
        <v>782</v>
      </c>
      <c r="D5863" t="s">
        <v>6064</v>
      </c>
      <c r="E5863" t="s">
        <v>10</v>
      </c>
    </row>
    <row r="5864" spans="1:5" hidden="1" outlineLevel="2">
      <c r="A5864" s="3" t="e">
        <f>(HYPERLINK("http://www.autodoc.ru/Web/price/art/6030RGSV3FD?analog=on","6030RGSV3FD"))*1</f>
        <v>#VALUE!</v>
      </c>
      <c r="B5864" s="1">
        <v>6190443</v>
      </c>
      <c r="C5864" t="s">
        <v>782</v>
      </c>
      <c r="D5864" t="s">
        <v>6065</v>
      </c>
      <c r="E5864" t="s">
        <v>10</v>
      </c>
    </row>
    <row r="5865" spans="1:5" hidden="1" outlineLevel="2">
      <c r="A5865" s="3" t="e">
        <f>(HYPERLINK("http://www.autodoc.ru/Web/price/art/6030RGSV3RD?analog=on","6030RGSV3RD"))*1</f>
        <v>#VALUE!</v>
      </c>
      <c r="B5865" s="1">
        <v>6190444</v>
      </c>
      <c r="C5865" t="s">
        <v>782</v>
      </c>
      <c r="D5865" t="s">
        <v>6066</v>
      </c>
      <c r="E5865" t="s">
        <v>10</v>
      </c>
    </row>
    <row r="5866" spans="1:5" hidden="1" outlineLevel="2">
      <c r="A5866" s="3" t="e">
        <f>(HYPERLINK("http://www.autodoc.ru/Web/price/art/6030RGSV3RQ?analog=on","6030RGSV3RQ"))*1</f>
        <v>#VALUE!</v>
      </c>
      <c r="B5866" s="1">
        <v>6190446</v>
      </c>
      <c r="C5866" t="s">
        <v>782</v>
      </c>
      <c r="D5866" t="s">
        <v>6067</v>
      </c>
      <c r="E5866" t="s">
        <v>10</v>
      </c>
    </row>
    <row r="5867" spans="1:5" hidden="1" outlineLevel="1">
      <c r="A5867" s="2">
        <v>0</v>
      </c>
      <c r="B5867" s="26" t="s">
        <v>6068</v>
      </c>
      <c r="C5867" s="27">
        <v>0</v>
      </c>
      <c r="D5867" s="27">
        <v>0</v>
      </c>
      <c r="E5867" s="27">
        <v>0</v>
      </c>
    </row>
    <row r="5868" spans="1:5" hidden="1" outlineLevel="2">
      <c r="A5868" s="3" t="e">
        <f>(HYPERLINK("http://www.autodoc.ru/Web/price/art/5964ABL?analog=on","5964ABL"))*1</f>
        <v>#VALUE!</v>
      </c>
      <c r="B5868" s="1">
        <v>6963569</v>
      </c>
      <c r="C5868" t="s">
        <v>3815</v>
      </c>
      <c r="D5868" t="s">
        <v>6069</v>
      </c>
      <c r="E5868" t="s">
        <v>8</v>
      </c>
    </row>
    <row r="5869" spans="1:5" hidden="1" outlineLevel="1">
      <c r="A5869" s="2">
        <v>0</v>
      </c>
      <c r="B5869" s="26" t="s">
        <v>6070</v>
      </c>
      <c r="C5869" s="27">
        <v>0</v>
      </c>
      <c r="D5869" s="27">
        <v>0</v>
      </c>
      <c r="E5869" s="27">
        <v>0</v>
      </c>
    </row>
    <row r="5870" spans="1:5" hidden="1" outlineLevel="2">
      <c r="A5870" s="3" t="e">
        <f>(HYPERLINK("http://www.autodoc.ru/Web/price/art/5979ABL?analog=on","5979ABL"))*1</f>
        <v>#VALUE!</v>
      </c>
      <c r="B5870" s="1">
        <v>6964108</v>
      </c>
      <c r="C5870" t="s">
        <v>2563</v>
      </c>
      <c r="D5870" t="s">
        <v>6071</v>
      </c>
      <c r="E5870" t="s">
        <v>8</v>
      </c>
    </row>
    <row r="5871" spans="1:5" hidden="1" outlineLevel="2">
      <c r="A5871" s="3" t="e">
        <f>(HYPERLINK("http://www.autodoc.ru/Web/price/art/5979ABLBL?analog=on","5979ABLBL"))*1</f>
        <v>#VALUE!</v>
      </c>
      <c r="B5871" s="1">
        <v>6963653</v>
      </c>
      <c r="C5871" t="s">
        <v>2563</v>
      </c>
      <c r="D5871" t="s">
        <v>6072</v>
      </c>
      <c r="E5871" t="s">
        <v>8</v>
      </c>
    </row>
    <row r="5872" spans="1:5" hidden="1" outlineLevel="2">
      <c r="A5872" s="3" t="e">
        <f>(HYPERLINK("http://www.autodoc.ru/Web/price/art/5979AKMS?analog=on","5979AKMS"))*1</f>
        <v>#VALUE!</v>
      </c>
      <c r="B5872" s="1">
        <v>6101173</v>
      </c>
      <c r="C5872" t="s">
        <v>19</v>
      </c>
      <c r="D5872" t="s">
        <v>6073</v>
      </c>
      <c r="E5872" t="s">
        <v>21</v>
      </c>
    </row>
    <row r="5873" spans="1:5" hidden="1" outlineLevel="2">
      <c r="A5873" s="3" t="e">
        <f>(HYPERLINK("http://www.autodoc.ru/Web/price/art/5979BBLSA?analog=on","5979BBLSA"))*1</f>
        <v>#VALUE!</v>
      </c>
      <c r="B5873" s="1">
        <v>6997304</v>
      </c>
      <c r="C5873" t="s">
        <v>2563</v>
      </c>
      <c r="D5873" t="s">
        <v>6074</v>
      </c>
      <c r="E5873" t="s">
        <v>23</v>
      </c>
    </row>
    <row r="5874" spans="1:5" hidden="1" outlineLevel="2">
      <c r="A5874" s="3" t="e">
        <f>(HYPERLINK("http://www.autodoc.ru/Web/price/art/5979LBLS4FDW?analog=on","5979LBLS4FDW"))*1</f>
        <v>#VALUE!</v>
      </c>
      <c r="B5874" s="1">
        <v>6997996</v>
      </c>
      <c r="C5874" t="s">
        <v>2563</v>
      </c>
      <c r="D5874" t="s">
        <v>6075</v>
      </c>
      <c r="E5874" t="s">
        <v>10</v>
      </c>
    </row>
    <row r="5875" spans="1:5" hidden="1" outlineLevel="2">
      <c r="A5875" s="3" t="e">
        <f>(HYPERLINK("http://www.autodoc.ru/Web/price/art/5979RBLS4FDW?analog=on","5979RBLS4FDW"))*1</f>
        <v>#VALUE!</v>
      </c>
      <c r="B5875" s="1">
        <v>6997997</v>
      </c>
      <c r="C5875" t="s">
        <v>2563</v>
      </c>
      <c r="D5875" t="s">
        <v>6076</v>
      </c>
      <c r="E5875" t="s">
        <v>10</v>
      </c>
    </row>
    <row r="5876" spans="1:5" hidden="1" outlineLevel="1">
      <c r="A5876" s="2">
        <v>0</v>
      </c>
      <c r="B5876" s="26" t="s">
        <v>6077</v>
      </c>
      <c r="C5876" s="27">
        <v>0</v>
      </c>
      <c r="D5876" s="27">
        <v>0</v>
      </c>
      <c r="E5876" s="27">
        <v>0</v>
      </c>
    </row>
    <row r="5877" spans="1:5" hidden="1" outlineLevel="2">
      <c r="A5877" s="3" t="e">
        <f>(HYPERLINK("http://www.autodoc.ru/Web/price/art/5996AGN?analog=on","5996AGN"))*1</f>
        <v>#VALUE!</v>
      </c>
      <c r="B5877" s="1">
        <v>6963405</v>
      </c>
      <c r="C5877" t="s">
        <v>3866</v>
      </c>
      <c r="D5877" t="s">
        <v>6078</v>
      </c>
      <c r="E5877" t="s">
        <v>8</v>
      </c>
    </row>
    <row r="5878" spans="1:5" hidden="1" outlineLevel="2">
      <c r="A5878" s="3" t="e">
        <f>(HYPERLINK("http://www.autodoc.ru/Web/price/art/5996AGNBL?analog=on","5996AGNBL"))*1</f>
        <v>#VALUE!</v>
      </c>
      <c r="B5878" s="1">
        <v>6963216</v>
      </c>
      <c r="C5878" t="s">
        <v>3866</v>
      </c>
      <c r="D5878" t="s">
        <v>6079</v>
      </c>
      <c r="E5878" t="s">
        <v>8</v>
      </c>
    </row>
    <row r="5879" spans="1:5" hidden="1" outlineLevel="2">
      <c r="A5879" s="3" t="e">
        <f>(HYPERLINK("http://www.autodoc.ru/Web/price/art/5996AGNGY?analog=on","5996AGNGY"))*1</f>
        <v>#VALUE!</v>
      </c>
      <c r="B5879" s="1">
        <v>6961001</v>
      </c>
      <c r="C5879" t="s">
        <v>3866</v>
      </c>
      <c r="D5879" t="s">
        <v>6080</v>
      </c>
      <c r="E5879" t="s">
        <v>8</v>
      </c>
    </row>
    <row r="5880" spans="1:5" hidden="1" outlineLevel="2">
      <c r="A5880" s="3" t="e">
        <f>(HYPERLINK("http://www.autodoc.ru/Web/price/art/5996ASMST?analog=on","5996ASMST"))*1</f>
        <v>#VALUE!</v>
      </c>
      <c r="B5880" s="1">
        <v>6101158</v>
      </c>
      <c r="C5880" t="s">
        <v>19</v>
      </c>
      <c r="D5880" t="s">
        <v>6081</v>
      </c>
      <c r="E5880" t="s">
        <v>21</v>
      </c>
    </row>
    <row r="5881" spans="1:5" hidden="1" outlineLevel="2">
      <c r="A5881" s="3" t="e">
        <f>(HYPERLINK("http://www.autodoc.ru/Web/price/art/5996BGNSA?analog=on","5996BGNSA"))*1</f>
        <v>#VALUE!</v>
      </c>
      <c r="B5881" s="1">
        <v>6998615</v>
      </c>
      <c r="C5881" t="s">
        <v>3866</v>
      </c>
      <c r="D5881" t="s">
        <v>6082</v>
      </c>
      <c r="E5881" t="s">
        <v>23</v>
      </c>
    </row>
    <row r="5882" spans="1:5" hidden="1" outlineLevel="2">
      <c r="A5882" s="3" t="e">
        <f>(HYPERLINK("http://www.autodoc.ru/Web/price/art/5996LGNS4FDW?analog=on","5996LGNS4FDW"))*1</f>
        <v>#VALUE!</v>
      </c>
      <c r="B5882" s="1">
        <v>6980113</v>
      </c>
      <c r="C5882" t="s">
        <v>3866</v>
      </c>
      <c r="D5882" t="s">
        <v>6083</v>
      </c>
      <c r="E5882" t="s">
        <v>10</v>
      </c>
    </row>
    <row r="5883" spans="1:5" hidden="1" outlineLevel="2">
      <c r="A5883" s="3" t="e">
        <f>(HYPERLINK("http://www.autodoc.ru/Web/price/art/5996LGNS4RV?analog=on","5996LGNS4RV"))*1</f>
        <v>#VALUE!</v>
      </c>
      <c r="B5883" s="1">
        <v>6980550</v>
      </c>
      <c r="C5883" t="s">
        <v>3866</v>
      </c>
      <c r="D5883" t="s">
        <v>6084</v>
      </c>
      <c r="E5883" t="s">
        <v>10</v>
      </c>
    </row>
    <row r="5884" spans="1:5" hidden="1" outlineLevel="2">
      <c r="A5884" s="3" t="e">
        <f>(HYPERLINK("http://www.autodoc.ru/Web/price/art/5996RGNS4FDW?analog=on","5996RGNS4FDW"))*1</f>
        <v>#VALUE!</v>
      </c>
      <c r="B5884" s="1">
        <v>6993249</v>
      </c>
      <c r="C5884" t="s">
        <v>3866</v>
      </c>
      <c r="D5884" t="s">
        <v>6085</v>
      </c>
      <c r="E5884" t="s">
        <v>10</v>
      </c>
    </row>
    <row r="5885" spans="1:5" hidden="1" outlineLevel="2">
      <c r="A5885" s="3" t="e">
        <f>(HYPERLINK("http://www.autodoc.ru/Web/price/art/5996RGNS4RDW?analog=on","5996RGNS4RDW"))*1</f>
        <v>#VALUE!</v>
      </c>
      <c r="B5885" s="1">
        <v>6980551</v>
      </c>
      <c r="C5885" t="s">
        <v>3866</v>
      </c>
      <c r="D5885" t="s">
        <v>6086</v>
      </c>
      <c r="E5885" t="s">
        <v>10</v>
      </c>
    </row>
    <row r="5886" spans="1:5" hidden="1" outlineLevel="1">
      <c r="A5886" s="2">
        <v>0</v>
      </c>
      <c r="B5886" s="26" t="s">
        <v>6087</v>
      </c>
      <c r="C5886" s="27">
        <v>0</v>
      </c>
      <c r="D5886" s="27">
        <v>0</v>
      </c>
      <c r="E5886" s="27">
        <v>0</v>
      </c>
    </row>
    <row r="5887" spans="1:5" hidden="1" outlineLevel="2">
      <c r="A5887" s="3" t="e">
        <f>(HYPERLINK("http://www.autodoc.ru/Web/price/art/6015AGNBL1C?analog=on","6015AGNBL1C"))*1</f>
        <v>#VALUE!</v>
      </c>
      <c r="B5887" s="1">
        <v>6962911</v>
      </c>
      <c r="C5887" t="s">
        <v>3902</v>
      </c>
      <c r="D5887" t="s">
        <v>6088</v>
      </c>
      <c r="E5887" t="s">
        <v>8</v>
      </c>
    </row>
    <row r="5888" spans="1:5" hidden="1" outlineLevel="2">
      <c r="A5888" s="3" t="e">
        <f>(HYPERLINK("http://www.autodoc.ru/Web/price/art/6015AGNBLW?analog=on","6015AGNBLW"))*1</f>
        <v>#VALUE!</v>
      </c>
      <c r="B5888" s="1">
        <v>6960817</v>
      </c>
      <c r="C5888" t="s">
        <v>3902</v>
      </c>
      <c r="D5888" t="s">
        <v>6089</v>
      </c>
      <c r="E5888" t="s">
        <v>8</v>
      </c>
    </row>
    <row r="5889" spans="1:5" hidden="1" outlineLevel="2">
      <c r="A5889" s="3" t="e">
        <f>(HYPERLINK("http://www.autodoc.ru/Web/price/art/6015AKMST?analog=on","6015AKMST"))*1</f>
        <v>#VALUE!</v>
      </c>
      <c r="B5889" s="1">
        <v>6101065</v>
      </c>
      <c r="C5889" t="s">
        <v>19</v>
      </c>
      <c r="D5889" t="s">
        <v>6090</v>
      </c>
      <c r="E5889" t="s">
        <v>21</v>
      </c>
    </row>
    <row r="5890" spans="1:5" hidden="1" outlineLevel="2">
      <c r="A5890" s="3" t="e">
        <f>(HYPERLINK("http://www.autodoc.ru/Web/price/art/6015ASMST?analog=on","6015ASMST"))*1</f>
        <v>#VALUE!</v>
      </c>
      <c r="B5890" s="1">
        <v>6101662</v>
      </c>
      <c r="C5890" t="s">
        <v>19</v>
      </c>
      <c r="D5890" t="s">
        <v>6091</v>
      </c>
      <c r="E5890" t="s">
        <v>21</v>
      </c>
    </row>
    <row r="5891" spans="1:5" hidden="1" outlineLevel="2">
      <c r="A5891" s="3" t="e">
        <f>(HYPERLINK("http://www.autodoc.ru/Web/price/art/6015LGNS4FDW?analog=on","6015LGNS4FDW"))*1</f>
        <v>#VALUE!</v>
      </c>
      <c r="B5891" s="1">
        <v>6999986</v>
      </c>
      <c r="C5891" t="s">
        <v>3902</v>
      </c>
      <c r="D5891" t="s">
        <v>6092</v>
      </c>
      <c r="E5891" t="s">
        <v>10</v>
      </c>
    </row>
    <row r="5892" spans="1:5" hidden="1" outlineLevel="2">
      <c r="A5892" s="3" t="e">
        <f>(HYPERLINK("http://www.autodoc.ru/Web/price/art/6015LGNS4RDW?analog=on","6015LGNS4RDW"))*1</f>
        <v>#VALUE!</v>
      </c>
      <c r="B5892" s="1">
        <v>6900179</v>
      </c>
      <c r="C5892" t="s">
        <v>3902</v>
      </c>
      <c r="D5892" t="s">
        <v>6093</v>
      </c>
      <c r="E5892" t="s">
        <v>10</v>
      </c>
    </row>
    <row r="5893" spans="1:5" hidden="1" outlineLevel="2">
      <c r="A5893" s="3" t="e">
        <f>(HYPERLINK("http://www.autodoc.ru/Web/price/art/6015RGNS4FDW?analog=on","6015RGNS4FDW"))*1</f>
        <v>#VALUE!</v>
      </c>
      <c r="B5893" s="1">
        <v>6900074</v>
      </c>
      <c r="C5893" t="s">
        <v>3902</v>
      </c>
      <c r="D5893" t="s">
        <v>6094</v>
      </c>
      <c r="E5893" t="s">
        <v>10</v>
      </c>
    </row>
    <row r="5894" spans="1:5" hidden="1" outlineLevel="2">
      <c r="A5894" s="3" t="e">
        <f>(HYPERLINK("http://www.autodoc.ru/Web/price/art/6015RGNS4RDW?analog=on","6015RGNS4RDW"))*1</f>
        <v>#VALUE!</v>
      </c>
      <c r="B5894" s="1">
        <v>6900260</v>
      </c>
      <c r="C5894" t="s">
        <v>3902</v>
      </c>
      <c r="D5894" t="s">
        <v>6095</v>
      </c>
      <c r="E5894" t="s">
        <v>10</v>
      </c>
    </row>
    <row r="5895" spans="1:5" hidden="1" outlineLevel="1">
      <c r="A5895" s="2">
        <v>0</v>
      </c>
      <c r="B5895" s="26" t="s">
        <v>6096</v>
      </c>
      <c r="C5895" s="27">
        <v>0</v>
      </c>
      <c r="D5895" s="27">
        <v>0</v>
      </c>
      <c r="E5895" s="27">
        <v>0</v>
      </c>
    </row>
    <row r="5896" spans="1:5" hidden="1" outlineLevel="2">
      <c r="A5896" s="3" t="e">
        <f>(HYPERLINK("http://www.autodoc.ru/Web/price/art/5956ABL?analog=on","5956ABL"))*1</f>
        <v>#VALUE!</v>
      </c>
      <c r="B5896" s="1">
        <v>6969325</v>
      </c>
      <c r="C5896" t="s">
        <v>973</v>
      </c>
      <c r="D5896" t="s">
        <v>6097</v>
      </c>
      <c r="E5896" t="s">
        <v>8</v>
      </c>
    </row>
    <row r="5897" spans="1:5" hidden="1" outlineLevel="2">
      <c r="A5897" s="3" t="e">
        <f>(HYPERLINK("http://www.autodoc.ru/Web/price/art/5956ABLBL?analog=on","5956ABLBL"))*1</f>
        <v>#VALUE!</v>
      </c>
      <c r="B5897" s="1">
        <v>6963488</v>
      </c>
      <c r="C5897" t="s">
        <v>973</v>
      </c>
      <c r="D5897" t="s">
        <v>6098</v>
      </c>
      <c r="E5897" t="s">
        <v>8</v>
      </c>
    </row>
    <row r="5898" spans="1:5" hidden="1" outlineLevel="2">
      <c r="A5898" s="3" t="e">
        <f>(HYPERLINK("http://www.autodoc.ru/Web/price/art/5956ACL?analog=on","5956ACL"))*1</f>
        <v>#VALUE!</v>
      </c>
      <c r="B5898" s="1">
        <v>6969965</v>
      </c>
      <c r="C5898" t="s">
        <v>973</v>
      </c>
      <c r="D5898" t="s">
        <v>6099</v>
      </c>
      <c r="E5898" t="s">
        <v>8</v>
      </c>
    </row>
    <row r="5899" spans="1:5" hidden="1" outlineLevel="2">
      <c r="A5899" s="3" t="e">
        <f>(HYPERLINK("http://www.autodoc.ru/Web/price/art/5956ASRH?analog=on","5956ASRH"))*1</f>
        <v>#VALUE!</v>
      </c>
      <c r="B5899" s="1">
        <v>6100392</v>
      </c>
      <c r="C5899" t="s">
        <v>19</v>
      </c>
      <c r="D5899" t="s">
        <v>6100</v>
      </c>
      <c r="E5899" t="s">
        <v>21</v>
      </c>
    </row>
    <row r="5900" spans="1:5" hidden="1" outlineLevel="2">
      <c r="A5900" s="3" t="e">
        <f>(HYPERLINK("http://www.autodoc.ru/Web/price/art/5956BBLH?analog=on","5956BBLH"))*1</f>
        <v>#VALUE!</v>
      </c>
      <c r="B5900" s="1">
        <v>6998964</v>
      </c>
      <c r="C5900" t="s">
        <v>973</v>
      </c>
      <c r="D5900" t="s">
        <v>6101</v>
      </c>
      <c r="E5900" t="s">
        <v>23</v>
      </c>
    </row>
    <row r="5901" spans="1:5" hidden="1" outlineLevel="2">
      <c r="A5901" s="3" t="e">
        <f>(HYPERLINK("http://www.autodoc.ru/Web/price/art/5956BCLH?analog=on","5956BCLH"))*1</f>
        <v>#VALUE!</v>
      </c>
      <c r="B5901" s="1">
        <v>6998965</v>
      </c>
      <c r="C5901" t="s">
        <v>973</v>
      </c>
      <c r="D5901" t="s">
        <v>6102</v>
      </c>
      <c r="E5901" t="s">
        <v>23</v>
      </c>
    </row>
    <row r="5902" spans="1:5" hidden="1" outlineLevel="2">
      <c r="A5902" s="3" t="e">
        <f>(HYPERLINK("http://www.autodoc.ru/Web/price/art/5956LCLH3RQO?analog=on","5956LCLH3RQO"))*1</f>
        <v>#VALUE!</v>
      </c>
      <c r="B5902" s="1">
        <v>6994142</v>
      </c>
      <c r="C5902" t="s">
        <v>973</v>
      </c>
      <c r="D5902" t="s">
        <v>6103</v>
      </c>
      <c r="E5902" t="s">
        <v>10</v>
      </c>
    </row>
    <row r="5903" spans="1:5" hidden="1" outlineLevel="2">
      <c r="A5903" s="3" t="e">
        <f>(HYPERLINK("http://www.autodoc.ru/Web/price/art/5956RCLH3RQO?analog=on","5956RCLH3RQO"))*1</f>
        <v>#VALUE!</v>
      </c>
      <c r="B5903" s="1">
        <v>6994143</v>
      </c>
      <c r="C5903" t="s">
        <v>973</v>
      </c>
      <c r="D5903" t="s">
        <v>6104</v>
      </c>
      <c r="E5903" t="s">
        <v>10</v>
      </c>
    </row>
    <row r="5904" spans="1:5" hidden="1" outlineLevel="1">
      <c r="A5904" s="2">
        <v>0</v>
      </c>
      <c r="B5904" s="26" t="s">
        <v>6105</v>
      </c>
      <c r="C5904" s="27">
        <v>0</v>
      </c>
      <c r="D5904" s="27">
        <v>0</v>
      </c>
      <c r="E5904" s="27">
        <v>0</v>
      </c>
    </row>
    <row r="5905" spans="1:5" hidden="1" outlineLevel="2">
      <c r="A5905" s="3" t="e">
        <f>(HYPERLINK("http://www.autodoc.ru/Web/price/art/5988ABL?analog=on","5988ABL"))*1</f>
        <v>#VALUE!</v>
      </c>
      <c r="B5905" s="1">
        <v>6969308</v>
      </c>
      <c r="C5905" t="s">
        <v>3829</v>
      </c>
      <c r="D5905" t="s">
        <v>6106</v>
      </c>
      <c r="E5905" t="s">
        <v>8</v>
      </c>
    </row>
    <row r="5906" spans="1:5" hidden="1" outlineLevel="2">
      <c r="A5906" s="3" t="e">
        <f>(HYPERLINK("http://www.autodoc.ru/Web/price/art/5988ABLBL?analog=on","5988ABLBL"))*1</f>
        <v>#VALUE!</v>
      </c>
      <c r="B5906" s="1">
        <v>6969309</v>
      </c>
      <c r="C5906" t="s">
        <v>1710</v>
      </c>
      <c r="D5906" t="s">
        <v>6107</v>
      </c>
      <c r="E5906" t="s">
        <v>8</v>
      </c>
    </row>
    <row r="5907" spans="1:5" hidden="1" outlineLevel="2">
      <c r="A5907" s="3" t="e">
        <f>(HYPERLINK("http://www.autodoc.ru/Web/price/art/5988ACL?analog=on","5988ACL"))*1</f>
        <v>#VALUE!</v>
      </c>
      <c r="B5907" s="1">
        <v>6969306</v>
      </c>
      <c r="C5907" t="s">
        <v>3829</v>
      </c>
      <c r="D5907" t="s">
        <v>6108</v>
      </c>
      <c r="E5907" t="s">
        <v>8</v>
      </c>
    </row>
    <row r="5908" spans="1:5" hidden="1" outlineLevel="2">
      <c r="A5908" s="3" t="e">
        <f>(HYPERLINK("http://www.autodoc.ru/Web/price/art/5988AGN?analog=on","5988AGN"))*1</f>
        <v>#VALUE!</v>
      </c>
      <c r="B5908" s="1">
        <v>6969307</v>
      </c>
      <c r="C5908" t="s">
        <v>3829</v>
      </c>
      <c r="D5908" t="s">
        <v>6109</v>
      </c>
      <c r="E5908" t="s">
        <v>8</v>
      </c>
    </row>
    <row r="5909" spans="1:5" hidden="1" outlineLevel="2">
      <c r="A5909" s="3" t="e">
        <f>(HYPERLINK("http://www.autodoc.ru/Web/price/art/5988AGN1B?analog=on","5988AGN1B"))*1</f>
        <v>#VALUE!</v>
      </c>
      <c r="B5909" s="1">
        <v>6960932</v>
      </c>
      <c r="C5909" t="s">
        <v>3829</v>
      </c>
      <c r="D5909" t="s">
        <v>6110</v>
      </c>
      <c r="E5909" t="s">
        <v>8</v>
      </c>
    </row>
    <row r="5910" spans="1:5" hidden="1" outlineLevel="2">
      <c r="A5910" s="3" t="e">
        <f>(HYPERLINK("http://www.autodoc.ru/Web/price/art/5988AGNBL?analog=on","5988AGNBL"))*1</f>
        <v>#VALUE!</v>
      </c>
      <c r="B5910" s="1">
        <v>6963755</v>
      </c>
      <c r="C5910" t="s">
        <v>3829</v>
      </c>
      <c r="D5910" t="s">
        <v>6111</v>
      </c>
      <c r="E5910" t="s">
        <v>8</v>
      </c>
    </row>
    <row r="5911" spans="1:5" hidden="1" outlineLevel="2">
      <c r="A5911" s="3" t="e">
        <f>(HYPERLINK("http://www.autodoc.ru/Web/price/art/5988AGNBL1B?analog=on","5988AGNBL1B"))*1</f>
        <v>#VALUE!</v>
      </c>
      <c r="B5911" s="1">
        <v>6960838</v>
      </c>
      <c r="C5911" t="s">
        <v>3829</v>
      </c>
      <c r="D5911" t="s">
        <v>6112</v>
      </c>
      <c r="E5911" t="s">
        <v>8</v>
      </c>
    </row>
    <row r="5912" spans="1:5" hidden="1" outlineLevel="2">
      <c r="A5912" s="3" t="e">
        <f>(HYPERLINK("http://www.autodoc.ru/Web/price/art/5988AKMH?analog=on","5988AKMH"))*1</f>
        <v>#VALUE!</v>
      </c>
      <c r="B5912" s="1">
        <v>6100295</v>
      </c>
      <c r="C5912" t="s">
        <v>19</v>
      </c>
      <c r="D5912" t="s">
        <v>6113</v>
      </c>
      <c r="E5912" t="s">
        <v>21</v>
      </c>
    </row>
    <row r="5913" spans="1:5" hidden="1" outlineLevel="2">
      <c r="A5913" s="3" t="e">
        <f>(HYPERLINK("http://www.autodoc.ru/Web/price/art/5988ASGH?analog=on","5988ASGH"))*1</f>
        <v>#VALUE!</v>
      </c>
      <c r="B5913" s="1">
        <v>6101797</v>
      </c>
      <c r="C5913" t="s">
        <v>19</v>
      </c>
      <c r="D5913" t="s">
        <v>6114</v>
      </c>
      <c r="E5913" t="s">
        <v>21</v>
      </c>
    </row>
    <row r="5914" spans="1:5" hidden="1" outlineLevel="2">
      <c r="A5914" s="3" t="e">
        <f>(HYPERLINK("http://www.autodoc.ru/Web/price/art/5988BGNH1H?analog=on","5988BGNH1H"))*1</f>
        <v>#VALUE!</v>
      </c>
      <c r="B5914" s="1">
        <v>6998902</v>
      </c>
      <c r="C5914" t="s">
        <v>3829</v>
      </c>
      <c r="D5914" t="s">
        <v>6115</v>
      </c>
      <c r="E5914" t="s">
        <v>23</v>
      </c>
    </row>
    <row r="5915" spans="1:5" hidden="1" outlineLevel="2">
      <c r="A5915" s="3" t="e">
        <f>(HYPERLINK("http://www.autodoc.ru/Web/price/art/5988BGNHB1P?analog=on","5988BGNHB1P"))*1</f>
        <v>#VALUE!</v>
      </c>
      <c r="B5915" s="1">
        <v>6992775</v>
      </c>
      <c r="C5915" t="s">
        <v>3829</v>
      </c>
      <c r="D5915" t="s">
        <v>6116</v>
      </c>
      <c r="E5915" t="s">
        <v>23</v>
      </c>
    </row>
    <row r="5916" spans="1:5" hidden="1" outlineLevel="2">
      <c r="A5916" s="3" t="e">
        <f>(HYPERLINK("http://www.autodoc.ru/Web/price/art/5988LCLH3FDW?analog=on","5988LCLH3FDW"))*1</f>
        <v>#VALUE!</v>
      </c>
      <c r="B5916" s="1">
        <v>6995793</v>
      </c>
      <c r="C5916" t="s">
        <v>3829</v>
      </c>
      <c r="D5916" t="s">
        <v>6117</v>
      </c>
      <c r="E5916" t="s">
        <v>10</v>
      </c>
    </row>
    <row r="5917" spans="1:5" hidden="1" outlineLevel="2">
      <c r="A5917" s="3" t="e">
        <f>(HYPERLINK("http://www.autodoc.ru/Web/price/art/5988LCLH5FDW?analog=on","5988LCLH5FDW"))*1</f>
        <v>#VALUE!</v>
      </c>
      <c r="B5917" s="1">
        <v>6999269</v>
      </c>
      <c r="C5917" t="s">
        <v>3829</v>
      </c>
      <c r="D5917" t="s">
        <v>6118</v>
      </c>
      <c r="E5917" t="s">
        <v>10</v>
      </c>
    </row>
    <row r="5918" spans="1:5" hidden="1" outlineLevel="2">
      <c r="A5918" s="3" t="e">
        <f>(HYPERLINK("http://www.autodoc.ru/Web/price/art/5988LCLH5RDW?analog=on","5988LCLH5RDW"))*1</f>
        <v>#VALUE!</v>
      </c>
      <c r="B5918" s="1">
        <v>6980545</v>
      </c>
      <c r="C5918" t="s">
        <v>3829</v>
      </c>
      <c r="D5918" t="s">
        <v>6119</v>
      </c>
      <c r="E5918" t="s">
        <v>10</v>
      </c>
    </row>
    <row r="5919" spans="1:5" hidden="1" outlineLevel="2">
      <c r="A5919" s="3" t="e">
        <f>(HYPERLINK("http://www.autodoc.ru/Web/price/art/5988LCLH5RV?analog=on","5988LCLH5RV"))*1</f>
        <v>#VALUE!</v>
      </c>
      <c r="B5919" s="1">
        <v>6993235</v>
      </c>
      <c r="C5919" t="s">
        <v>3829</v>
      </c>
      <c r="D5919" t="s">
        <v>6120</v>
      </c>
      <c r="E5919" t="s">
        <v>10</v>
      </c>
    </row>
    <row r="5920" spans="1:5" hidden="1" outlineLevel="2">
      <c r="A5920" s="3" t="e">
        <f>(HYPERLINK("http://www.autodoc.ru/Web/price/art/5988LGNH3FDW?analog=on","5988LGNH3FDW"))*1</f>
        <v>#VALUE!</v>
      </c>
      <c r="B5920" s="1">
        <v>6996112</v>
      </c>
      <c r="C5920" t="s">
        <v>3829</v>
      </c>
      <c r="D5920" t="s">
        <v>6121</v>
      </c>
      <c r="E5920" t="s">
        <v>10</v>
      </c>
    </row>
    <row r="5921" spans="1:5" hidden="1" outlineLevel="2">
      <c r="A5921" s="3" t="e">
        <f>(HYPERLINK("http://www.autodoc.ru/Web/price/art/5988LGNH5FDW?analog=on","5988LGNH5FDW"))*1</f>
        <v>#VALUE!</v>
      </c>
      <c r="B5921" s="1">
        <v>6995565</v>
      </c>
      <c r="C5921" t="s">
        <v>3829</v>
      </c>
      <c r="D5921" t="s">
        <v>6122</v>
      </c>
      <c r="E5921" t="s">
        <v>10</v>
      </c>
    </row>
    <row r="5922" spans="1:5" hidden="1" outlineLevel="2">
      <c r="A5922" s="3" t="e">
        <f>(HYPERLINK("http://www.autodoc.ru/Web/price/art/5988LGNH5RDW?analog=on","5988LGNH5RDW"))*1</f>
        <v>#VALUE!</v>
      </c>
      <c r="B5922" s="1">
        <v>6992667</v>
      </c>
      <c r="C5922" t="s">
        <v>3829</v>
      </c>
      <c r="D5922" t="s">
        <v>6123</v>
      </c>
      <c r="E5922" t="s">
        <v>10</v>
      </c>
    </row>
    <row r="5923" spans="1:5" hidden="1" outlineLevel="2">
      <c r="A5923" s="3" t="e">
        <f>(HYPERLINK("http://www.autodoc.ru/Web/price/art/5988RBLH5FDW?analog=on","5988RBLH5FDW"))*1</f>
        <v>#VALUE!</v>
      </c>
      <c r="B5923" s="1">
        <v>6980547</v>
      </c>
      <c r="C5923" t="s">
        <v>3829</v>
      </c>
      <c r="D5923" t="s">
        <v>6124</v>
      </c>
      <c r="E5923" t="s">
        <v>10</v>
      </c>
    </row>
    <row r="5924" spans="1:5" hidden="1" outlineLevel="2">
      <c r="A5924" s="3" t="e">
        <f>(HYPERLINK("http://www.autodoc.ru/Web/price/art/5988RCLH3FDW?analog=on","5988RCLH3FDW"))*1</f>
        <v>#VALUE!</v>
      </c>
      <c r="B5924" s="1">
        <v>6995794</v>
      </c>
      <c r="C5924" t="s">
        <v>3829</v>
      </c>
      <c r="D5924" t="s">
        <v>6125</v>
      </c>
      <c r="E5924" t="s">
        <v>10</v>
      </c>
    </row>
    <row r="5925" spans="1:5" hidden="1" outlineLevel="2">
      <c r="A5925" s="3" t="e">
        <f>(HYPERLINK("http://www.autodoc.ru/Web/price/art/5988RCLH5FDW?analog=on","5988RCLH5FDW"))*1</f>
        <v>#VALUE!</v>
      </c>
      <c r="B5925" s="1">
        <v>6999271</v>
      </c>
      <c r="C5925" t="s">
        <v>3829</v>
      </c>
      <c r="D5925" t="s">
        <v>6126</v>
      </c>
      <c r="E5925" t="s">
        <v>10</v>
      </c>
    </row>
    <row r="5926" spans="1:5" hidden="1" outlineLevel="2">
      <c r="A5926" s="3" t="e">
        <f>(HYPERLINK("http://www.autodoc.ru/Web/price/art/5988RCLH5RDW?analog=on","5988RCLH5RDW"))*1</f>
        <v>#VALUE!</v>
      </c>
      <c r="B5926" s="1">
        <v>6980548</v>
      </c>
      <c r="C5926" t="s">
        <v>3829</v>
      </c>
      <c r="D5926" t="s">
        <v>6127</v>
      </c>
      <c r="E5926" t="s">
        <v>10</v>
      </c>
    </row>
    <row r="5927" spans="1:5" hidden="1" outlineLevel="2">
      <c r="A5927" s="3" t="e">
        <f>(HYPERLINK("http://www.autodoc.ru/Web/price/art/5988RCLH5RV?analog=on","5988RCLH5RV"))*1</f>
        <v>#VALUE!</v>
      </c>
      <c r="B5927" s="1">
        <v>6993236</v>
      </c>
      <c r="C5927" t="s">
        <v>3829</v>
      </c>
      <c r="D5927" t="s">
        <v>6128</v>
      </c>
      <c r="E5927" t="s">
        <v>10</v>
      </c>
    </row>
    <row r="5928" spans="1:5" hidden="1" outlineLevel="2">
      <c r="A5928" s="3" t="e">
        <f>(HYPERLINK("http://www.autodoc.ru/Web/price/art/5988RGNH3FDW?analog=on","5988RGNH3FDW"))*1</f>
        <v>#VALUE!</v>
      </c>
      <c r="B5928" s="1">
        <v>6996111</v>
      </c>
      <c r="C5928" t="s">
        <v>3829</v>
      </c>
      <c r="D5928" t="s">
        <v>6129</v>
      </c>
      <c r="E5928" t="s">
        <v>10</v>
      </c>
    </row>
    <row r="5929" spans="1:5" hidden="1" outlineLevel="2">
      <c r="A5929" s="3" t="e">
        <f>(HYPERLINK("http://www.autodoc.ru/Web/price/art/5988RGNH5FDW?analog=on","5988RGNH5FDW"))*1</f>
        <v>#VALUE!</v>
      </c>
      <c r="B5929" s="1">
        <v>6995566</v>
      </c>
      <c r="C5929" t="s">
        <v>3829</v>
      </c>
      <c r="D5929" t="s">
        <v>6130</v>
      </c>
      <c r="E5929" t="s">
        <v>10</v>
      </c>
    </row>
    <row r="5930" spans="1:5" hidden="1" outlineLevel="1">
      <c r="A5930" s="2">
        <v>0</v>
      </c>
      <c r="B5930" s="26" t="s">
        <v>6131</v>
      </c>
      <c r="C5930" s="27">
        <v>0</v>
      </c>
      <c r="D5930" s="27">
        <v>0</v>
      </c>
      <c r="E5930" s="27">
        <v>0</v>
      </c>
    </row>
    <row r="5931" spans="1:5" hidden="1" outlineLevel="2">
      <c r="A5931" s="3" t="e">
        <f>(HYPERLINK("http://www.autodoc.ru/Web/price/art/6011AGNMV1B?analog=on","6011AGNMV1B"))*1</f>
        <v>#VALUE!</v>
      </c>
      <c r="B5931" s="1">
        <v>6960943</v>
      </c>
      <c r="C5931" t="s">
        <v>896</v>
      </c>
      <c r="D5931" t="s">
        <v>6132</v>
      </c>
      <c r="E5931" t="s">
        <v>8</v>
      </c>
    </row>
    <row r="5932" spans="1:5" hidden="1" outlineLevel="2">
      <c r="A5932" s="3" t="e">
        <f>(HYPERLINK("http://www.autodoc.ru/Web/price/art/6011AGNV?analog=on","6011AGNV"))*1</f>
        <v>#VALUE!</v>
      </c>
      <c r="B5932" s="1">
        <v>6960995</v>
      </c>
      <c r="C5932" t="s">
        <v>896</v>
      </c>
      <c r="D5932" t="s">
        <v>6133</v>
      </c>
      <c r="E5932" t="s">
        <v>8</v>
      </c>
    </row>
    <row r="5933" spans="1:5" hidden="1" outlineLevel="2">
      <c r="A5933" s="3" t="e">
        <f>(HYPERLINK("http://www.autodoc.ru/Web/price/art/6011ASMH?analog=on","6011ASMH"))*1</f>
        <v>#VALUE!</v>
      </c>
      <c r="B5933" s="1">
        <v>6101551</v>
      </c>
      <c r="C5933" t="s">
        <v>19</v>
      </c>
      <c r="D5933" t="s">
        <v>6134</v>
      </c>
      <c r="E5933" t="s">
        <v>21</v>
      </c>
    </row>
    <row r="5934" spans="1:5" hidden="1" outlineLevel="2">
      <c r="A5934" s="3" t="e">
        <f>(HYPERLINK("http://www.autodoc.ru/Web/price/art/6011BGNHW?analog=on","6011BGNHW"))*1</f>
        <v>#VALUE!</v>
      </c>
      <c r="B5934" s="1">
        <v>6993976</v>
      </c>
      <c r="C5934" t="s">
        <v>896</v>
      </c>
      <c r="D5934" t="s">
        <v>6135</v>
      </c>
      <c r="E5934" t="s">
        <v>23</v>
      </c>
    </row>
    <row r="5935" spans="1:5" hidden="1" outlineLevel="2">
      <c r="A5935" s="3" t="e">
        <f>(HYPERLINK("http://www.autodoc.ru/Web/price/art/6011BGNHBW1H?analog=on","6011BGNHBW1H"))*1</f>
        <v>#VALUE!</v>
      </c>
      <c r="B5935" s="1">
        <v>6999908</v>
      </c>
      <c r="C5935" t="s">
        <v>896</v>
      </c>
      <c r="D5935" t="s">
        <v>6136</v>
      </c>
      <c r="E5935" t="s">
        <v>23</v>
      </c>
    </row>
    <row r="5936" spans="1:5" hidden="1" outlineLevel="2">
      <c r="A5936" s="3" t="e">
        <f>(HYPERLINK("http://www.autodoc.ru/Web/price/art/6011LGNH3FDW?analog=on","6011LGNH3FDW"))*1</f>
        <v>#VALUE!</v>
      </c>
      <c r="B5936" s="1">
        <v>6993284</v>
      </c>
      <c r="C5936" t="s">
        <v>896</v>
      </c>
      <c r="D5936" t="s">
        <v>6137</v>
      </c>
      <c r="E5936" t="s">
        <v>10</v>
      </c>
    </row>
    <row r="5937" spans="1:5" hidden="1" outlineLevel="2">
      <c r="A5937" s="3" t="e">
        <f>(HYPERLINK("http://www.autodoc.ru/Web/price/art/6011LGNH3RQ?analog=on","6011LGNH3RQ"))*1</f>
        <v>#VALUE!</v>
      </c>
      <c r="B5937" s="1">
        <v>6997586</v>
      </c>
      <c r="C5937" t="s">
        <v>896</v>
      </c>
      <c r="D5937" t="s">
        <v>6138</v>
      </c>
      <c r="E5937" t="s">
        <v>10</v>
      </c>
    </row>
    <row r="5938" spans="1:5" hidden="1" outlineLevel="2">
      <c r="A5938" s="3" t="e">
        <f>(HYPERLINK("http://www.autodoc.ru/Web/price/art/6011LGNH5FDW?analog=on","6011LGNH5FDW"))*1</f>
        <v>#VALUE!</v>
      </c>
      <c r="B5938" s="1">
        <v>6993286</v>
      </c>
      <c r="C5938" t="s">
        <v>896</v>
      </c>
      <c r="D5938" t="s">
        <v>6137</v>
      </c>
      <c r="E5938" t="s">
        <v>10</v>
      </c>
    </row>
    <row r="5939" spans="1:5" hidden="1" outlineLevel="2">
      <c r="A5939" s="3" t="e">
        <f>(HYPERLINK("http://www.autodoc.ru/Web/price/art/6011LGNH5RDW?analog=on","6011LGNH5RDW"))*1</f>
        <v>#VALUE!</v>
      </c>
      <c r="B5939" s="1">
        <v>6993977</v>
      </c>
      <c r="C5939" t="s">
        <v>896</v>
      </c>
      <c r="D5939" t="s">
        <v>6139</v>
      </c>
      <c r="E5939" t="s">
        <v>10</v>
      </c>
    </row>
    <row r="5940" spans="1:5" hidden="1" outlineLevel="2">
      <c r="A5940" s="3" t="e">
        <f>(HYPERLINK("http://www.autodoc.ru/Web/price/art/6011LGNH5RV?analog=on","6011LGNH5RV"))*1</f>
        <v>#VALUE!</v>
      </c>
      <c r="B5940" s="1">
        <v>6900552</v>
      </c>
      <c r="C5940" t="s">
        <v>896</v>
      </c>
      <c r="D5940" t="s">
        <v>6140</v>
      </c>
      <c r="E5940" t="s">
        <v>10</v>
      </c>
    </row>
    <row r="5941" spans="1:5" hidden="1" outlineLevel="2">
      <c r="A5941" s="3" t="e">
        <f>(HYPERLINK("http://www.autodoc.ru/Web/price/art/6011RGNH3FDW?analog=on","6011RGNH3FDW"))*1</f>
        <v>#VALUE!</v>
      </c>
      <c r="B5941" s="1">
        <v>6993283</v>
      </c>
      <c r="C5941" t="s">
        <v>896</v>
      </c>
      <c r="D5941" t="s">
        <v>6141</v>
      </c>
      <c r="E5941" t="s">
        <v>10</v>
      </c>
    </row>
    <row r="5942" spans="1:5" hidden="1" outlineLevel="2">
      <c r="A5942" s="3" t="e">
        <f>(HYPERLINK("http://www.autodoc.ru/Web/price/art/6011RGNH3RQ?analog=on","6011RGNH3RQ"))*1</f>
        <v>#VALUE!</v>
      </c>
      <c r="B5942" s="1">
        <v>6997587</v>
      </c>
      <c r="C5942" t="s">
        <v>896</v>
      </c>
      <c r="D5942" t="s">
        <v>6142</v>
      </c>
      <c r="E5942" t="s">
        <v>10</v>
      </c>
    </row>
    <row r="5943" spans="1:5" hidden="1" outlineLevel="2">
      <c r="A5943" s="3" t="e">
        <f>(HYPERLINK("http://www.autodoc.ru/Web/price/art/6011RGNH5FDW?analog=on","6011RGNH5FDW"))*1</f>
        <v>#VALUE!</v>
      </c>
      <c r="B5943" s="1">
        <v>6993285</v>
      </c>
      <c r="C5943" t="s">
        <v>896</v>
      </c>
      <c r="D5943" t="s">
        <v>6141</v>
      </c>
      <c r="E5943" t="s">
        <v>10</v>
      </c>
    </row>
    <row r="5944" spans="1:5" hidden="1" outlineLevel="2">
      <c r="A5944" s="3" t="e">
        <f>(HYPERLINK("http://www.autodoc.ru/Web/price/art/6011RGNH5RDW?analog=on","6011RGNH5RDW"))*1</f>
        <v>#VALUE!</v>
      </c>
      <c r="B5944" s="1">
        <v>6993978</v>
      </c>
      <c r="C5944" t="s">
        <v>896</v>
      </c>
      <c r="D5944" t="s">
        <v>6143</v>
      </c>
      <c r="E5944" t="s">
        <v>10</v>
      </c>
    </row>
    <row r="5945" spans="1:5" hidden="1" outlineLevel="2">
      <c r="A5945" s="3" t="e">
        <f>(HYPERLINK("http://www.autodoc.ru/Web/price/art/6011RGNH5RV?analog=on","6011RGNH5RV"))*1</f>
        <v>#VALUE!</v>
      </c>
      <c r="B5945" s="1">
        <v>6900553</v>
      </c>
      <c r="C5945" t="s">
        <v>896</v>
      </c>
      <c r="D5945" t="s">
        <v>6144</v>
      </c>
      <c r="E5945" t="s">
        <v>10</v>
      </c>
    </row>
    <row r="5946" spans="1:5" hidden="1" outlineLevel="1">
      <c r="A5946" s="2">
        <v>0</v>
      </c>
      <c r="B5946" s="26" t="s">
        <v>6145</v>
      </c>
      <c r="C5946" s="27">
        <v>0</v>
      </c>
      <c r="D5946" s="27">
        <v>0</v>
      </c>
      <c r="E5946" s="27">
        <v>0</v>
      </c>
    </row>
    <row r="5947" spans="1:5" hidden="1" outlineLevel="2">
      <c r="A5947" s="3" t="e">
        <f>(HYPERLINK("http://www.autodoc.ru/Web/price/art/6039LGNT2FD?analog=on","6039LGNT2FD"))*1</f>
        <v>#VALUE!</v>
      </c>
      <c r="B5947" s="1">
        <v>6900740</v>
      </c>
      <c r="C5947" t="s">
        <v>904</v>
      </c>
      <c r="D5947" t="s">
        <v>6146</v>
      </c>
      <c r="E5947" t="s">
        <v>10</v>
      </c>
    </row>
    <row r="5948" spans="1:5" hidden="1" outlineLevel="1">
      <c r="A5948" s="2">
        <v>0</v>
      </c>
      <c r="B5948" s="26" t="s">
        <v>6147</v>
      </c>
      <c r="C5948" s="27">
        <v>0</v>
      </c>
      <c r="D5948" s="27">
        <v>0</v>
      </c>
      <c r="E5948" s="27">
        <v>0</v>
      </c>
    </row>
    <row r="5949" spans="1:5" hidden="1" outlineLevel="2">
      <c r="A5949" s="3" t="e">
        <f>(HYPERLINK("http://www.autodoc.ru/Web/price/art/6076AGNMV1B?analog=on","6076AGNMV1B"))*1</f>
        <v>#VALUE!</v>
      </c>
      <c r="B5949" s="1">
        <v>6965657</v>
      </c>
      <c r="C5949" t="s">
        <v>965</v>
      </c>
      <c r="D5949" t="s">
        <v>6148</v>
      </c>
      <c r="E5949" t="s">
        <v>10</v>
      </c>
    </row>
    <row r="5950" spans="1:5" hidden="1" outlineLevel="2">
      <c r="A5950" s="3" t="e">
        <f>(HYPERLINK("http://www.autodoc.ru/Web/price/art/6076AGNV?analog=on","6076AGNV"))*1</f>
        <v>#VALUE!</v>
      </c>
      <c r="B5950" s="1">
        <v>6965656</v>
      </c>
      <c r="C5950" t="s">
        <v>965</v>
      </c>
      <c r="D5950" t="s">
        <v>6149</v>
      </c>
      <c r="E5950" t="s">
        <v>8</v>
      </c>
    </row>
    <row r="5951" spans="1:5" hidden="1" outlineLevel="1">
      <c r="A5951" s="2">
        <v>0</v>
      </c>
      <c r="B5951" s="26" t="s">
        <v>6150</v>
      </c>
      <c r="C5951" s="27">
        <v>0</v>
      </c>
      <c r="D5951" s="27">
        <v>0</v>
      </c>
      <c r="E5951" s="27">
        <v>0</v>
      </c>
    </row>
    <row r="5952" spans="1:5" hidden="1" outlineLevel="2">
      <c r="A5952" s="3" t="e">
        <f>(HYPERLINK("http://www.autodoc.ru/Web/price/art/6032AGSBLVZ?analog=on","6032AGSBLVZ"))*1</f>
        <v>#VALUE!</v>
      </c>
      <c r="B5952" s="1">
        <v>6961317</v>
      </c>
      <c r="C5952" t="s">
        <v>425</v>
      </c>
      <c r="D5952" t="s">
        <v>6151</v>
      </c>
      <c r="E5952" t="s">
        <v>8</v>
      </c>
    </row>
    <row r="5953" spans="1:5" hidden="1" outlineLevel="2">
      <c r="A5953" s="3" t="e">
        <f>(HYPERLINK("http://www.autodoc.ru/Web/price/art/6032AGSBLZ?analog=on","6032AGSBLZ"))*1</f>
        <v>#VALUE!</v>
      </c>
      <c r="B5953" s="1">
        <v>6962918</v>
      </c>
      <c r="C5953" t="s">
        <v>425</v>
      </c>
      <c r="D5953" t="s">
        <v>6152</v>
      </c>
      <c r="E5953" t="s">
        <v>8</v>
      </c>
    </row>
    <row r="5954" spans="1:5" hidden="1" outlineLevel="2">
      <c r="A5954" s="3" t="e">
        <f>(HYPERLINK("http://www.autodoc.ru/Web/price/art/6032LGSR5FDW?analog=on","6032LGSR5FDW"))*1</f>
        <v>#VALUE!</v>
      </c>
      <c r="B5954" s="1">
        <v>6999987</v>
      </c>
      <c r="C5954" t="s">
        <v>425</v>
      </c>
      <c r="D5954" t="s">
        <v>6153</v>
      </c>
      <c r="E5954" t="s">
        <v>10</v>
      </c>
    </row>
    <row r="5955" spans="1:5" hidden="1" outlineLevel="2">
      <c r="A5955" s="3" t="e">
        <f>(HYPERLINK("http://www.autodoc.ru/Web/price/art/6032RGSR5FDW?analog=on","6032RGSR5FDW"))*1</f>
        <v>#VALUE!</v>
      </c>
      <c r="B5955" s="1">
        <v>6900075</v>
      </c>
      <c r="C5955" t="s">
        <v>425</v>
      </c>
      <c r="D5955" t="s">
        <v>6154</v>
      </c>
      <c r="E5955" t="s">
        <v>10</v>
      </c>
    </row>
    <row r="5956" spans="1:5" hidden="1" outlineLevel="1">
      <c r="A5956" s="2">
        <v>0</v>
      </c>
      <c r="B5956" s="26" t="s">
        <v>6155</v>
      </c>
      <c r="C5956" s="27">
        <v>0</v>
      </c>
      <c r="D5956" s="27">
        <v>0</v>
      </c>
      <c r="E5956" s="27">
        <v>0</v>
      </c>
    </row>
    <row r="5957" spans="1:5" hidden="1" outlineLevel="2">
      <c r="A5957" s="3" t="e">
        <f>(HYPERLINK("http://www.autodoc.ru/Web/price/art/6051AGSBLMWZ?analog=on","6051AGSBLMWZ"))*1</f>
        <v>#VALUE!</v>
      </c>
      <c r="B5957" s="1">
        <v>6964755</v>
      </c>
      <c r="C5957" t="s">
        <v>19</v>
      </c>
      <c r="D5957" t="s">
        <v>6156</v>
      </c>
      <c r="E5957" t="s">
        <v>8</v>
      </c>
    </row>
    <row r="5958" spans="1:5" hidden="1" outlineLevel="1">
      <c r="A5958" s="2">
        <v>0</v>
      </c>
      <c r="B5958" s="26" t="s">
        <v>6157</v>
      </c>
      <c r="C5958" s="27">
        <v>0</v>
      </c>
      <c r="D5958" s="27">
        <v>0</v>
      </c>
      <c r="E5958" s="27">
        <v>0</v>
      </c>
    </row>
    <row r="5959" spans="1:5" hidden="1" outlineLevel="2">
      <c r="A5959" s="3" t="e">
        <f>(HYPERLINK("http://www.autodoc.ru/Web/price/art/6041AGSMVW1B?analog=on","6041AGSMVW1B"))*1</f>
        <v>#VALUE!</v>
      </c>
      <c r="B5959" s="1">
        <v>6961596</v>
      </c>
      <c r="C5959" t="s">
        <v>389</v>
      </c>
      <c r="D5959" t="s">
        <v>6158</v>
      </c>
      <c r="E5959" t="s">
        <v>8</v>
      </c>
    </row>
    <row r="5960" spans="1:5" hidden="1" outlineLevel="2">
      <c r="A5960" s="3" t="e">
        <f>(HYPERLINK("http://www.autodoc.ru/Web/price/art/6041AGSVW?analog=on","6041AGSVW"))*1</f>
        <v>#VALUE!</v>
      </c>
      <c r="B5960" s="1">
        <v>6961595</v>
      </c>
      <c r="C5960" t="s">
        <v>389</v>
      </c>
      <c r="D5960" t="s">
        <v>6159</v>
      </c>
      <c r="E5960" t="s">
        <v>8</v>
      </c>
    </row>
    <row r="5961" spans="1:5" hidden="1" outlineLevel="2">
      <c r="A5961" s="3" t="e">
        <f>(HYPERLINK("http://www.autodoc.ru/Web/price/art/6041ASMH?analog=on","6041ASMH"))*1</f>
        <v>#VALUE!</v>
      </c>
      <c r="B5961" s="1">
        <v>6102141</v>
      </c>
      <c r="C5961" t="s">
        <v>19</v>
      </c>
      <c r="D5961" t="s">
        <v>6160</v>
      </c>
      <c r="E5961" t="s">
        <v>21</v>
      </c>
    </row>
    <row r="5962" spans="1:5" hidden="1" outlineLevel="2">
      <c r="A5962" s="3" t="e">
        <f>(HYPERLINK("http://www.autodoc.ru/Web/price/art/6041BGSHW?analog=on","6041BGSHW"))*1</f>
        <v>#VALUE!</v>
      </c>
      <c r="B5962" s="1">
        <v>6999909</v>
      </c>
      <c r="C5962" t="s">
        <v>389</v>
      </c>
      <c r="D5962" t="s">
        <v>6161</v>
      </c>
      <c r="E5962" t="s">
        <v>23</v>
      </c>
    </row>
    <row r="5963" spans="1:5" hidden="1" outlineLevel="2">
      <c r="A5963" s="3" t="e">
        <f>(HYPERLINK("http://www.autodoc.ru/Web/price/art/6041BYPHW?analog=on","6041BYPHW"))*1</f>
        <v>#VALUE!</v>
      </c>
      <c r="B5963" s="1">
        <v>6999910</v>
      </c>
      <c r="C5963" t="s">
        <v>389</v>
      </c>
      <c r="D5963" t="s">
        <v>6162</v>
      </c>
      <c r="E5963" t="s">
        <v>23</v>
      </c>
    </row>
    <row r="5964" spans="1:5" hidden="1" outlineLevel="2">
      <c r="A5964" s="3" t="e">
        <f>(HYPERLINK("http://www.autodoc.ru/Web/price/art/6041LGSH5FDW?analog=on","6041LGSH5FDW"))*1</f>
        <v>#VALUE!</v>
      </c>
      <c r="B5964" s="1">
        <v>6999988</v>
      </c>
      <c r="C5964" t="s">
        <v>389</v>
      </c>
      <c r="D5964" t="s">
        <v>6163</v>
      </c>
      <c r="E5964" t="s">
        <v>10</v>
      </c>
    </row>
    <row r="5965" spans="1:5" hidden="1" outlineLevel="2">
      <c r="A5965" s="3" t="e">
        <f>(HYPERLINK("http://www.autodoc.ru/Web/price/art/6041LGSH5RDW?analog=on","6041LGSH5RDW"))*1</f>
        <v>#VALUE!</v>
      </c>
      <c r="B5965" s="1">
        <v>6900582</v>
      </c>
      <c r="C5965" t="s">
        <v>389</v>
      </c>
      <c r="D5965" t="s">
        <v>6164</v>
      </c>
      <c r="E5965" t="s">
        <v>10</v>
      </c>
    </row>
    <row r="5966" spans="1:5" hidden="1" outlineLevel="2">
      <c r="A5966" s="3" t="e">
        <f>(HYPERLINK("http://www.autodoc.ru/Web/price/art/6041LGSH5RQW?analog=on","6041LGSH5RQW"))*1</f>
        <v>#VALUE!</v>
      </c>
      <c r="B5966" s="1">
        <v>6900835</v>
      </c>
      <c r="C5966" t="s">
        <v>389</v>
      </c>
      <c r="D5966" t="s">
        <v>6165</v>
      </c>
      <c r="E5966" t="s">
        <v>10</v>
      </c>
    </row>
    <row r="5967" spans="1:5" hidden="1" outlineLevel="2">
      <c r="A5967" s="3" t="e">
        <f>(HYPERLINK("http://www.autodoc.ru/Web/price/art/6041LYPH5RDW?analog=on","6041LYPH5RDW"))*1</f>
        <v>#VALUE!</v>
      </c>
      <c r="B5967" s="1">
        <v>6900833</v>
      </c>
      <c r="C5967" t="s">
        <v>389</v>
      </c>
      <c r="D5967" t="s">
        <v>6166</v>
      </c>
      <c r="E5967" t="s">
        <v>10</v>
      </c>
    </row>
    <row r="5968" spans="1:5" hidden="1" outlineLevel="2">
      <c r="A5968" s="3" t="e">
        <f>(HYPERLINK("http://www.autodoc.ru/Web/price/art/6041RGSH5FDW?analog=on","6041RGSH5FDW"))*1</f>
        <v>#VALUE!</v>
      </c>
      <c r="B5968" s="1">
        <v>6900076</v>
      </c>
      <c r="C5968" t="s">
        <v>389</v>
      </c>
      <c r="D5968" t="s">
        <v>6167</v>
      </c>
      <c r="E5968" t="s">
        <v>10</v>
      </c>
    </row>
    <row r="5969" spans="1:5" hidden="1" outlineLevel="2">
      <c r="A5969" s="3" t="e">
        <f>(HYPERLINK("http://www.autodoc.ru/Web/price/art/6041RGSH5RDW?analog=on","6041RGSH5RDW"))*1</f>
        <v>#VALUE!</v>
      </c>
      <c r="B5969" s="1">
        <v>6900583</v>
      </c>
      <c r="C5969" t="s">
        <v>389</v>
      </c>
      <c r="D5969" t="s">
        <v>6168</v>
      </c>
      <c r="E5969" t="s">
        <v>10</v>
      </c>
    </row>
    <row r="5970" spans="1:5" hidden="1" outlineLevel="2">
      <c r="A5970" s="3" t="e">
        <f>(HYPERLINK("http://www.autodoc.ru/Web/price/art/6041RGSH5RQW?analog=on","6041RGSH5RQW"))*1</f>
        <v>#VALUE!</v>
      </c>
      <c r="B5970" s="1">
        <v>6900836</v>
      </c>
      <c r="C5970" t="s">
        <v>389</v>
      </c>
      <c r="D5970" t="s">
        <v>6169</v>
      </c>
      <c r="E5970" t="s">
        <v>10</v>
      </c>
    </row>
    <row r="5971" spans="1:5" hidden="1" outlineLevel="2">
      <c r="A5971" s="3" t="e">
        <f>(HYPERLINK("http://www.autodoc.ru/Web/price/art/6041RYPH5RDW?analog=on","6041RYPH5RDW"))*1</f>
        <v>#VALUE!</v>
      </c>
      <c r="B5971" s="1">
        <v>6900834</v>
      </c>
      <c r="C5971" t="s">
        <v>389</v>
      </c>
      <c r="D5971" t="s">
        <v>6170</v>
      </c>
      <c r="E5971" t="s">
        <v>10</v>
      </c>
    </row>
    <row r="5972" spans="1:5" hidden="1" outlineLevel="1">
      <c r="A5972" s="2">
        <v>0</v>
      </c>
      <c r="B5972" s="26" t="s">
        <v>6171</v>
      </c>
      <c r="C5972" s="27">
        <v>0</v>
      </c>
      <c r="D5972" s="27">
        <v>0</v>
      </c>
      <c r="E5972" s="27">
        <v>0</v>
      </c>
    </row>
    <row r="5973" spans="1:5" hidden="1" outlineLevel="2">
      <c r="A5973" s="3" t="e">
        <f>(HYPERLINK("http://www.autodoc.ru/Web/price/art/6005AGN?analog=on","6005AGN"))*1</f>
        <v>#VALUE!</v>
      </c>
      <c r="B5973" s="1">
        <v>6950236</v>
      </c>
      <c r="C5973" t="s">
        <v>72</v>
      </c>
      <c r="D5973" t="s">
        <v>6172</v>
      </c>
      <c r="E5973" t="s">
        <v>8</v>
      </c>
    </row>
    <row r="5974" spans="1:5" hidden="1" outlineLevel="2">
      <c r="A5974" s="3" t="e">
        <f>(HYPERLINK("http://www.autodoc.ru/Web/price/art/6005AGNBLA?analog=on","6005AGNBLA"))*1</f>
        <v>#VALUE!</v>
      </c>
      <c r="B5974" s="1">
        <v>6963022</v>
      </c>
      <c r="C5974" t="s">
        <v>72</v>
      </c>
      <c r="D5974" t="s">
        <v>6173</v>
      </c>
      <c r="E5974" t="s">
        <v>8</v>
      </c>
    </row>
    <row r="5975" spans="1:5" hidden="1" outlineLevel="2">
      <c r="A5975" s="3" t="e">
        <f>(HYPERLINK("http://www.autodoc.ru/Web/price/art/6005ASMRT?analog=on","6005ASMRT"))*1</f>
        <v>#VALUE!</v>
      </c>
      <c r="B5975" s="1">
        <v>6102362</v>
      </c>
      <c r="C5975" t="s">
        <v>19</v>
      </c>
      <c r="D5975" t="s">
        <v>6174</v>
      </c>
      <c r="E5975" t="s">
        <v>21</v>
      </c>
    </row>
    <row r="5976" spans="1:5" hidden="1" outlineLevel="2">
      <c r="A5976" s="3" t="e">
        <f>(HYPERLINK("http://www.autodoc.ru/Web/price/art/6005BGNR?analog=on","6005BGNR"))*1</f>
        <v>#VALUE!</v>
      </c>
      <c r="B5976" s="1">
        <v>6999911</v>
      </c>
      <c r="C5976" t="s">
        <v>72</v>
      </c>
      <c r="D5976" t="s">
        <v>6175</v>
      </c>
      <c r="E5976" t="s">
        <v>23</v>
      </c>
    </row>
    <row r="5977" spans="1:5" hidden="1" outlineLevel="2">
      <c r="A5977" s="3" t="e">
        <f>(HYPERLINK("http://www.autodoc.ru/Web/price/art/6005LGNR5FDW?analog=on","6005LGNR5FDW"))*1</f>
        <v>#VALUE!</v>
      </c>
      <c r="B5977" s="1">
        <v>6999990</v>
      </c>
      <c r="C5977" t="s">
        <v>72</v>
      </c>
      <c r="D5977" t="s">
        <v>6176</v>
      </c>
      <c r="E5977" t="s">
        <v>10</v>
      </c>
    </row>
    <row r="5978" spans="1:5" hidden="1" outlineLevel="2">
      <c r="A5978" s="3" t="e">
        <f>(HYPERLINK("http://www.autodoc.ru/Web/price/art/6005LGNR5RV?analog=on","6005LGNR5RV"))*1</f>
        <v>#VALUE!</v>
      </c>
      <c r="B5978" s="1">
        <v>6900301</v>
      </c>
      <c r="C5978" t="s">
        <v>72</v>
      </c>
      <c r="D5978" t="s">
        <v>6177</v>
      </c>
      <c r="E5978" t="s">
        <v>10</v>
      </c>
    </row>
    <row r="5979" spans="1:5" hidden="1" outlineLevel="2">
      <c r="A5979" s="3" t="e">
        <f>(HYPERLINK("http://www.autodoc.ru/Web/price/art/6005RGNR5FDW?analog=on","6005RGNR5FDW"))*1</f>
        <v>#VALUE!</v>
      </c>
      <c r="B5979" s="1">
        <v>6900078</v>
      </c>
      <c r="C5979" t="s">
        <v>72</v>
      </c>
      <c r="D5979" t="s">
        <v>6178</v>
      </c>
      <c r="E5979" t="s">
        <v>10</v>
      </c>
    </row>
    <row r="5980" spans="1:5" hidden="1" outlineLevel="2">
      <c r="A5980" s="3" t="e">
        <f>(HYPERLINK("http://www.autodoc.ru/Web/price/art/6005RGNR5RV?analog=on","6005RGNR5RV"))*1</f>
        <v>#VALUE!</v>
      </c>
      <c r="B5980" s="1">
        <v>6900319</v>
      </c>
      <c r="C5980" t="s">
        <v>72</v>
      </c>
      <c r="D5980" t="s">
        <v>6179</v>
      </c>
      <c r="E5980" t="s">
        <v>10</v>
      </c>
    </row>
    <row r="5981" spans="1:5" hidden="1" outlineLevel="1">
      <c r="A5981" s="2">
        <v>0</v>
      </c>
      <c r="B5981" s="26" t="s">
        <v>6180</v>
      </c>
      <c r="C5981" s="27">
        <v>0</v>
      </c>
      <c r="D5981" s="27">
        <v>0</v>
      </c>
      <c r="E5981" s="27">
        <v>0</v>
      </c>
    </row>
    <row r="5982" spans="1:5" hidden="1" outlineLevel="2">
      <c r="A5982" s="3" t="e">
        <f>(HYPERLINK("http://www.autodoc.ru/Web/price/art/6037AGSBLMVZ1B?analog=on","6037AGSBLMVZ1B"))*1</f>
        <v>#VALUE!</v>
      </c>
      <c r="B5982" s="1">
        <v>6962018</v>
      </c>
      <c r="C5982" t="s">
        <v>890</v>
      </c>
      <c r="D5982" t="s">
        <v>6181</v>
      </c>
      <c r="E5982" t="s">
        <v>8</v>
      </c>
    </row>
    <row r="5983" spans="1:5" hidden="1" outlineLevel="2">
      <c r="A5983" s="3" t="e">
        <f>(HYPERLINK("http://www.autodoc.ru/Web/price/art/6037AGSBLVZ?analog=on","6037AGSBLVZ"))*1</f>
        <v>#VALUE!</v>
      </c>
      <c r="B5983" s="1">
        <v>6961473</v>
      </c>
      <c r="C5983" t="s">
        <v>890</v>
      </c>
      <c r="D5983" t="s">
        <v>6182</v>
      </c>
      <c r="E5983" t="s">
        <v>8</v>
      </c>
    </row>
    <row r="5984" spans="1:5" hidden="1" outlineLevel="2">
      <c r="A5984" s="3" t="e">
        <f>(HYPERLINK("http://www.autodoc.ru/Web/price/art/6037ASMR?analog=on","6037ASMR"))*1</f>
        <v>#VALUE!</v>
      </c>
      <c r="B5984" s="1">
        <v>6102630</v>
      </c>
      <c r="C5984" t="s">
        <v>19</v>
      </c>
      <c r="D5984" t="s">
        <v>6183</v>
      </c>
      <c r="E5984" t="s">
        <v>21</v>
      </c>
    </row>
    <row r="5985" spans="1:5" hidden="1" outlineLevel="2">
      <c r="A5985" s="3" t="e">
        <f>(HYPERLINK("http://www.autodoc.ru/Web/price/art/6037BGNP?analog=on","6037BGNP"))*1</f>
        <v>#VALUE!</v>
      </c>
      <c r="B5985" s="1">
        <v>6900963</v>
      </c>
      <c r="C5985" t="s">
        <v>890</v>
      </c>
      <c r="D5985" t="s">
        <v>6184</v>
      </c>
      <c r="E5985" t="s">
        <v>23</v>
      </c>
    </row>
    <row r="5986" spans="1:5" hidden="1" outlineLevel="2">
      <c r="A5986" s="3" t="e">
        <f>(HYPERLINK("http://www.autodoc.ru/Web/price/art/6037BGSRBOW?analog=on","6037BGSRBOW"))*1</f>
        <v>#VALUE!</v>
      </c>
      <c r="B5986" s="1">
        <v>6900965</v>
      </c>
      <c r="C5986" t="s">
        <v>890</v>
      </c>
      <c r="D5986" t="s">
        <v>6185</v>
      </c>
      <c r="E5986" t="s">
        <v>23</v>
      </c>
    </row>
    <row r="5987" spans="1:5" hidden="1" outlineLevel="2">
      <c r="A5987" s="3" t="e">
        <f>(HYPERLINK("http://www.autodoc.ru/Web/price/art/6037BYPRBOW?analog=on","6037BYPRBOW"))*1</f>
        <v>#VALUE!</v>
      </c>
      <c r="B5987" s="1">
        <v>6900966</v>
      </c>
      <c r="C5987" t="s">
        <v>890</v>
      </c>
      <c r="D5987" t="s">
        <v>6186</v>
      </c>
      <c r="E5987" t="s">
        <v>23</v>
      </c>
    </row>
    <row r="5988" spans="1:5" hidden="1" outlineLevel="2">
      <c r="A5988" s="3" t="e">
        <f>(HYPERLINK("http://www.autodoc.ru/Web/price/art/6037LGNR5RDW?analog=on","6037LGNR5RDW"))*1</f>
        <v>#VALUE!</v>
      </c>
      <c r="B5988" s="1">
        <v>6900180</v>
      </c>
      <c r="C5988" t="s">
        <v>890</v>
      </c>
      <c r="D5988" t="s">
        <v>6187</v>
      </c>
      <c r="E5988" t="s">
        <v>10</v>
      </c>
    </row>
    <row r="5989" spans="1:5" hidden="1" outlineLevel="2">
      <c r="A5989" s="3" t="e">
        <f>(HYPERLINK("http://www.autodoc.ru/Web/price/art/6037LGSR5FDW?analog=on","6037LGSR5FDW"))*1</f>
        <v>#VALUE!</v>
      </c>
      <c r="B5989" s="1">
        <v>6999989</v>
      </c>
      <c r="C5989" t="s">
        <v>890</v>
      </c>
      <c r="D5989" t="s">
        <v>6188</v>
      </c>
      <c r="E5989" t="s">
        <v>10</v>
      </c>
    </row>
    <row r="5990" spans="1:5" hidden="1" outlineLevel="2">
      <c r="A5990" s="3" t="e">
        <f>(HYPERLINK("http://www.autodoc.ru/Web/price/art/6037LYDR5RDW?analog=on","6037LYDR5RDW"))*1</f>
        <v>#VALUE!</v>
      </c>
      <c r="B5990" s="1">
        <v>6900181</v>
      </c>
      <c r="C5990" t="s">
        <v>890</v>
      </c>
      <c r="D5990" t="s">
        <v>6189</v>
      </c>
      <c r="E5990" t="s">
        <v>10</v>
      </c>
    </row>
    <row r="5991" spans="1:5" hidden="1" outlineLevel="2">
      <c r="A5991" s="3" t="e">
        <f>(HYPERLINK("http://www.autodoc.ru/Web/price/art/6037RGNR5RDW?analog=on","6037RGNR5RDW"))*1</f>
        <v>#VALUE!</v>
      </c>
      <c r="B5991" s="1">
        <v>6900261</v>
      </c>
      <c r="C5991" t="s">
        <v>890</v>
      </c>
      <c r="D5991" t="s">
        <v>6190</v>
      </c>
      <c r="E5991" t="s">
        <v>10</v>
      </c>
    </row>
    <row r="5992" spans="1:5" hidden="1" outlineLevel="2">
      <c r="A5992" s="3" t="e">
        <f>(HYPERLINK("http://www.autodoc.ru/Web/price/art/6037RGSR5FDW?analog=on","6037RGSR5FDW"))*1</f>
        <v>#VALUE!</v>
      </c>
      <c r="B5992" s="1">
        <v>6900077</v>
      </c>
      <c r="C5992" t="s">
        <v>890</v>
      </c>
      <c r="D5992" t="s">
        <v>6191</v>
      </c>
      <c r="E5992" t="s">
        <v>10</v>
      </c>
    </row>
    <row r="5993" spans="1:5" hidden="1" outlineLevel="2">
      <c r="A5993" s="3" t="e">
        <f>(HYPERLINK("http://www.autodoc.ru/Web/price/art/6037RYDR5RDW?analog=on","6037RYDR5RDW"))*1</f>
        <v>#VALUE!</v>
      </c>
      <c r="B5993" s="1">
        <v>6900262</v>
      </c>
      <c r="C5993" t="s">
        <v>890</v>
      </c>
      <c r="D5993" t="s">
        <v>6192</v>
      </c>
      <c r="E5993" t="s">
        <v>10</v>
      </c>
    </row>
    <row r="5994" spans="1:5" hidden="1" outlineLevel="2">
      <c r="A5994" s="3" t="e">
        <f>(HYPERLINK("http://www.autodoc.ru/Web/price/art/6037RYDR5RV?analog=on","6037RYDR5RV"))*1</f>
        <v>#VALUE!</v>
      </c>
      <c r="B5994" s="1">
        <v>6900318</v>
      </c>
      <c r="C5994" t="s">
        <v>890</v>
      </c>
      <c r="D5994" t="s">
        <v>6193</v>
      </c>
      <c r="E5994" t="s">
        <v>10</v>
      </c>
    </row>
    <row r="5995" spans="1:5" hidden="1" outlineLevel="1">
      <c r="A5995" s="2">
        <v>0</v>
      </c>
      <c r="B5995" s="26" t="s">
        <v>6194</v>
      </c>
      <c r="C5995" s="27">
        <v>0</v>
      </c>
      <c r="D5995" s="27">
        <v>0</v>
      </c>
      <c r="E5995" s="27">
        <v>0</v>
      </c>
    </row>
    <row r="5996" spans="1:5" hidden="1" outlineLevel="2">
      <c r="A5996" s="3" t="e">
        <f>(HYPERLINK("http://www.autodoc.ru/Web/price/art/5957ABL?analog=on","5957ABL"))*1</f>
        <v>#VALUE!</v>
      </c>
      <c r="B5996" s="1">
        <v>6969966</v>
      </c>
      <c r="C5996" t="s">
        <v>5433</v>
      </c>
      <c r="D5996" t="s">
        <v>6195</v>
      </c>
      <c r="E5996" t="s">
        <v>8</v>
      </c>
    </row>
    <row r="5997" spans="1:5" hidden="1" outlineLevel="2">
      <c r="A5997" s="3" t="e">
        <f>(HYPERLINK("http://www.autodoc.ru/Web/price/art/5957ABLBL?analog=on","5957ABLBL"))*1</f>
        <v>#VALUE!</v>
      </c>
      <c r="B5997" s="1">
        <v>6969967</v>
      </c>
      <c r="C5997" t="s">
        <v>5433</v>
      </c>
      <c r="D5997" t="s">
        <v>6196</v>
      </c>
      <c r="E5997" t="s">
        <v>8</v>
      </c>
    </row>
    <row r="5998" spans="1:5" hidden="1" outlineLevel="2">
      <c r="A5998" s="3" t="e">
        <f>(HYPERLINK("http://www.autodoc.ru/Web/price/art/5957ASRR?analog=on","5957ASRR"))*1</f>
        <v>#VALUE!</v>
      </c>
      <c r="B5998" s="1">
        <v>6100501</v>
      </c>
      <c r="C5998" t="s">
        <v>19</v>
      </c>
      <c r="D5998" t="s">
        <v>6197</v>
      </c>
      <c r="E5998" t="s">
        <v>21</v>
      </c>
    </row>
    <row r="5999" spans="1:5" hidden="1" outlineLevel="2">
      <c r="A5999" s="3" t="e">
        <f>(HYPERLINK("http://www.autodoc.ru/Web/price/art/5957ASRR1H?analog=on","5957ASRR1H"))*1</f>
        <v>#VALUE!</v>
      </c>
      <c r="B5999" s="1">
        <v>6101795</v>
      </c>
      <c r="C5999" t="s">
        <v>19</v>
      </c>
      <c r="D5999" t="s">
        <v>6197</v>
      </c>
      <c r="E5999" t="s">
        <v>21</v>
      </c>
    </row>
    <row r="6000" spans="1:5" hidden="1" outlineLevel="2">
      <c r="A6000" s="3" t="e">
        <f>(HYPERLINK("http://www.autodoc.ru/Web/price/art/5957LBLR3FD?analog=on","5957LBLR3FD"))*1</f>
        <v>#VALUE!</v>
      </c>
      <c r="B6000" s="1">
        <v>6996796</v>
      </c>
      <c r="C6000" t="s">
        <v>5433</v>
      </c>
      <c r="D6000" t="s">
        <v>6198</v>
      </c>
      <c r="E6000" t="s">
        <v>10</v>
      </c>
    </row>
    <row r="6001" spans="1:5" hidden="1" outlineLevel="2">
      <c r="A6001" s="3" t="e">
        <f>(HYPERLINK("http://www.autodoc.ru/Web/price/art/5957RBLR3FD?analog=on","5957RBLR3FD"))*1</f>
        <v>#VALUE!</v>
      </c>
      <c r="B6001" s="1">
        <v>6996797</v>
      </c>
      <c r="C6001" t="s">
        <v>5433</v>
      </c>
      <c r="D6001" t="s">
        <v>6199</v>
      </c>
      <c r="E6001" t="s">
        <v>10</v>
      </c>
    </row>
    <row r="6002" spans="1:5" hidden="1" outlineLevel="1">
      <c r="A6002" s="2">
        <v>0</v>
      </c>
      <c r="B6002" s="26" t="s">
        <v>6200</v>
      </c>
      <c r="C6002" s="27">
        <v>0</v>
      </c>
      <c r="D6002" s="27">
        <v>0</v>
      </c>
      <c r="E6002" s="27">
        <v>0</v>
      </c>
    </row>
    <row r="6003" spans="1:5" hidden="1" outlineLevel="2">
      <c r="A6003" s="3" t="e">
        <f>(HYPERLINK("http://www.autodoc.ru/Web/price/art/6006AGN?analog=on","6006AGN"))*1</f>
        <v>#VALUE!</v>
      </c>
      <c r="B6003" s="1">
        <v>6963320</v>
      </c>
      <c r="C6003" t="s">
        <v>1721</v>
      </c>
      <c r="D6003" t="s">
        <v>6201</v>
      </c>
      <c r="E6003" t="s">
        <v>8</v>
      </c>
    </row>
    <row r="6004" spans="1:5" hidden="1" outlineLevel="2">
      <c r="A6004" s="3" t="e">
        <f>(HYPERLINK("http://www.autodoc.ru/Web/price/art/6006AGNBL?analog=on","6006AGNBL"))*1</f>
        <v>#VALUE!</v>
      </c>
      <c r="B6004" s="1">
        <v>6962007</v>
      </c>
      <c r="C6004" t="s">
        <v>1721</v>
      </c>
      <c r="D6004" t="s">
        <v>6202</v>
      </c>
      <c r="E6004" t="s">
        <v>8</v>
      </c>
    </row>
    <row r="6005" spans="1:5" hidden="1" outlineLevel="2">
      <c r="A6005" s="3" t="e">
        <f>(HYPERLINK("http://www.autodoc.ru/Web/price/art/6006AGNH?analog=on","6006AGNH"))*1</f>
        <v>#VALUE!</v>
      </c>
      <c r="B6005" s="1">
        <v>6962954</v>
      </c>
      <c r="C6005" t="s">
        <v>1721</v>
      </c>
      <c r="D6005" t="s">
        <v>6203</v>
      </c>
      <c r="E6005" t="s">
        <v>8</v>
      </c>
    </row>
    <row r="6006" spans="1:5" hidden="1" outlineLevel="2">
      <c r="A6006" s="3" t="e">
        <f>(HYPERLINK("http://www.autodoc.ru/Web/price/art/6006ASMR?analog=on","6006ASMR"))*1</f>
        <v>#VALUE!</v>
      </c>
      <c r="B6006" s="1">
        <v>6100388</v>
      </c>
      <c r="C6006" t="s">
        <v>19</v>
      </c>
      <c r="D6006" t="s">
        <v>6204</v>
      </c>
      <c r="E6006" t="s">
        <v>21</v>
      </c>
    </row>
    <row r="6007" spans="1:5" hidden="1" outlineLevel="2">
      <c r="A6007" s="3" t="e">
        <f>(HYPERLINK("http://www.autodoc.ru/Web/price/art/6006LGNR3FDW?analog=on","6006LGNR3FDW"))*1</f>
        <v>#VALUE!</v>
      </c>
      <c r="B6007" s="1">
        <v>6997774</v>
      </c>
      <c r="C6007" t="s">
        <v>1721</v>
      </c>
      <c r="D6007" t="s">
        <v>6205</v>
      </c>
      <c r="E6007" t="s">
        <v>10</v>
      </c>
    </row>
    <row r="6008" spans="1:5" hidden="1" outlineLevel="2">
      <c r="A6008" s="3" t="e">
        <f>(HYPERLINK("http://www.autodoc.ru/Web/price/art/6006LGNR5RV?analog=on","6006LGNR5RV"))*1</f>
        <v>#VALUE!</v>
      </c>
      <c r="B6008" s="1">
        <v>6980217</v>
      </c>
      <c r="C6008" t="s">
        <v>1721</v>
      </c>
      <c r="D6008" t="s">
        <v>6206</v>
      </c>
      <c r="E6008" t="s">
        <v>10</v>
      </c>
    </row>
    <row r="6009" spans="1:5" hidden="1" outlineLevel="2">
      <c r="A6009" s="3" t="e">
        <f>(HYPERLINK("http://www.autodoc.ru/Web/price/art/6006RGNR3FDW?analog=on","6006RGNR3FDW"))*1</f>
        <v>#VALUE!</v>
      </c>
      <c r="B6009" s="1">
        <v>6997773</v>
      </c>
      <c r="C6009" t="s">
        <v>1721</v>
      </c>
      <c r="D6009" t="s">
        <v>6207</v>
      </c>
      <c r="E6009" t="s">
        <v>10</v>
      </c>
    </row>
    <row r="6010" spans="1:5" hidden="1" outlineLevel="2">
      <c r="A6010" s="3" t="e">
        <f>(HYPERLINK("http://www.autodoc.ru/Web/price/art/6006RGNR5RV?analog=on","6006RGNR5RV"))*1</f>
        <v>#VALUE!</v>
      </c>
      <c r="B6010" s="1">
        <v>6980218</v>
      </c>
      <c r="C6010" t="s">
        <v>1721</v>
      </c>
      <c r="D6010" t="s">
        <v>6208</v>
      </c>
      <c r="E6010" t="s">
        <v>10</v>
      </c>
    </row>
    <row r="6011" spans="1:5" hidden="1" outlineLevel="1">
      <c r="A6011" s="2">
        <v>0</v>
      </c>
      <c r="B6011" s="26" t="s">
        <v>6209</v>
      </c>
      <c r="C6011" s="27">
        <v>0</v>
      </c>
      <c r="D6011" s="27">
        <v>0</v>
      </c>
      <c r="E6011" s="27">
        <v>0</v>
      </c>
    </row>
    <row r="6012" spans="1:5" hidden="1" outlineLevel="2">
      <c r="A6012" s="3" t="e">
        <f>(HYPERLINK("http://www.autodoc.ru/Web/price/art/5959ABL?analog=on","5959ABL"))*1</f>
        <v>#VALUE!</v>
      </c>
      <c r="B6012" s="1">
        <v>6963649</v>
      </c>
      <c r="C6012" t="s">
        <v>3199</v>
      </c>
      <c r="D6012" t="s">
        <v>6210</v>
      </c>
      <c r="E6012" t="s">
        <v>8</v>
      </c>
    </row>
    <row r="6013" spans="1:5" hidden="1" outlineLevel="1">
      <c r="A6013" s="2">
        <v>0</v>
      </c>
      <c r="B6013" s="26" t="s">
        <v>6211</v>
      </c>
      <c r="C6013" s="27">
        <v>0</v>
      </c>
      <c r="D6013" s="27">
        <v>0</v>
      </c>
      <c r="E6013" s="27">
        <v>0</v>
      </c>
    </row>
    <row r="6014" spans="1:5" hidden="1" outlineLevel="2">
      <c r="A6014" s="3" t="e">
        <f>(HYPERLINK("http://www.autodoc.ru/Web/price/art/5978ABL?analog=on","5978ABL"))*1</f>
        <v>#VALUE!</v>
      </c>
      <c r="B6014" s="1">
        <v>6963492</v>
      </c>
      <c r="C6014" t="s">
        <v>6212</v>
      </c>
      <c r="D6014" t="s">
        <v>6213</v>
      </c>
      <c r="E6014" t="s">
        <v>8</v>
      </c>
    </row>
    <row r="6015" spans="1:5" hidden="1" outlineLevel="2">
      <c r="A6015" s="3" t="e">
        <f>(HYPERLINK("http://www.autodoc.ru/Web/price/art/5978LBLV5FD?analog=on","5978LBLV5FD"))*1</f>
        <v>#VALUE!</v>
      </c>
      <c r="B6015" s="1">
        <v>6999632</v>
      </c>
      <c r="C6015" t="s">
        <v>6212</v>
      </c>
      <c r="D6015" t="s">
        <v>6214</v>
      </c>
      <c r="E6015" t="s">
        <v>10</v>
      </c>
    </row>
    <row r="6016" spans="1:5" hidden="1" outlineLevel="1">
      <c r="A6016" s="2">
        <v>0</v>
      </c>
      <c r="B6016" s="26" t="s">
        <v>6215</v>
      </c>
      <c r="C6016" s="27">
        <v>0</v>
      </c>
      <c r="D6016" s="27">
        <v>0</v>
      </c>
      <c r="E6016" s="27">
        <v>0</v>
      </c>
    </row>
    <row r="6017" spans="1:5" hidden="1" outlineLevel="2">
      <c r="A6017" s="3" t="e">
        <f>(HYPERLINK("http://www.autodoc.ru/Web/price/art/6022ACCV?analog=on","6022ACCV"))*1</f>
        <v>#VALUE!</v>
      </c>
      <c r="B6017" s="1">
        <v>6190752</v>
      </c>
      <c r="C6017" t="s">
        <v>19</v>
      </c>
      <c r="D6017" t="s">
        <v>6216</v>
      </c>
      <c r="E6017" t="s">
        <v>8</v>
      </c>
    </row>
    <row r="6018" spans="1:5" hidden="1" outlineLevel="2">
      <c r="A6018" s="3" t="e">
        <f>(HYPERLINK("http://www.autodoc.ru/Web/price/art/6022AGSV?analog=on","6022AGSV"))*1</f>
        <v>#VALUE!</v>
      </c>
      <c r="B6018" s="1">
        <v>6190715</v>
      </c>
      <c r="C6018" t="s">
        <v>19</v>
      </c>
      <c r="D6018" t="s">
        <v>6217</v>
      </c>
      <c r="E6018" t="s">
        <v>8</v>
      </c>
    </row>
    <row r="6019" spans="1:5" hidden="1" outlineLevel="2">
      <c r="A6019" s="3" t="e">
        <f>(HYPERLINK("http://www.autodoc.ru/Web/price/art/6022AGSV1C?analog=on","6022AGSV1C"))*1</f>
        <v>#VALUE!</v>
      </c>
      <c r="B6019" s="1">
        <v>6190846</v>
      </c>
      <c r="C6019" t="s">
        <v>19</v>
      </c>
      <c r="D6019" t="s">
        <v>6218</v>
      </c>
      <c r="E6019" t="s">
        <v>8</v>
      </c>
    </row>
    <row r="6020" spans="1:5" hidden="1" outlineLevel="2">
      <c r="A6020" s="3" t="e">
        <f>(HYPERLINK("http://www.autodoc.ru/Web/price/art/6022AGSV1H?analog=on","6022AGSV1H"))*1</f>
        <v>#VALUE!</v>
      </c>
      <c r="B6020" s="1">
        <v>6190804</v>
      </c>
      <c r="C6020" t="s">
        <v>19</v>
      </c>
      <c r="D6020" t="s">
        <v>6219</v>
      </c>
      <c r="E6020" t="s">
        <v>8</v>
      </c>
    </row>
    <row r="6021" spans="1:5" hidden="1" outlineLevel="2">
      <c r="A6021" s="3" t="e">
        <f>(HYPERLINK("http://www.autodoc.ru/Web/price/art/6022BGSVL?analog=on","6022BGSVL"))*1</f>
        <v>#VALUE!</v>
      </c>
      <c r="B6021" s="1">
        <v>6190716</v>
      </c>
      <c r="C6021" t="s">
        <v>19</v>
      </c>
      <c r="D6021" t="s">
        <v>6220</v>
      </c>
      <c r="E6021" t="s">
        <v>23</v>
      </c>
    </row>
    <row r="6022" spans="1:5" hidden="1" outlineLevel="2">
      <c r="A6022" s="3" t="e">
        <f>(HYPERLINK("http://www.autodoc.ru/Web/price/art/6022BGSVR?analog=on","6022BGSVR"))*1</f>
        <v>#VALUE!</v>
      </c>
      <c r="B6022" s="1">
        <v>6190717</v>
      </c>
      <c r="C6022" t="s">
        <v>19</v>
      </c>
      <c r="D6022" t="s">
        <v>6221</v>
      </c>
      <c r="E6022" t="s">
        <v>23</v>
      </c>
    </row>
    <row r="6023" spans="1:5" hidden="1" outlineLevel="1">
      <c r="A6023" s="2">
        <v>0</v>
      </c>
      <c r="B6023" s="26" t="s">
        <v>6222</v>
      </c>
      <c r="C6023" s="27">
        <v>0</v>
      </c>
      <c r="D6023" s="27">
        <v>0</v>
      </c>
      <c r="E6023" s="27">
        <v>0</v>
      </c>
    </row>
    <row r="6024" spans="1:5" hidden="1" outlineLevel="2">
      <c r="A6024" s="3" t="e">
        <f>(HYPERLINK("http://www.autodoc.ru/Web/price/art/5981ABL?analog=on","5981ABL"))*1</f>
        <v>#VALUE!</v>
      </c>
      <c r="B6024" s="1">
        <v>6963753</v>
      </c>
      <c r="C6024" t="s">
        <v>6223</v>
      </c>
      <c r="D6024" t="s">
        <v>6224</v>
      </c>
      <c r="E6024" t="s">
        <v>8</v>
      </c>
    </row>
    <row r="6025" spans="1:5" hidden="1" outlineLevel="2">
      <c r="A6025" s="3" t="e">
        <f>(HYPERLINK("http://www.autodoc.ru/Web/price/art/5981ABLBL?analog=on","5981ABLBL"))*1</f>
        <v>#VALUE!</v>
      </c>
      <c r="B6025" s="1">
        <v>6964169</v>
      </c>
      <c r="C6025" t="s">
        <v>6223</v>
      </c>
      <c r="D6025" t="s">
        <v>6225</v>
      </c>
      <c r="E6025" t="s">
        <v>8</v>
      </c>
    </row>
    <row r="6026" spans="1:5" hidden="1" outlineLevel="2">
      <c r="A6026" s="3" t="e">
        <f>(HYPERLINK("http://www.autodoc.ru/Web/price/art/5981AGN?analog=on","5981AGN"))*1</f>
        <v>#VALUE!</v>
      </c>
      <c r="B6026" s="1">
        <v>6969281</v>
      </c>
      <c r="C6026" t="s">
        <v>6223</v>
      </c>
      <c r="D6026" t="s">
        <v>6226</v>
      </c>
      <c r="E6026" t="s">
        <v>8</v>
      </c>
    </row>
    <row r="6027" spans="1:5" hidden="1" outlineLevel="2">
      <c r="A6027" s="3" t="e">
        <f>(HYPERLINK("http://www.autodoc.ru/Web/price/art/5981AGNBL?analog=on","5981AGNBL"))*1</f>
        <v>#VALUE!</v>
      </c>
      <c r="B6027" s="1">
        <v>6963224</v>
      </c>
      <c r="C6027" t="s">
        <v>6223</v>
      </c>
      <c r="D6027" t="s">
        <v>6227</v>
      </c>
      <c r="E6027" t="s">
        <v>8</v>
      </c>
    </row>
    <row r="6028" spans="1:5" hidden="1" outlineLevel="2">
      <c r="A6028" s="3" t="e">
        <f>(HYPERLINK("http://www.autodoc.ru/Web/price/art/5981AGNGN?analog=on","5981AGNGN"))*1</f>
        <v>#VALUE!</v>
      </c>
      <c r="B6028" s="1">
        <v>6969285</v>
      </c>
      <c r="C6028" t="s">
        <v>6223</v>
      </c>
      <c r="D6028" t="s">
        <v>6228</v>
      </c>
      <c r="E6028" t="s">
        <v>8</v>
      </c>
    </row>
    <row r="6029" spans="1:5" hidden="1" outlineLevel="2">
      <c r="A6029" s="3" t="e">
        <f>(HYPERLINK("http://www.autodoc.ru/Web/price/art/5981AKMHT?analog=on","5981AKMHT"))*1</f>
        <v>#VALUE!</v>
      </c>
      <c r="B6029" s="1">
        <v>6101846</v>
      </c>
      <c r="C6029" t="s">
        <v>19</v>
      </c>
      <c r="D6029" t="s">
        <v>6229</v>
      </c>
      <c r="E6029" t="s">
        <v>21</v>
      </c>
    </row>
    <row r="6030" spans="1:5" hidden="1" outlineLevel="2">
      <c r="A6030" s="3" t="e">
        <f>(HYPERLINK("http://www.autodoc.ru/Web/price/art/5981ASMHT?analog=on","5981ASMHT"))*1</f>
        <v>#VALUE!</v>
      </c>
      <c r="B6030" s="1">
        <v>6100505</v>
      </c>
      <c r="C6030" t="s">
        <v>19</v>
      </c>
      <c r="D6030" t="s">
        <v>6230</v>
      </c>
      <c r="E6030" t="s">
        <v>21</v>
      </c>
    </row>
    <row r="6031" spans="1:5" hidden="1" outlineLevel="2">
      <c r="A6031" s="3" t="e">
        <f>(HYPERLINK("http://www.autodoc.ru/Web/price/art/5981BGNS?analog=on","5981BGNS"))*1</f>
        <v>#VALUE!</v>
      </c>
      <c r="B6031" s="1">
        <v>6996106</v>
      </c>
      <c r="C6031" t="s">
        <v>6223</v>
      </c>
      <c r="D6031" t="s">
        <v>6231</v>
      </c>
      <c r="E6031" t="s">
        <v>23</v>
      </c>
    </row>
    <row r="6032" spans="1:5" hidden="1" outlineLevel="2">
      <c r="A6032" s="3" t="e">
        <f>(HYPERLINK("http://www.autodoc.ru/Web/price/art/5981LGNH5FDW?analog=on","5981LGNH5FDW"))*1</f>
        <v>#VALUE!</v>
      </c>
      <c r="B6032" s="1">
        <v>6996102</v>
      </c>
      <c r="C6032" t="s">
        <v>6223</v>
      </c>
      <c r="D6032" t="s">
        <v>6232</v>
      </c>
      <c r="E6032" t="s">
        <v>10</v>
      </c>
    </row>
    <row r="6033" spans="1:5" hidden="1" outlineLevel="2">
      <c r="A6033" s="3" t="e">
        <f>(HYPERLINK("http://www.autodoc.ru/Web/price/art/5981LGNH5RDW?analog=on","5981LGNH5RDW"))*1</f>
        <v>#VALUE!</v>
      </c>
      <c r="B6033" s="1">
        <v>6994497</v>
      </c>
      <c r="C6033" t="s">
        <v>6223</v>
      </c>
      <c r="D6033" t="s">
        <v>6233</v>
      </c>
      <c r="E6033" t="s">
        <v>10</v>
      </c>
    </row>
    <row r="6034" spans="1:5" hidden="1" outlineLevel="2">
      <c r="A6034" s="3" t="e">
        <f>(HYPERLINK("http://www.autodoc.ru/Web/price/art/5981LGNH5RV?analog=on","5981LGNH5RV"))*1</f>
        <v>#VALUE!</v>
      </c>
      <c r="B6034" s="1">
        <v>6996104</v>
      </c>
      <c r="C6034" t="s">
        <v>6223</v>
      </c>
      <c r="D6034" t="s">
        <v>6234</v>
      </c>
      <c r="E6034" t="s">
        <v>10</v>
      </c>
    </row>
    <row r="6035" spans="1:5" hidden="1" outlineLevel="2">
      <c r="A6035" s="3" t="e">
        <f>(HYPERLINK("http://www.autodoc.ru/Web/price/art/5981RGNH5FD?analog=on","5981RGNH5FD"))*1</f>
        <v>#VALUE!</v>
      </c>
      <c r="B6035" s="1">
        <v>6993605</v>
      </c>
      <c r="C6035" t="s">
        <v>6223</v>
      </c>
      <c r="D6035" t="s">
        <v>6235</v>
      </c>
      <c r="E6035" t="s">
        <v>10</v>
      </c>
    </row>
    <row r="6036" spans="1:5" hidden="1" outlineLevel="2">
      <c r="A6036" s="3" t="e">
        <f>(HYPERLINK("http://www.autodoc.ru/Web/price/art/5981RGNH5FDW?analog=on","5981RGNH5FDW"))*1</f>
        <v>#VALUE!</v>
      </c>
      <c r="B6036" s="1">
        <v>6996103</v>
      </c>
      <c r="C6036" t="s">
        <v>6223</v>
      </c>
      <c r="D6036" t="s">
        <v>6236</v>
      </c>
      <c r="E6036" t="s">
        <v>10</v>
      </c>
    </row>
    <row r="6037" spans="1:5" hidden="1" outlineLevel="2">
      <c r="A6037" s="3" t="e">
        <f>(HYPERLINK("http://www.autodoc.ru/Web/price/art/5981RGNH5RDW?analog=on","5981RGNH5RDW"))*1</f>
        <v>#VALUE!</v>
      </c>
      <c r="B6037" s="1">
        <v>6994498</v>
      </c>
      <c r="C6037" t="s">
        <v>6223</v>
      </c>
      <c r="D6037" t="s">
        <v>6233</v>
      </c>
      <c r="E6037" t="s">
        <v>10</v>
      </c>
    </row>
    <row r="6038" spans="1:5" hidden="1" outlineLevel="2">
      <c r="A6038" s="3" t="e">
        <f>(HYPERLINK("http://www.autodoc.ru/Web/price/art/5981RGNH5RV?analog=on","5981RGNH5RV"))*1</f>
        <v>#VALUE!</v>
      </c>
      <c r="B6038" s="1">
        <v>6996105</v>
      </c>
      <c r="C6038" t="s">
        <v>6223</v>
      </c>
      <c r="D6038" t="s">
        <v>6237</v>
      </c>
      <c r="E6038" t="s">
        <v>10</v>
      </c>
    </row>
    <row r="6039" spans="1:5" hidden="1" outlineLevel="1">
      <c r="A6039" s="2">
        <v>0</v>
      </c>
      <c r="B6039" s="26" t="s">
        <v>6238</v>
      </c>
      <c r="C6039" s="27">
        <v>0</v>
      </c>
      <c r="D6039" s="27">
        <v>0</v>
      </c>
      <c r="E6039" s="27">
        <v>0</v>
      </c>
    </row>
    <row r="6040" spans="1:5" hidden="1" outlineLevel="2">
      <c r="A6040" s="3" t="e">
        <f>(HYPERLINK("http://www.autodoc.ru/Web/price/art/5983ABL?analog=on","5983ABL"))*1</f>
        <v>#VALUE!</v>
      </c>
      <c r="B6040" s="1">
        <v>6969297</v>
      </c>
      <c r="C6040" t="s">
        <v>1109</v>
      </c>
      <c r="D6040" t="s">
        <v>6239</v>
      </c>
      <c r="E6040" t="s">
        <v>8</v>
      </c>
    </row>
    <row r="6041" spans="1:5" hidden="1" outlineLevel="2">
      <c r="A6041" s="3" t="e">
        <f>(HYPERLINK("http://www.autodoc.ru/Web/price/art/5983ABLBL?analog=on","5983ABLBL"))*1</f>
        <v>#VALUE!</v>
      </c>
      <c r="B6041" s="1">
        <v>6969313</v>
      </c>
      <c r="C6041" t="s">
        <v>1109</v>
      </c>
      <c r="D6041" t="s">
        <v>6240</v>
      </c>
      <c r="E6041" t="s">
        <v>8</v>
      </c>
    </row>
    <row r="6042" spans="1:5" hidden="1" outlineLevel="2">
      <c r="A6042" s="3" t="e">
        <f>(HYPERLINK("http://www.autodoc.ru/Web/price/art/5983ABZ1C?analog=on","5983ABZ1C"))*1</f>
        <v>#VALUE!</v>
      </c>
      <c r="B6042" s="1">
        <v>6969298</v>
      </c>
      <c r="C6042" t="s">
        <v>1109</v>
      </c>
      <c r="D6042" t="s">
        <v>6241</v>
      </c>
      <c r="E6042" t="s">
        <v>8</v>
      </c>
    </row>
    <row r="6043" spans="1:5" hidden="1" outlineLevel="2">
      <c r="A6043" s="3" t="e">
        <f>(HYPERLINK("http://www.autodoc.ru/Web/price/art/5983ABZBL?analog=on","5983ABZBL"))*1</f>
        <v>#VALUE!</v>
      </c>
      <c r="B6043" s="1">
        <v>6969312</v>
      </c>
      <c r="C6043" t="s">
        <v>1109</v>
      </c>
      <c r="D6043" t="s">
        <v>6242</v>
      </c>
      <c r="E6043" t="s">
        <v>8</v>
      </c>
    </row>
    <row r="6044" spans="1:5" hidden="1" outlineLevel="2">
      <c r="A6044" s="3" t="e">
        <f>(HYPERLINK("http://www.autodoc.ru/Web/price/art/5983AGN?analog=on","5983AGN"))*1</f>
        <v>#VALUE!</v>
      </c>
      <c r="B6044" s="1">
        <v>6969299</v>
      </c>
      <c r="C6044" t="s">
        <v>1109</v>
      </c>
      <c r="D6044" t="s">
        <v>6243</v>
      </c>
      <c r="E6044" t="s">
        <v>8</v>
      </c>
    </row>
    <row r="6045" spans="1:5" hidden="1" outlineLevel="2">
      <c r="A6045" s="3" t="e">
        <f>(HYPERLINK("http://www.autodoc.ru/Web/price/art/5983ASMET?analog=on","5983ASMET"))*1</f>
        <v>#VALUE!</v>
      </c>
      <c r="B6045" s="1">
        <v>6100296</v>
      </c>
      <c r="C6045" t="s">
        <v>19</v>
      </c>
      <c r="D6045" t="s">
        <v>6244</v>
      </c>
      <c r="E6045" t="s">
        <v>21</v>
      </c>
    </row>
    <row r="6046" spans="1:5" hidden="1" outlineLevel="1">
      <c r="A6046" s="2">
        <v>0</v>
      </c>
      <c r="B6046" s="26" t="s">
        <v>6245</v>
      </c>
      <c r="C6046" s="27">
        <v>0</v>
      </c>
      <c r="D6046" s="27">
        <v>0</v>
      </c>
      <c r="E6046" s="27">
        <v>0</v>
      </c>
    </row>
    <row r="6047" spans="1:5" hidden="1" outlineLevel="2">
      <c r="A6047" s="3" t="e">
        <f>(HYPERLINK("http://www.autodoc.ru/Web/price/art/6002AGN?analog=on","6002AGN"))*1</f>
        <v>#VALUE!</v>
      </c>
      <c r="B6047" s="1">
        <v>6968315</v>
      </c>
      <c r="C6047" t="s">
        <v>3800</v>
      </c>
      <c r="D6047" t="s">
        <v>6246</v>
      </c>
      <c r="E6047" t="s">
        <v>8</v>
      </c>
    </row>
    <row r="6048" spans="1:5" hidden="1" outlineLevel="2">
      <c r="A6048" s="3" t="e">
        <f>(HYPERLINK("http://www.autodoc.ru/Web/price/art/6002AGNBL?analog=on","6002AGNBL"))*1</f>
        <v>#VALUE!</v>
      </c>
      <c r="B6048" s="1">
        <v>6960685</v>
      </c>
      <c r="C6048" t="s">
        <v>3800</v>
      </c>
      <c r="D6048" t="s">
        <v>6247</v>
      </c>
      <c r="E6048" t="s">
        <v>8</v>
      </c>
    </row>
    <row r="6049" spans="1:5" hidden="1" outlineLevel="2">
      <c r="A6049" s="3" t="e">
        <f>(HYPERLINK("http://www.autodoc.ru/Web/price/art/6002AGNGN?analog=on","6002AGNGN"))*1</f>
        <v>#VALUE!</v>
      </c>
      <c r="B6049" s="1">
        <v>6968316</v>
      </c>
      <c r="C6049" t="s">
        <v>3800</v>
      </c>
      <c r="D6049" t="s">
        <v>6248</v>
      </c>
      <c r="E6049" t="s">
        <v>8</v>
      </c>
    </row>
    <row r="6050" spans="1:5" hidden="1" outlineLevel="2">
      <c r="A6050" s="3" t="e">
        <f>(HYPERLINK("http://www.autodoc.ru/Web/price/art/6002AKCH?analog=on","6002AKCH"))*1</f>
        <v>#VALUE!</v>
      </c>
      <c r="B6050" s="1">
        <v>6100983</v>
      </c>
      <c r="C6050" t="s">
        <v>19</v>
      </c>
      <c r="D6050" t="s">
        <v>6249</v>
      </c>
      <c r="E6050" t="s">
        <v>21</v>
      </c>
    </row>
    <row r="6051" spans="1:5" hidden="1" outlineLevel="2">
      <c r="A6051" s="3" t="e">
        <f>(HYPERLINK("http://www.autodoc.ru/Web/price/art/6002ASMHT?analog=on","6002ASMHT"))*1</f>
        <v>#VALUE!</v>
      </c>
      <c r="B6051" s="1">
        <v>6101296</v>
      </c>
      <c r="C6051" t="s">
        <v>19</v>
      </c>
      <c r="D6051" t="s">
        <v>6250</v>
      </c>
      <c r="E6051" t="s">
        <v>21</v>
      </c>
    </row>
    <row r="6052" spans="1:5" hidden="1" outlineLevel="2">
      <c r="A6052" s="3" t="e">
        <f>(HYPERLINK("http://www.autodoc.ru/Web/price/art/6002BGNEABZ?analog=on","6002BGNEABZ"))*1</f>
        <v>#VALUE!</v>
      </c>
      <c r="B6052" s="1">
        <v>6996261</v>
      </c>
      <c r="C6052" t="s">
        <v>3800</v>
      </c>
      <c r="D6052" t="s">
        <v>6251</v>
      </c>
      <c r="E6052" t="s">
        <v>23</v>
      </c>
    </row>
    <row r="6053" spans="1:5" hidden="1" outlineLevel="2">
      <c r="A6053" s="3" t="e">
        <f>(HYPERLINK("http://www.autodoc.ru/Web/price/art/6002BGNHBZ?analog=on","6002BGNHBZ"))*1</f>
        <v>#VALUE!</v>
      </c>
      <c r="B6053" s="1">
        <v>6998904</v>
      </c>
      <c r="C6053" t="s">
        <v>3800</v>
      </c>
      <c r="D6053" t="s">
        <v>6252</v>
      </c>
      <c r="E6053" t="s">
        <v>23</v>
      </c>
    </row>
    <row r="6054" spans="1:5" hidden="1" outlineLevel="2">
      <c r="A6054" s="3" t="e">
        <f>(HYPERLINK("http://www.autodoc.ru/Web/price/art/6002BGNS?analog=on","6002BGNS"))*1</f>
        <v>#VALUE!</v>
      </c>
      <c r="B6054" s="1">
        <v>6998662</v>
      </c>
      <c r="C6054" t="s">
        <v>3800</v>
      </c>
      <c r="D6054" t="s">
        <v>6253</v>
      </c>
      <c r="E6054" t="s">
        <v>23</v>
      </c>
    </row>
    <row r="6055" spans="1:5" hidden="1" outlineLevel="2">
      <c r="A6055" s="3" t="e">
        <f>(HYPERLINK("http://www.autodoc.ru/Web/price/art/6002BGNS1H?analog=on","6002BGNS1H"))*1</f>
        <v>#VALUE!</v>
      </c>
      <c r="B6055" s="1">
        <v>6998905</v>
      </c>
      <c r="C6055" t="s">
        <v>3800</v>
      </c>
      <c r="D6055" t="s">
        <v>6254</v>
      </c>
      <c r="E6055" t="s">
        <v>23</v>
      </c>
    </row>
    <row r="6056" spans="1:5" hidden="1" outlineLevel="2">
      <c r="A6056" s="3" t="e">
        <f>(HYPERLINK("http://www.autodoc.ru/Web/price/art/6002LGNE5RV?analog=on","6002LGNE5RV"))*1</f>
        <v>#VALUE!</v>
      </c>
      <c r="B6056" s="1">
        <v>6996806</v>
      </c>
      <c r="C6056" t="s">
        <v>3800</v>
      </c>
      <c r="D6056" t="s">
        <v>6255</v>
      </c>
      <c r="E6056" t="s">
        <v>10</v>
      </c>
    </row>
    <row r="6057" spans="1:5" hidden="1" outlineLevel="2">
      <c r="A6057" s="3" t="e">
        <f>(HYPERLINK("http://www.autodoc.ru/Web/price/art/6002LGNH5FDW?analog=on","6002LGNH5FDW"))*1</f>
        <v>#VALUE!</v>
      </c>
      <c r="B6057" s="1">
        <v>6994503</v>
      </c>
      <c r="C6057" t="s">
        <v>3800</v>
      </c>
      <c r="D6057" t="s">
        <v>6256</v>
      </c>
      <c r="E6057" t="s">
        <v>10</v>
      </c>
    </row>
    <row r="6058" spans="1:5" hidden="1" outlineLevel="2">
      <c r="A6058" s="3" t="e">
        <f>(HYPERLINK("http://www.autodoc.ru/Web/price/art/6002LGNH5RDW?analog=on","6002LGNH5RDW"))*1</f>
        <v>#VALUE!</v>
      </c>
      <c r="B6058" s="1">
        <v>6994504</v>
      </c>
      <c r="C6058" t="s">
        <v>3800</v>
      </c>
      <c r="D6058" t="s">
        <v>6257</v>
      </c>
      <c r="E6058" t="s">
        <v>10</v>
      </c>
    </row>
    <row r="6059" spans="1:5" hidden="1" outlineLevel="2">
      <c r="A6059" s="3" t="e">
        <f>(HYPERLINK("http://www.autodoc.ru/Web/price/art/6002LGNH5RV?analog=on","6002LGNH5RV"))*1</f>
        <v>#VALUE!</v>
      </c>
      <c r="B6059" s="1">
        <v>6995795</v>
      </c>
      <c r="C6059" t="s">
        <v>3800</v>
      </c>
      <c r="D6059" t="s">
        <v>6258</v>
      </c>
      <c r="E6059" t="s">
        <v>10</v>
      </c>
    </row>
    <row r="6060" spans="1:5" hidden="1" outlineLevel="2">
      <c r="A6060" s="3" t="e">
        <f>(HYPERLINK("http://www.autodoc.ru/Web/price/art/6002RGNE5RDW?analog=on","6002RGNE5RDW"))*1</f>
        <v>#VALUE!</v>
      </c>
      <c r="B6060" s="1">
        <v>6995570</v>
      </c>
      <c r="C6060" t="s">
        <v>3800</v>
      </c>
      <c r="D6060" t="s">
        <v>6259</v>
      </c>
      <c r="E6060" t="s">
        <v>10</v>
      </c>
    </row>
    <row r="6061" spans="1:5" hidden="1" outlineLevel="2">
      <c r="A6061" s="3" t="e">
        <f>(HYPERLINK("http://www.autodoc.ru/Web/price/art/6002RGNE5RQZ?analog=on","6002RGNE5RQZ"))*1</f>
        <v>#VALUE!</v>
      </c>
      <c r="B6061" s="1">
        <v>6995572</v>
      </c>
      <c r="C6061" t="s">
        <v>3800</v>
      </c>
      <c r="D6061" t="s">
        <v>6260</v>
      </c>
      <c r="E6061" t="s">
        <v>10</v>
      </c>
    </row>
    <row r="6062" spans="1:5" hidden="1" outlineLevel="2">
      <c r="A6062" s="3" t="e">
        <f>(HYPERLINK("http://www.autodoc.ru/Web/price/art/6002RGNE5RV?analog=on","6002RGNE5RV"))*1</f>
        <v>#VALUE!</v>
      </c>
      <c r="B6062" s="1">
        <v>6996807</v>
      </c>
      <c r="C6062" t="s">
        <v>3800</v>
      </c>
      <c r="D6062" t="s">
        <v>6261</v>
      </c>
      <c r="E6062" t="s">
        <v>10</v>
      </c>
    </row>
    <row r="6063" spans="1:5" hidden="1" outlineLevel="2">
      <c r="A6063" s="3" t="e">
        <f>(HYPERLINK("http://www.autodoc.ru/Web/price/art/6002RGNH5FDW?analog=on","6002RGNH5FDW"))*1</f>
        <v>#VALUE!</v>
      </c>
      <c r="B6063" s="1">
        <v>6994505</v>
      </c>
      <c r="C6063" t="s">
        <v>3800</v>
      </c>
      <c r="D6063" t="s">
        <v>6262</v>
      </c>
      <c r="E6063" t="s">
        <v>10</v>
      </c>
    </row>
    <row r="6064" spans="1:5" hidden="1" outlineLevel="2">
      <c r="A6064" s="3" t="e">
        <f>(HYPERLINK("http://www.autodoc.ru/Web/price/art/6002RGNH5RDW?analog=on","6002RGNH5RDW"))*1</f>
        <v>#VALUE!</v>
      </c>
      <c r="B6064" s="1">
        <v>6994506</v>
      </c>
      <c r="C6064" t="s">
        <v>3800</v>
      </c>
      <c r="D6064" t="s">
        <v>6263</v>
      </c>
      <c r="E6064" t="s">
        <v>10</v>
      </c>
    </row>
    <row r="6065" spans="1:5" hidden="1" outlineLevel="2">
      <c r="A6065" s="3" t="e">
        <f>(HYPERLINK("http://www.autodoc.ru/Web/price/art/6002RGNH5RV?analog=on","6002RGNH5RV"))*1</f>
        <v>#VALUE!</v>
      </c>
      <c r="B6065" s="1">
        <v>6995796</v>
      </c>
      <c r="C6065" t="s">
        <v>3800</v>
      </c>
      <c r="D6065" t="s">
        <v>6264</v>
      </c>
      <c r="E6065" t="s">
        <v>10</v>
      </c>
    </row>
    <row r="6066" spans="1:5" hidden="1" outlineLevel="1">
      <c r="A6066" s="2">
        <v>0</v>
      </c>
      <c r="B6066" s="26" t="s">
        <v>6265</v>
      </c>
      <c r="C6066" s="27">
        <v>0</v>
      </c>
      <c r="D6066" s="27">
        <v>0</v>
      </c>
      <c r="E6066" s="27">
        <v>0</v>
      </c>
    </row>
    <row r="6067" spans="1:5" hidden="1" outlineLevel="2">
      <c r="A6067" s="3" t="e">
        <f>(HYPERLINK("http://www.autodoc.ru/Web/price/art/6020AGN?analog=on","6020AGN"))*1</f>
        <v>#VALUE!</v>
      </c>
      <c r="B6067" s="1">
        <v>6960252</v>
      </c>
      <c r="C6067" t="s">
        <v>1436</v>
      </c>
      <c r="D6067" t="s">
        <v>6266</v>
      </c>
      <c r="E6067" t="s">
        <v>8</v>
      </c>
    </row>
    <row r="6068" spans="1:5" hidden="1" outlineLevel="2">
      <c r="A6068" s="3" t="e">
        <f>(HYPERLINK("http://www.autodoc.ru/Web/price/art/6020AGNBMV1B?analog=on","6020AGNBMV1B"))*1</f>
        <v>#VALUE!</v>
      </c>
      <c r="B6068" s="1">
        <v>6960253</v>
      </c>
      <c r="C6068" t="s">
        <v>1436</v>
      </c>
      <c r="D6068" t="s">
        <v>6267</v>
      </c>
      <c r="E6068" t="s">
        <v>8</v>
      </c>
    </row>
    <row r="6069" spans="1:5" hidden="1" outlineLevel="2">
      <c r="A6069" s="3" t="e">
        <f>(HYPERLINK("http://www.autodoc.ru/Web/price/art/6020AGNBV?analog=on","6020AGNBV"))*1</f>
        <v>#VALUE!</v>
      </c>
      <c r="B6069" s="1">
        <v>6960251</v>
      </c>
      <c r="C6069" t="s">
        <v>1436</v>
      </c>
      <c r="D6069" t="s">
        <v>6268</v>
      </c>
      <c r="E6069" t="s">
        <v>8</v>
      </c>
    </row>
    <row r="6070" spans="1:5" hidden="1" outlineLevel="2">
      <c r="A6070" s="3" t="e">
        <f>(HYPERLINK("http://www.autodoc.ru/Web/price/art/6020AGNM1B?analog=on","6020AGNM1B"))*1</f>
        <v>#VALUE!</v>
      </c>
      <c r="B6070" s="1">
        <v>6960254</v>
      </c>
      <c r="C6070" t="s">
        <v>1436</v>
      </c>
      <c r="D6070" t="s">
        <v>6269</v>
      </c>
      <c r="E6070" t="s">
        <v>8</v>
      </c>
    </row>
    <row r="6071" spans="1:5" hidden="1" outlineLevel="2">
      <c r="A6071" s="3" t="e">
        <f>(HYPERLINK("http://www.autodoc.ru/Web/price/art/6020ASMS?analog=on","6020ASMS"))*1</f>
        <v>#VALUE!</v>
      </c>
      <c r="B6071" s="1">
        <v>6100604</v>
      </c>
      <c r="C6071" t="s">
        <v>19</v>
      </c>
      <c r="D6071" t="s">
        <v>6270</v>
      </c>
      <c r="E6071" t="s">
        <v>21</v>
      </c>
    </row>
    <row r="6072" spans="1:5" hidden="1" outlineLevel="2">
      <c r="A6072" s="3" t="e">
        <f>(HYPERLINK("http://www.autodoc.ru/Web/price/art/6020BGNEBZ?analog=on","6020BGNEBZ"))*1</f>
        <v>#VALUE!</v>
      </c>
      <c r="B6072" s="1">
        <v>6996026</v>
      </c>
      <c r="C6072" t="s">
        <v>1436</v>
      </c>
      <c r="D6072" t="s">
        <v>6271</v>
      </c>
      <c r="E6072" t="s">
        <v>23</v>
      </c>
    </row>
    <row r="6073" spans="1:5" hidden="1" outlineLevel="2">
      <c r="A6073" s="3" t="e">
        <f>(HYPERLINK("http://www.autodoc.ru/Web/price/art/6020BGNHBZ?analog=on","6020BGNHBZ"))*1</f>
        <v>#VALUE!</v>
      </c>
      <c r="B6073" s="1">
        <v>6991074</v>
      </c>
      <c r="C6073" t="s">
        <v>1436</v>
      </c>
      <c r="D6073" t="s">
        <v>6272</v>
      </c>
      <c r="E6073" t="s">
        <v>23</v>
      </c>
    </row>
    <row r="6074" spans="1:5" hidden="1" outlineLevel="2">
      <c r="A6074" s="3" t="e">
        <f>(HYPERLINK("http://www.autodoc.ru/Web/price/art/6020BGSSZ?analog=on","6020BGSSZ"))*1</f>
        <v>#VALUE!</v>
      </c>
      <c r="B6074" s="1">
        <v>6990893</v>
      </c>
      <c r="C6074" t="s">
        <v>1436</v>
      </c>
      <c r="D6074" t="s">
        <v>6273</v>
      </c>
      <c r="E6074" t="s">
        <v>23</v>
      </c>
    </row>
    <row r="6075" spans="1:5" hidden="1" outlineLevel="2">
      <c r="A6075" s="3" t="e">
        <f>(HYPERLINK("http://www.autodoc.ru/Web/price/art/6020LGNE5RDW?analog=on","6020LGNE5RDW"))*1</f>
        <v>#VALUE!</v>
      </c>
      <c r="B6075" s="1">
        <v>6990895</v>
      </c>
      <c r="C6075" t="s">
        <v>1436</v>
      </c>
      <c r="D6075" t="s">
        <v>6274</v>
      </c>
      <c r="E6075" t="s">
        <v>10</v>
      </c>
    </row>
    <row r="6076" spans="1:5" hidden="1" outlineLevel="2">
      <c r="A6076" s="3" t="e">
        <f>(HYPERLINK("http://www.autodoc.ru/Web/price/art/6020LGNS4FDW?analog=on","6020LGNS4FDW"))*1</f>
        <v>#VALUE!</v>
      </c>
      <c r="B6076" s="1">
        <v>6990888</v>
      </c>
      <c r="C6076" t="s">
        <v>1436</v>
      </c>
      <c r="D6076" t="s">
        <v>6275</v>
      </c>
      <c r="E6076" t="s">
        <v>10</v>
      </c>
    </row>
    <row r="6077" spans="1:5" hidden="1" outlineLevel="2">
      <c r="A6077" s="3" t="e">
        <f>(HYPERLINK("http://www.autodoc.ru/Web/price/art/6020LGNS4RDW?analog=on","6020LGNS4RDW"))*1</f>
        <v>#VALUE!</v>
      </c>
      <c r="B6077" s="1">
        <v>6990890</v>
      </c>
      <c r="C6077" t="s">
        <v>1436</v>
      </c>
      <c r="D6077" t="s">
        <v>6276</v>
      </c>
      <c r="E6077" t="s">
        <v>10</v>
      </c>
    </row>
    <row r="6078" spans="1:5" hidden="1" outlineLevel="2">
      <c r="A6078" s="3" t="e">
        <f>(HYPERLINK("http://www.autodoc.ru/Web/price/art/6020LGNS4RVZ?analog=on","6020LGNS4RVZ"))*1</f>
        <v>#VALUE!</v>
      </c>
      <c r="B6078" s="1">
        <v>6990892</v>
      </c>
      <c r="C6078" t="s">
        <v>1436</v>
      </c>
      <c r="D6078" t="s">
        <v>6277</v>
      </c>
      <c r="E6078" t="s">
        <v>10</v>
      </c>
    </row>
    <row r="6079" spans="1:5" hidden="1" outlineLevel="2">
      <c r="A6079" s="3" t="e">
        <f>(HYPERLINK("http://www.autodoc.ru/Web/price/art/6020LGNE5RQZ?analog=on","6020LGNE5RQZ"))*1</f>
        <v>#VALUE!</v>
      </c>
      <c r="B6079" s="1">
        <v>6990897</v>
      </c>
      <c r="C6079" t="s">
        <v>1436</v>
      </c>
      <c r="D6079" t="s">
        <v>6278</v>
      </c>
      <c r="E6079" t="s">
        <v>10</v>
      </c>
    </row>
    <row r="6080" spans="1:5" hidden="1" outlineLevel="2">
      <c r="A6080" s="3" t="e">
        <f>(HYPERLINK("http://www.autodoc.ru/Web/price/art/6020RGNE5RDW?analog=on","6020RGNE5RDW"))*1</f>
        <v>#VALUE!</v>
      </c>
      <c r="B6080" s="1">
        <v>6990894</v>
      </c>
      <c r="C6080" t="s">
        <v>1436</v>
      </c>
      <c r="D6080" t="s">
        <v>6279</v>
      </c>
      <c r="E6080" t="s">
        <v>10</v>
      </c>
    </row>
    <row r="6081" spans="1:5" hidden="1" outlineLevel="2">
      <c r="A6081" s="3" t="e">
        <f>(HYPERLINK("http://www.autodoc.ru/Web/price/art/6020RGNS4FDW?analog=on","6020RGNS4FDW"))*1</f>
        <v>#VALUE!</v>
      </c>
      <c r="B6081" s="1">
        <v>6990887</v>
      </c>
      <c r="C6081" t="s">
        <v>1436</v>
      </c>
      <c r="D6081" t="s">
        <v>6280</v>
      </c>
      <c r="E6081" t="s">
        <v>10</v>
      </c>
    </row>
    <row r="6082" spans="1:5" hidden="1" outlineLevel="2">
      <c r="A6082" s="3" t="e">
        <f>(HYPERLINK("http://www.autodoc.ru/Web/price/art/6020RGNS4RDW?analog=on","6020RGNS4RDW"))*1</f>
        <v>#VALUE!</v>
      </c>
      <c r="B6082" s="1">
        <v>6990889</v>
      </c>
      <c r="C6082" t="s">
        <v>1436</v>
      </c>
      <c r="D6082" t="s">
        <v>6281</v>
      </c>
      <c r="E6082" t="s">
        <v>10</v>
      </c>
    </row>
    <row r="6083" spans="1:5" hidden="1" outlineLevel="2">
      <c r="A6083" s="3" t="e">
        <f>(HYPERLINK("http://www.autodoc.ru/Web/price/art/6020RGNS4RVZ?analog=on","6020RGNS4RVZ"))*1</f>
        <v>#VALUE!</v>
      </c>
      <c r="B6083" s="1">
        <v>6990891</v>
      </c>
      <c r="C6083" t="s">
        <v>1436</v>
      </c>
      <c r="D6083" t="s">
        <v>6282</v>
      </c>
      <c r="E6083" t="s">
        <v>10</v>
      </c>
    </row>
    <row r="6084" spans="1:5" hidden="1" outlineLevel="2">
      <c r="A6084" s="3" t="e">
        <f>(HYPERLINK("http://www.autodoc.ru/Web/price/art/6020RGNE5RQZ?analog=on","6020RGNE5RQZ"))*1</f>
        <v>#VALUE!</v>
      </c>
      <c r="B6084" s="1">
        <v>6990896</v>
      </c>
      <c r="C6084" t="s">
        <v>1436</v>
      </c>
      <c r="D6084" t="s">
        <v>6283</v>
      </c>
      <c r="E6084" t="s">
        <v>10</v>
      </c>
    </row>
    <row r="6085" spans="1:5" hidden="1" outlineLevel="1">
      <c r="A6085" s="2">
        <v>0</v>
      </c>
      <c r="B6085" s="26" t="s">
        <v>6284</v>
      </c>
      <c r="C6085" s="27">
        <v>0</v>
      </c>
      <c r="D6085" s="27">
        <v>0</v>
      </c>
      <c r="E6085" s="27">
        <v>0</v>
      </c>
    </row>
    <row r="6086" spans="1:5" hidden="1" outlineLevel="2">
      <c r="A6086" s="3" t="e">
        <f>(HYPERLINK("http://www.autodoc.ru/Web/price/art/6044AGSMV1P?analog=on","6044AGSMV1P"))*1</f>
        <v>#VALUE!</v>
      </c>
      <c r="B6086" s="1">
        <v>6962648</v>
      </c>
      <c r="C6086" t="s">
        <v>389</v>
      </c>
      <c r="D6086" t="s">
        <v>6285</v>
      </c>
      <c r="E6086" t="s">
        <v>8</v>
      </c>
    </row>
    <row r="6087" spans="1:5" hidden="1" outlineLevel="2">
      <c r="A6087" s="3" t="e">
        <f>(HYPERLINK("http://www.autodoc.ru/Web/price/art/6044AGSV?analog=on","6044AGSV"))*1</f>
        <v>#VALUE!</v>
      </c>
      <c r="B6087" s="1">
        <v>6962647</v>
      </c>
      <c r="C6087" t="s">
        <v>389</v>
      </c>
      <c r="D6087" t="s">
        <v>6286</v>
      </c>
      <c r="E6087" t="s">
        <v>8</v>
      </c>
    </row>
    <row r="6088" spans="1:5" hidden="1" outlineLevel="2">
      <c r="A6088" s="3" t="e">
        <f>(HYPERLINK("http://www.autodoc.ru/Web/price/art/6044ASMR?analog=on","6044ASMR"))*1</f>
        <v>#VALUE!</v>
      </c>
      <c r="B6088" s="1">
        <v>6102590</v>
      </c>
      <c r="C6088" t="s">
        <v>19</v>
      </c>
      <c r="D6088" t="s">
        <v>6287</v>
      </c>
      <c r="E6088" t="s">
        <v>21</v>
      </c>
    </row>
    <row r="6089" spans="1:5" hidden="1" outlineLevel="2">
      <c r="A6089" s="3" t="e">
        <f>(HYPERLINK("http://www.autodoc.ru/Web/price/art/6044BGSRW?analog=on","6044BGSRW"))*1</f>
        <v>#VALUE!</v>
      </c>
      <c r="B6089" s="1">
        <v>6993760</v>
      </c>
      <c r="C6089" t="s">
        <v>290</v>
      </c>
      <c r="D6089" t="s">
        <v>6288</v>
      </c>
      <c r="E6089" t="s">
        <v>23</v>
      </c>
    </row>
    <row r="6090" spans="1:5" hidden="1" outlineLevel="2">
      <c r="A6090" s="3" t="e">
        <f>(HYPERLINK("http://www.autodoc.ru/Web/price/art/6044BYPRJW?analog=on","6044BYPRJW"))*1</f>
        <v>#VALUE!</v>
      </c>
      <c r="B6090" s="1">
        <v>6993778</v>
      </c>
      <c r="C6090" t="s">
        <v>290</v>
      </c>
      <c r="D6090" t="s">
        <v>6289</v>
      </c>
      <c r="E6090" t="s">
        <v>23</v>
      </c>
    </row>
    <row r="6091" spans="1:5" hidden="1" outlineLevel="2">
      <c r="A6091" s="3" t="e">
        <f>(HYPERLINK("http://www.autodoc.ru/Web/price/art/6044BYPRW?analog=on","6044BYPRW"))*1</f>
        <v>#VALUE!</v>
      </c>
      <c r="B6091" s="1">
        <v>6901222</v>
      </c>
      <c r="C6091" t="s">
        <v>290</v>
      </c>
      <c r="D6091" t="s">
        <v>6290</v>
      </c>
      <c r="E6091" t="s">
        <v>23</v>
      </c>
    </row>
    <row r="6092" spans="1:5" hidden="1" outlineLevel="2">
      <c r="A6092" s="3" t="e">
        <f>(HYPERLINK("http://www.autodoc.ru/Web/price/art/6044BYPRW1J?analog=on","6044BYPRW1J"))*1</f>
        <v>#VALUE!</v>
      </c>
      <c r="B6092" s="1">
        <v>6901221</v>
      </c>
      <c r="C6092" t="s">
        <v>366</v>
      </c>
      <c r="D6092" t="s">
        <v>6291</v>
      </c>
      <c r="E6092" t="s">
        <v>23</v>
      </c>
    </row>
    <row r="6093" spans="1:5" hidden="1" outlineLevel="2">
      <c r="A6093" s="3" t="e">
        <f>(HYPERLINK("http://www.autodoc.ru/Web/price/art/6044LGSR5FDW?analog=on","6044LGSR5FDW"))*1</f>
        <v>#VALUE!</v>
      </c>
      <c r="B6093" s="1">
        <v>6900535</v>
      </c>
      <c r="C6093" t="s">
        <v>290</v>
      </c>
      <c r="D6093" t="s">
        <v>6292</v>
      </c>
      <c r="E6093" t="s">
        <v>10</v>
      </c>
    </row>
    <row r="6094" spans="1:5" hidden="1" outlineLevel="2">
      <c r="A6094" s="3" t="e">
        <f>(HYPERLINK("http://www.autodoc.ru/Web/price/art/6044LGNR5FDW1J?analog=on","6044LGNR5FDW1J"))*1</f>
        <v>#VALUE!</v>
      </c>
      <c r="B6094" s="1">
        <v>6997719</v>
      </c>
      <c r="C6094" t="s">
        <v>366</v>
      </c>
      <c r="D6094" t="s">
        <v>6293</v>
      </c>
      <c r="E6094" t="s">
        <v>10</v>
      </c>
    </row>
    <row r="6095" spans="1:5" hidden="1" outlineLevel="2">
      <c r="A6095" s="3" t="e">
        <f>(HYPERLINK("http://www.autodoc.ru/Web/price/art/6044LGSR5RDW?analog=on","6044LGSR5RDW"))*1</f>
        <v>#VALUE!</v>
      </c>
      <c r="B6095" s="1">
        <v>6993385</v>
      </c>
      <c r="C6095" t="s">
        <v>290</v>
      </c>
      <c r="D6095" t="s">
        <v>6294</v>
      </c>
      <c r="E6095" t="s">
        <v>10</v>
      </c>
    </row>
    <row r="6096" spans="1:5" hidden="1" outlineLevel="2">
      <c r="A6096" s="3" t="e">
        <f>(HYPERLINK("http://www.autodoc.ru/Web/price/art/6044LGSR5RQ?analog=on","6044LGSR5RQ"))*1</f>
        <v>#VALUE!</v>
      </c>
      <c r="B6096" s="1">
        <v>6993763</v>
      </c>
      <c r="C6096" t="s">
        <v>290</v>
      </c>
      <c r="D6096" t="s">
        <v>6295</v>
      </c>
      <c r="E6096" t="s">
        <v>10</v>
      </c>
    </row>
    <row r="6097" spans="1:5" hidden="1" outlineLevel="2">
      <c r="A6097" s="3" t="e">
        <f>(HYPERLINK("http://www.autodoc.ru/Web/price/art/6044LYPR5RDW?analog=on","6044LYPR5RDW"))*1</f>
        <v>#VALUE!</v>
      </c>
      <c r="B6097" s="1">
        <v>6993387</v>
      </c>
      <c r="C6097" t="s">
        <v>290</v>
      </c>
      <c r="D6097" t="s">
        <v>6296</v>
      </c>
      <c r="E6097" t="s">
        <v>10</v>
      </c>
    </row>
    <row r="6098" spans="1:5" hidden="1" outlineLevel="2">
      <c r="A6098" s="3" t="e">
        <f>(HYPERLINK("http://www.autodoc.ru/Web/price/art/6044LYPR5RQ?analog=on","6044LYPR5RQ"))*1</f>
        <v>#VALUE!</v>
      </c>
      <c r="B6098" s="1">
        <v>6993765</v>
      </c>
      <c r="C6098" t="s">
        <v>290</v>
      </c>
      <c r="D6098" t="s">
        <v>6297</v>
      </c>
      <c r="E6098" t="s">
        <v>10</v>
      </c>
    </row>
    <row r="6099" spans="1:5" hidden="1" outlineLevel="2">
      <c r="A6099" s="3" t="e">
        <f>(HYPERLINK("http://www.autodoc.ru/Web/price/art/6044LYPR5RQ1J?analog=on","6044LYPR5RQ1J"))*1</f>
        <v>#VALUE!</v>
      </c>
      <c r="B6099" s="1">
        <v>6997723</v>
      </c>
      <c r="C6099" t="s">
        <v>366</v>
      </c>
      <c r="D6099" t="s">
        <v>6298</v>
      </c>
      <c r="E6099" t="s">
        <v>10</v>
      </c>
    </row>
    <row r="6100" spans="1:5" hidden="1" outlineLevel="2">
      <c r="A6100" s="3" t="e">
        <f>(HYPERLINK("http://www.autodoc.ru/Web/price/art/6044RGSR5FDW?analog=on","6044RGSR5FDW"))*1</f>
        <v>#VALUE!</v>
      </c>
      <c r="B6100" s="1">
        <v>6900536</v>
      </c>
      <c r="C6100" t="s">
        <v>290</v>
      </c>
      <c r="D6100" t="s">
        <v>6299</v>
      </c>
      <c r="E6100" t="s">
        <v>10</v>
      </c>
    </row>
    <row r="6101" spans="1:5" hidden="1" outlineLevel="2">
      <c r="A6101" s="3" t="e">
        <f>(HYPERLINK("http://www.autodoc.ru/Web/price/art/6044RGNR5FDW1J?analog=on","6044RGNR5FDW1J"))*1</f>
        <v>#VALUE!</v>
      </c>
      <c r="B6101" s="1">
        <v>6997718</v>
      </c>
      <c r="C6101" t="s">
        <v>290</v>
      </c>
      <c r="D6101" t="s">
        <v>6300</v>
      </c>
      <c r="E6101" t="s">
        <v>10</v>
      </c>
    </row>
    <row r="6102" spans="1:5" hidden="1" outlineLevel="2">
      <c r="A6102" s="3" t="e">
        <f>(HYPERLINK("http://www.autodoc.ru/Web/price/art/6044RGSR5RDW?analog=on","6044RGSR5RDW"))*1</f>
        <v>#VALUE!</v>
      </c>
      <c r="B6102" s="1">
        <v>6993384</v>
      </c>
      <c r="C6102" t="s">
        <v>290</v>
      </c>
      <c r="D6102" t="s">
        <v>6301</v>
      </c>
      <c r="E6102" t="s">
        <v>10</v>
      </c>
    </row>
    <row r="6103" spans="1:5" hidden="1" outlineLevel="2">
      <c r="A6103" s="3" t="e">
        <f>(HYPERLINK("http://www.autodoc.ru/Web/price/art/6044RGSR5RQ?analog=on","6044RGSR5RQ"))*1</f>
        <v>#VALUE!</v>
      </c>
      <c r="B6103" s="1">
        <v>6993762</v>
      </c>
      <c r="C6103" t="s">
        <v>290</v>
      </c>
      <c r="D6103" t="s">
        <v>6302</v>
      </c>
      <c r="E6103" t="s">
        <v>10</v>
      </c>
    </row>
    <row r="6104" spans="1:5" hidden="1" outlineLevel="2">
      <c r="A6104" s="3" t="e">
        <f>(HYPERLINK("http://www.autodoc.ru/Web/price/art/6044RYPR5RDW?analog=on","6044RYPR5RDW"))*1</f>
        <v>#VALUE!</v>
      </c>
      <c r="B6104" s="1">
        <v>6993386</v>
      </c>
      <c r="C6104" t="s">
        <v>290</v>
      </c>
      <c r="D6104" t="s">
        <v>6303</v>
      </c>
      <c r="E6104" t="s">
        <v>10</v>
      </c>
    </row>
    <row r="6105" spans="1:5" hidden="1" outlineLevel="2">
      <c r="A6105" s="3" t="e">
        <f>(HYPERLINK("http://www.autodoc.ru/Web/price/art/6044RYPR5RQ?analog=on","6044RYPR5RQ"))*1</f>
        <v>#VALUE!</v>
      </c>
      <c r="B6105" s="1">
        <v>6993764</v>
      </c>
      <c r="C6105" t="s">
        <v>290</v>
      </c>
      <c r="D6105" t="s">
        <v>6304</v>
      </c>
      <c r="E6105" t="s">
        <v>10</v>
      </c>
    </row>
    <row r="6106" spans="1:5" hidden="1" outlineLevel="1">
      <c r="A6106" s="2">
        <v>0</v>
      </c>
      <c r="B6106" s="26" t="s">
        <v>6305</v>
      </c>
      <c r="C6106" s="27">
        <v>0</v>
      </c>
      <c r="D6106" s="27">
        <v>0</v>
      </c>
      <c r="E6106" s="27">
        <v>0</v>
      </c>
    </row>
    <row r="6107" spans="1:5" hidden="1" outlineLevel="2">
      <c r="A6107" s="3" t="e">
        <f>(HYPERLINK("http://www.autodoc.ru/Web/price/art/5992ABZ?analog=on","5992ABZ"))*1</f>
        <v>#VALUE!</v>
      </c>
      <c r="B6107" s="1">
        <v>6968309</v>
      </c>
      <c r="C6107" t="s">
        <v>1573</v>
      </c>
      <c r="D6107" t="s">
        <v>6306</v>
      </c>
      <c r="E6107" t="s">
        <v>8</v>
      </c>
    </row>
    <row r="6108" spans="1:5" hidden="1" outlineLevel="2">
      <c r="A6108" s="3" t="e">
        <f>(HYPERLINK("http://www.autodoc.ru/Web/price/art/5992ACL?analog=on","5992ACL"))*1</f>
        <v>#VALUE!</v>
      </c>
      <c r="B6108" s="1">
        <v>6968310</v>
      </c>
      <c r="C6108" t="s">
        <v>1573</v>
      </c>
      <c r="D6108" t="s">
        <v>6307</v>
      </c>
      <c r="E6108" t="s">
        <v>8</v>
      </c>
    </row>
    <row r="6109" spans="1:5" hidden="1" outlineLevel="2">
      <c r="A6109" s="3" t="e">
        <f>(HYPERLINK("http://www.autodoc.ru/Web/price/art/5992AGN?analog=on","5992AGN"))*1</f>
        <v>#VALUE!</v>
      </c>
      <c r="B6109" s="1">
        <v>6968307</v>
      </c>
      <c r="C6109" t="s">
        <v>1573</v>
      </c>
      <c r="D6109" t="s">
        <v>6308</v>
      </c>
      <c r="E6109" t="s">
        <v>8</v>
      </c>
    </row>
    <row r="6110" spans="1:5" hidden="1" outlineLevel="2">
      <c r="A6110" s="3" t="e">
        <f>(HYPERLINK("http://www.autodoc.ru/Web/price/art/5992AGNBL?analog=on","5992AGNBL"))*1</f>
        <v>#VALUE!</v>
      </c>
      <c r="B6110" s="1">
        <v>6963987</v>
      </c>
      <c r="C6110" t="s">
        <v>1573</v>
      </c>
      <c r="D6110" t="s">
        <v>6309</v>
      </c>
      <c r="E6110" t="s">
        <v>8</v>
      </c>
    </row>
    <row r="6111" spans="1:5" hidden="1" outlineLevel="2">
      <c r="A6111" s="3" t="e">
        <f>(HYPERLINK("http://www.autodoc.ru/Web/price/art/5992AKMV?analog=on","5992AKMV"))*1</f>
        <v>#VALUE!</v>
      </c>
      <c r="B6111" s="1">
        <v>6101184</v>
      </c>
      <c r="C6111" t="s">
        <v>19</v>
      </c>
      <c r="D6111" t="s">
        <v>6310</v>
      </c>
      <c r="E6111" t="s">
        <v>21</v>
      </c>
    </row>
    <row r="6112" spans="1:5" hidden="1" outlineLevel="2">
      <c r="A6112" s="3" t="e">
        <f>(HYPERLINK("http://www.autodoc.ru/Web/price/art/5992BCLVL?analog=on","5992BCLVL"))*1</f>
        <v>#VALUE!</v>
      </c>
      <c r="B6112" s="1">
        <v>6998031</v>
      </c>
      <c r="C6112" t="s">
        <v>1573</v>
      </c>
      <c r="D6112" t="s">
        <v>6311</v>
      </c>
      <c r="E6112" t="s">
        <v>23</v>
      </c>
    </row>
    <row r="6113" spans="1:5" hidden="1" outlineLevel="2">
      <c r="A6113" s="3" t="e">
        <f>(HYPERLINK("http://www.autodoc.ru/Web/price/art/5992BGNVL?analog=on","5992BGNVL"))*1</f>
        <v>#VALUE!</v>
      </c>
      <c r="B6113" s="1">
        <v>6998771</v>
      </c>
      <c r="C6113" t="s">
        <v>1573</v>
      </c>
      <c r="D6113" t="s">
        <v>6312</v>
      </c>
      <c r="E6113" t="s">
        <v>23</v>
      </c>
    </row>
    <row r="6114" spans="1:5" hidden="1" outlineLevel="2">
      <c r="A6114" s="3" t="e">
        <f>(HYPERLINK("http://www.autodoc.ru/Web/price/art/5992LGNV3FDW?analog=on","5992LGNV3FDW"))*1</f>
        <v>#VALUE!</v>
      </c>
      <c r="B6114" s="1">
        <v>6994501</v>
      </c>
      <c r="C6114" t="s">
        <v>1573</v>
      </c>
      <c r="D6114" t="s">
        <v>6313</v>
      </c>
      <c r="E6114" t="s">
        <v>10</v>
      </c>
    </row>
    <row r="6115" spans="1:5" hidden="1" outlineLevel="2">
      <c r="A6115" s="3" t="e">
        <f>(HYPERLINK("http://www.autodoc.ru/Web/price/art/5992RGNV3FDW?analog=on","5992RGNV3FDW"))*1</f>
        <v>#VALUE!</v>
      </c>
      <c r="B6115" s="1">
        <v>6994502</v>
      </c>
      <c r="C6115" t="s">
        <v>1573</v>
      </c>
      <c r="D6115" t="s">
        <v>6314</v>
      </c>
      <c r="E6115" t="s">
        <v>10</v>
      </c>
    </row>
    <row r="6116" spans="1:5" hidden="1" outlineLevel="1">
      <c r="A6116" s="2">
        <v>0</v>
      </c>
      <c r="B6116" s="26" t="s">
        <v>6315</v>
      </c>
      <c r="C6116" s="27">
        <v>0</v>
      </c>
      <c r="D6116" s="27">
        <v>0</v>
      </c>
      <c r="E6116" s="27">
        <v>0</v>
      </c>
    </row>
    <row r="6117" spans="1:5" hidden="1" outlineLevel="2">
      <c r="A6117" s="3" t="e">
        <f>(HYPERLINK("http://www.autodoc.ru/Web/price/art/5953ABL?analog=on","5953ABL"))*1</f>
        <v>#VALUE!</v>
      </c>
      <c r="B6117" s="1">
        <v>6963487</v>
      </c>
      <c r="C6117" t="s">
        <v>6316</v>
      </c>
      <c r="D6117" t="s">
        <v>6317</v>
      </c>
      <c r="E6117" t="s">
        <v>8</v>
      </c>
    </row>
    <row r="6118" spans="1:5" hidden="1" outlineLevel="1">
      <c r="A6118" s="2">
        <v>0</v>
      </c>
      <c r="B6118" s="26" t="s">
        <v>6318</v>
      </c>
      <c r="C6118" s="27">
        <v>0</v>
      </c>
      <c r="D6118" s="27">
        <v>0</v>
      </c>
      <c r="E6118" s="27">
        <v>0</v>
      </c>
    </row>
    <row r="6119" spans="1:5" hidden="1" outlineLevel="2">
      <c r="A6119" s="3" t="e">
        <f>(HYPERLINK("http://www.autodoc.ru/Web/price/art/5952ABL?analog=on","5952ABL"))*1</f>
        <v>#VALUE!</v>
      </c>
      <c r="B6119" s="1">
        <v>6963486</v>
      </c>
      <c r="C6119" t="s">
        <v>6316</v>
      </c>
      <c r="D6119" t="s">
        <v>6319</v>
      </c>
      <c r="E6119" t="s">
        <v>8</v>
      </c>
    </row>
    <row r="6120" spans="1:5" hidden="1" outlineLevel="1">
      <c r="A6120" s="2">
        <v>0</v>
      </c>
      <c r="B6120" s="26" t="s">
        <v>6320</v>
      </c>
      <c r="C6120" s="27">
        <v>0</v>
      </c>
      <c r="D6120" s="27">
        <v>0</v>
      </c>
      <c r="E6120" s="27">
        <v>0</v>
      </c>
    </row>
    <row r="6121" spans="1:5" hidden="1" outlineLevel="2">
      <c r="A6121" s="3" t="e">
        <f>(HYPERLINK("http://www.autodoc.ru/Web/price/art/5971ABL?analog=on","5971ABL"))*1</f>
        <v>#VALUE!</v>
      </c>
      <c r="B6121" s="1">
        <v>6963650</v>
      </c>
      <c r="C6121" t="s">
        <v>2999</v>
      </c>
      <c r="D6121" t="s">
        <v>6321</v>
      </c>
      <c r="E6121" t="s">
        <v>8</v>
      </c>
    </row>
    <row r="6122" spans="1:5" hidden="1" outlineLevel="2">
      <c r="A6122" s="3" t="e">
        <f>(HYPERLINK("http://www.autodoc.ru/Web/price/art/5971AKMS?analog=on","5971AKMS"))*1</f>
        <v>#VALUE!</v>
      </c>
      <c r="B6122" s="1">
        <v>6102363</v>
      </c>
      <c r="C6122" t="s">
        <v>19</v>
      </c>
      <c r="D6122" t="s">
        <v>6322</v>
      </c>
      <c r="E6122" t="s">
        <v>21</v>
      </c>
    </row>
    <row r="6123" spans="1:5" hidden="1" outlineLevel="1">
      <c r="A6123" s="2">
        <v>0</v>
      </c>
      <c r="B6123" s="26" t="s">
        <v>6323</v>
      </c>
      <c r="C6123" s="27">
        <v>0</v>
      </c>
      <c r="D6123" s="27">
        <v>0</v>
      </c>
      <c r="E6123" s="27">
        <v>0</v>
      </c>
    </row>
    <row r="6124" spans="1:5" hidden="1" outlineLevel="2">
      <c r="A6124" s="3" t="e">
        <f>(HYPERLINK("http://www.autodoc.ru/Web/price/art/5967ABLBL?analog=on","5967ABLBL"))*1</f>
        <v>#VALUE!</v>
      </c>
      <c r="B6124" s="1">
        <v>6968304</v>
      </c>
      <c r="C6124" t="s">
        <v>2999</v>
      </c>
      <c r="D6124" t="s">
        <v>6324</v>
      </c>
      <c r="E6124" t="s">
        <v>8</v>
      </c>
    </row>
    <row r="6125" spans="1:5" hidden="1" outlineLevel="2">
      <c r="A6125" s="3" t="e">
        <f>(HYPERLINK("http://www.autodoc.ru/Web/price/art/5967ACL?analog=on","5967ACL"))*1</f>
        <v>#VALUE!</v>
      </c>
      <c r="B6125" s="1">
        <v>6968301</v>
      </c>
      <c r="C6125" t="s">
        <v>2999</v>
      </c>
      <c r="D6125" t="s">
        <v>6325</v>
      </c>
      <c r="E6125" t="s">
        <v>8</v>
      </c>
    </row>
    <row r="6126" spans="1:5" hidden="1" outlineLevel="2">
      <c r="A6126" s="3" t="e">
        <f>(HYPERLINK("http://www.autodoc.ru/Web/price/art/5967AKMH?analog=on","5967AKMH"))*1</f>
        <v>#VALUE!</v>
      </c>
      <c r="B6126" s="1">
        <v>6101193</v>
      </c>
      <c r="C6126" t="s">
        <v>19</v>
      </c>
      <c r="D6126" t="s">
        <v>6326</v>
      </c>
      <c r="E6126" t="s">
        <v>21</v>
      </c>
    </row>
    <row r="6127" spans="1:5" hidden="1" outlineLevel="2">
      <c r="A6127" s="3" t="e">
        <f>(HYPERLINK("http://www.autodoc.ru/Web/price/art/5967LBLH5FDW?analog=on","5967LBLH5FDW"))*1</f>
        <v>#VALUE!</v>
      </c>
      <c r="B6127" s="1">
        <v>6994495</v>
      </c>
      <c r="C6127" t="s">
        <v>2999</v>
      </c>
      <c r="D6127" t="s">
        <v>6327</v>
      </c>
      <c r="E6127" t="s">
        <v>10</v>
      </c>
    </row>
    <row r="6128" spans="1:5" hidden="1" outlineLevel="2">
      <c r="A6128" s="3" t="e">
        <f>(HYPERLINK("http://www.autodoc.ru/Web/price/art/5967LBLH5RD?analog=on","5967LBLH5RD"))*1</f>
        <v>#VALUE!</v>
      </c>
      <c r="B6128" s="1">
        <v>6996798</v>
      </c>
      <c r="C6128" t="s">
        <v>2999</v>
      </c>
      <c r="D6128" t="s">
        <v>6328</v>
      </c>
      <c r="E6128" t="s">
        <v>10</v>
      </c>
    </row>
    <row r="6129" spans="1:5" hidden="1" outlineLevel="2">
      <c r="A6129" s="3" t="e">
        <f>(HYPERLINK("http://www.autodoc.ru/Web/price/art/5967LBLH5RV?analog=on","5967LBLH5RV"))*1</f>
        <v>#VALUE!</v>
      </c>
      <c r="B6129" s="1">
        <v>6996799</v>
      </c>
      <c r="C6129" t="s">
        <v>2999</v>
      </c>
      <c r="D6129" t="s">
        <v>6329</v>
      </c>
      <c r="E6129" t="s">
        <v>10</v>
      </c>
    </row>
    <row r="6130" spans="1:5" hidden="1" outlineLevel="2">
      <c r="A6130" s="3" t="e">
        <f>(HYPERLINK("http://www.autodoc.ru/Web/price/art/5967LBLS4RV?analog=on","5967LBLS4RV"))*1</f>
        <v>#VALUE!</v>
      </c>
      <c r="B6130" s="1">
        <v>6995327</v>
      </c>
      <c r="C6130" t="s">
        <v>2999</v>
      </c>
      <c r="D6130" t="s">
        <v>6330</v>
      </c>
      <c r="E6130" t="s">
        <v>10</v>
      </c>
    </row>
    <row r="6131" spans="1:5" hidden="1" outlineLevel="2">
      <c r="A6131" s="3" t="e">
        <f>(HYPERLINK("http://www.autodoc.ru/Web/price/art/5967RBLH5FDW?analog=on","5967RBLH5FDW"))*1</f>
        <v>#VALUE!</v>
      </c>
      <c r="B6131" s="1">
        <v>6994496</v>
      </c>
      <c r="C6131" t="s">
        <v>2999</v>
      </c>
      <c r="D6131" t="s">
        <v>6331</v>
      </c>
      <c r="E6131" t="s">
        <v>10</v>
      </c>
    </row>
    <row r="6132" spans="1:5" hidden="1" outlineLevel="2">
      <c r="A6132" s="3" t="e">
        <f>(HYPERLINK("http://www.autodoc.ru/Web/price/art/5967RBLH5RD?analog=on","5967RBLH5RD"))*1</f>
        <v>#VALUE!</v>
      </c>
      <c r="B6132" s="1">
        <v>6996800</v>
      </c>
      <c r="C6132" t="s">
        <v>2999</v>
      </c>
      <c r="D6132" t="s">
        <v>6332</v>
      </c>
      <c r="E6132" t="s">
        <v>10</v>
      </c>
    </row>
    <row r="6133" spans="1:5" hidden="1" outlineLevel="2">
      <c r="A6133" s="3" t="e">
        <f>(HYPERLINK("http://www.autodoc.ru/Web/price/art/5967RBLH5RV?analog=on","5967RBLH5RV"))*1</f>
        <v>#VALUE!</v>
      </c>
      <c r="B6133" s="1">
        <v>6996801</v>
      </c>
      <c r="C6133" t="s">
        <v>2999</v>
      </c>
      <c r="D6133" t="s">
        <v>6333</v>
      </c>
      <c r="E6133" t="s">
        <v>10</v>
      </c>
    </row>
    <row r="6134" spans="1:5" hidden="1" outlineLevel="1">
      <c r="A6134" s="2">
        <v>0</v>
      </c>
      <c r="B6134" s="26" t="s">
        <v>6334</v>
      </c>
      <c r="C6134" s="27">
        <v>0</v>
      </c>
      <c r="D6134" s="27">
        <v>0</v>
      </c>
      <c r="E6134" s="27">
        <v>0</v>
      </c>
    </row>
    <row r="6135" spans="1:5" hidden="1" outlineLevel="2">
      <c r="A6135" s="3" t="e">
        <f>(HYPERLINK("http://www.autodoc.ru/Web/price/art/5984ABL?analog=on","5984ABL"))*1</f>
        <v>#VALUE!</v>
      </c>
      <c r="B6135" s="1">
        <v>6968305</v>
      </c>
      <c r="C6135" t="s">
        <v>3237</v>
      </c>
      <c r="D6135" t="s">
        <v>6335</v>
      </c>
      <c r="E6135" t="s">
        <v>8</v>
      </c>
    </row>
    <row r="6136" spans="1:5" hidden="1" outlineLevel="2">
      <c r="A6136" s="3" t="e">
        <f>(HYPERLINK("http://www.autodoc.ru/Web/price/art/5984ABLBL?analog=on","5984ABLBL"))*1</f>
        <v>#VALUE!</v>
      </c>
      <c r="B6136" s="1">
        <v>6968306</v>
      </c>
      <c r="C6136" t="s">
        <v>3237</v>
      </c>
      <c r="D6136" t="s">
        <v>6336</v>
      </c>
      <c r="E6136" t="s">
        <v>8</v>
      </c>
    </row>
    <row r="6137" spans="1:5" hidden="1" outlineLevel="2">
      <c r="A6137" s="3" t="e">
        <f>(HYPERLINK("http://www.autodoc.ru/Web/price/art/5984ACL?analog=on","5984ACL"))*1</f>
        <v>#VALUE!</v>
      </c>
      <c r="B6137" s="1">
        <v>6964520</v>
      </c>
      <c r="C6137" t="s">
        <v>3237</v>
      </c>
      <c r="D6137" t="s">
        <v>6337</v>
      </c>
      <c r="E6137" t="s">
        <v>8</v>
      </c>
    </row>
    <row r="6138" spans="1:5" hidden="1" outlineLevel="2">
      <c r="A6138" s="3" t="e">
        <f>(HYPERLINK("http://www.autodoc.ru/Web/price/art/5984AKMH?analog=on","5984AKMH"))*1</f>
        <v>#VALUE!</v>
      </c>
      <c r="B6138" s="1">
        <v>6101246</v>
      </c>
      <c r="C6138" t="s">
        <v>19</v>
      </c>
      <c r="D6138" t="s">
        <v>6338</v>
      </c>
      <c r="E6138" t="s">
        <v>21</v>
      </c>
    </row>
    <row r="6139" spans="1:5" hidden="1" outlineLevel="2">
      <c r="A6139" s="3" t="e">
        <f>(HYPERLINK("http://www.autodoc.ru/Web/price/art/5984BBLS?analog=on","5984BBLS"))*1</f>
        <v>#VALUE!</v>
      </c>
      <c r="B6139" s="1">
        <v>6996100</v>
      </c>
      <c r="C6139" t="s">
        <v>3237</v>
      </c>
      <c r="D6139" t="s">
        <v>6339</v>
      </c>
      <c r="E6139" t="s">
        <v>23</v>
      </c>
    </row>
    <row r="6140" spans="1:5" hidden="1" outlineLevel="2">
      <c r="A6140" s="3" t="e">
        <f>(HYPERLINK("http://www.autodoc.ru/Web/price/art/5984BBLH1J?analog=on","5984BBLH1J"))*1</f>
        <v>#VALUE!</v>
      </c>
      <c r="B6140" s="1">
        <v>6992425</v>
      </c>
      <c r="C6140" t="s">
        <v>3237</v>
      </c>
      <c r="D6140" t="s">
        <v>6340</v>
      </c>
      <c r="E6140" t="s">
        <v>23</v>
      </c>
    </row>
    <row r="6141" spans="1:5" hidden="1" outlineLevel="2">
      <c r="A6141" s="3" t="e">
        <f>(HYPERLINK("http://www.autodoc.ru/Web/price/art/5984LBLH3FDW?analog=on","5984LBLH3FDW"))*1</f>
        <v>#VALUE!</v>
      </c>
      <c r="B6141" s="1">
        <v>6996108</v>
      </c>
      <c r="C6141" t="s">
        <v>3237</v>
      </c>
      <c r="D6141" t="s">
        <v>6341</v>
      </c>
      <c r="E6141" t="s">
        <v>10</v>
      </c>
    </row>
    <row r="6142" spans="1:5" hidden="1" outlineLevel="2">
      <c r="A6142" s="3" t="e">
        <f>(HYPERLINK("http://www.autodoc.ru/Web/price/art/5984LBLH5FDW?analog=on","5984LBLH5FDW"))*1</f>
        <v>#VALUE!</v>
      </c>
      <c r="B6142" s="1">
        <v>6996110</v>
      </c>
      <c r="C6142" t="s">
        <v>3237</v>
      </c>
      <c r="D6142" t="s">
        <v>6342</v>
      </c>
      <c r="E6142" t="s">
        <v>10</v>
      </c>
    </row>
    <row r="6143" spans="1:5" hidden="1" outlineLevel="2">
      <c r="A6143" s="3" t="e">
        <f>(HYPERLINK("http://www.autodoc.ru/Web/price/art/5984LBLH5RV?analog=on","5984LBLH5RV"))*1</f>
        <v>#VALUE!</v>
      </c>
      <c r="B6143" s="1">
        <v>6995790</v>
      </c>
      <c r="C6143" t="s">
        <v>3237</v>
      </c>
      <c r="D6143" t="s">
        <v>6343</v>
      </c>
      <c r="E6143" t="s">
        <v>10</v>
      </c>
    </row>
    <row r="6144" spans="1:5" hidden="1" outlineLevel="2">
      <c r="A6144" s="3" t="e">
        <f>(HYPERLINK("http://www.autodoc.ru/Web/price/art/5984RBLH3FDW?analog=on","5984RBLH3FDW"))*1</f>
        <v>#VALUE!</v>
      </c>
      <c r="B6144" s="1">
        <v>6996107</v>
      </c>
      <c r="C6144" t="s">
        <v>3237</v>
      </c>
      <c r="D6144" t="s">
        <v>6344</v>
      </c>
      <c r="E6144" t="s">
        <v>10</v>
      </c>
    </row>
    <row r="6145" spans="1:5" hidden="1" outlineLevel="2">
      <c r="A6145" s="3" t="e">
        <f>(HYPERLINK("http://www.autodoc.ru/Web/price/art/5984RBLH5FDW?analog=on","5984RBLH5FDW"))*1</f>
        <v>#VALUE!</v>
      </c>
      <c r="B6145" s="1">
        <v>6996109</v>
      </c>
      <c r="C6145" t="s">
        <v>3237</v>
      </c>
      <c r="D6145" t="s">
        <v>6345</v>
      </c>
      <c r="E6145" t="s">
        <v>10</v>
      </c>
    </row>
    <row r="6146" spans="1:5" hidden="1" outlineLevel="2">
      <c r="A6146" s="3" t="e">
        <f>(HYPERLINK("http://www.autodoc.ru/Web/price/art/5984RBLH5RDW?analog=on","5984RBLH5RDW"))*1</f>
        <v>#VALUE!</v>
      </c>
      <c r="B6146" s="1">
        <v>6995791</v>
      </c>
      <c r="C6146" t="s">
        <v>3237</v>
      </c>
      <c r="D6146" t="s">
        <v>6346</v>
      </c>
      <c r="E6146" t="s">
        <v>10</v>
      </c>
    </row>
    <row r="6147" spans="1:5" hidden="1" outlineLevel="2">
      <c r="A6147" s="3" t="e">
        <f>(HYPERLINK("http://www.autodoc.ru/Web/price/art/5984RBLH5RV?analog=on","5984RBLH5RV"))*1</f>
        <v>#VALUE!</v>
      </c>
      <c r="B6147" s="1">
        <v>6995792</v>
      </c>
      <c r="C6147" t="s">
        <v>3237</v>
      </c>
      <c r="D6147" t="s">
        <v>6347</v>
      </c>
      <c r="E6147" t="s">
        <v>10</v>
      </c>
    </row>
    <row r="6148" spans="1:5" hidden="1" outlineLevel="1">
      <c r="A6148" s="2">
        <v>0</v>
      </c>
      <c r="B6148" s="26" t="s">
        <v>6348</v>
      </c>
      <c r="C6148" s="27">
        <v>0</v>
      </c>
      <c r="D6148" s="27">
        <v>0</v>
      </c>
      <c r="E6148" s="27">
        <v>0</v>
      </c>
    </row>
    <row r="6149" spans="1:5" hidden="1" outlineLevel="2">
      <c r="A6149" s="3" t="e">
        <f>(HYPERLINK("http://www.autodoc.ru/Web/price/art/5987ABL?analog=on","5987ABL"))*1</f>
        <v>#VALUE!</v>
      </c>
      <c r="B6149" s="1">
        <v>6963494</v>
      </c>
      <c r="C6149" t="s">
        <v>1109</v>
      </c>
      <c r="D6149" t="s">
        <v>6349</v>
      </c>
      <c r="E6149" t="s">
        <v>8</v>
      </c>
    </row>
    <row r="6150" spans="1:5" hidden="1" outlineLevel="2">
      <c r="A6150" s="3" t="e">
        <f>(HYPERLINK("http://www.autodoc.ru/Web/price/art/5987ABLBL?analog=on","5987ABLBL"))*1</f>
        <v>#VALUE!</v>
      </c>
      <c r="B6150" s="1">
        <v>6963225</v>
      </c>
      <c r="C6150" t="s">
        <v>1109</v>
      </c>
      <c r="D6150" t="s">
        <v>6350</v>
      </c>
      <c r="E6150" t="s">
        <v>8</v>
      </c>
    </row>
    <row r="6151" spans="1:5" hidden="1" outlineLevel="2">
      <c r="A6151" s="3" t="e">
        <f>(HYPERLINK("http://www.autodoc.ru/Web/price/art/5987ASME?analog=on","5987ASME"))*1</f>
        <v>#VALUE!</v>
      </c>
      <c r="B6151" s="1">
        <v>6102185</v>
      </c>
      <c r="C6151" t="s">
        <v>19</v>
      </c>
      <c r="D6151" t="s">
        <v>6351</v>
      </c>
      <c r="E6151" t="s">
        <v>21</v>
      </c>
    </row>
    <row r="6152" spans="1:5" hidden="1" outlineLevel="1">
      <c r="A6152" s="2">
        <v>0</v>
      </c>
      <c r="B6152" s="26" t="s">
        <v>6352</v>
      </c>
      <c r="C6152" s="27">
        <v>0</v>
      </c>
      <c r="D6152" s="27">
        <v>0</v>
      </c>
      <c r="E6152" s="27">
        <v>0</v>
      </c>
    </row>
    <row r="6153" spans="1:5" hidden="1" outlineLevel="2">
      <c r="A6153" s="3" t="e">
        <f>(HYPERLINK("http://www.autodoc.ru/Web/price/art/6070AGNBL?analog=on","6070AGNBL"))*1</f>
        <v>#VALUE!</v>
      </c>
      <c r="B6153" s="1">
        <v>6964939</v>
      </c>
      <c r="C6153" t="s">
        <v>1309</v>
      </c>
      <c r="D6153" t="s">
        <v>6353</v>
      </c>
      <c r="E6153" t="s">
        <v>8</v>
      </c>
    </row>
    <row r="6154" spans="1:5" hidden="1" outlineLevel="1">
      <c r="A6154" s="2">
        <v>0</v>
      </c>
      <c r="B6154" s="26" t="s">
        <v>6354</v>
      </c>
      <c r="C6154" s="27">
        <v>0</v>
      </c>
      <c r="D6154" s="27">
        <v>0</v>
      </c>
      <c r="E6154" s="27">
        <v>0</v>
      </c>
    </row>
    <row r="6155" spans="1:5" hidden="1" outlineLevel="2">
      <c r="A6155" s="3" t="e">
        <f>(HYPERLINK("http://www.autodoc.ru/Web/price/art/6067AGNBL?analog=on","6067AGNBL"))*1</f>
        <v>#VALUE!</v>
      </c>
      <c r="B6155" s="1">
        <v>6964835</v>
      </c>
      <c r="C6155" t="s">
        <v>366</v>
      </c>
      <c r="D6155" t="s">
        <v>6355</v>
      </c>
      <c r="E6155" t="s">
        <v>8</v>
      </c>
    </row>
    <row r="6156" spans="1:5" hidden="1" outlineLevel="1">
      <c r="A6156" s="2">
        <v>0</v>
      </c>
      <c r="B6156" s="26" t="s">
        <v>6356</v>
      </c>
      <c r="C6156" s="27">
        <v>0</v>
      </c>
      <c r="D6156" s="27">
        <v>0</v>
      </c>
      <c r="E6156" s="27">
        <v>0</v>
      </c>
    </row>
    <row r="6157" spans="1:5" hidden="1" outlineLevel="2">
      <c r="A6157" s="3" t="e">
        <f>(HYPERLINK("http://www.autodoc.ru/Web/price/art/5966ABL?analog=on","5966ABL"))*1</f>
        <v>#VALUE!</v>
      </c>
      <c r="B6157" s="1">
        <v>6969969</v>
      </c>
      <c r="C6157" t="s">
        <v>2989</v>
      </c>
      <c r="D6157" t="s">
        <v>6357</v>
      </c>
      <c r="E6157" t="s">
        <v>8</v>
      </c>
    </row>
    <row r="6158" spans="1:5" hidden="1" outlineLevel="2">
      <c r="A6158" s="3" t="e">
        <f>(HYPERLINK("http://www.autodoc.ru/Web/price/art/5966ABLBL?analog=on","5966ABLBL"))*1</f>
        <v>#VALUE!</v>
      </c>
      <c r="B6158" s="1">
        <v>6969972</v>
      </c>
      <c r="C6158" t="s">
        <v>2989</v>
      </c>
      <c r="D6158" t="s">
        <v>6358</v>
      </c>
      <c r="E6158" t="s">
        <v>8</v>
      </c>
    </row>
    <row r="6159" spans="1:5" hidden="1" outlineLevel="2">
      <c r="A6159" s="3" t="e">
        <f>(HYPERLINK("http://www.autodoc.ru/Web/price/art/5966ACL?analog=on","5966ACL"))*1</f>
        <v>#VALUE!</v>
      </c>
      <c r="B6159" s="1">
        <v>6969970</v>
      </c>
      <c r="C6159" t="s">
        <v>2989</v>
      </c>
      <c r="D6159" t="s">
        <v>6359</v>
      </c>
      <c r="E6159" t="s">
        <v>8</v>
      </c>
    </row>
    <row r="6160" spans="1:5" hidden="1" outlineLevel="2">
      <c r="A6160" s="3" t="e">
        <f>(HYPERLINK("http://www.autodoc.ru/Web/price/art/5966AGN1B?analog=on","5966AGN1B"))*1</f>
        <v>#VALUE!</v>
      </c>
      <c r="B6160" s="1">
        <v>6960705</v>
      </c>
      <c r="C6160" t="s">
        <v>359</v>
      </c>
      <c r="D6160" t="s">
        <v>6360</v>
      </c>
      <c r="E6160" t="s">
        <v>8</v>
      </c>
    </row>
    <row r="6161" spans="1:5" hidden="1" outlineLevel="2">
      <c r="A6161" s="3" t="e">
        <f>(HYPERLINK("http://www.autodoc.ru/Web/price/art/5966AGNGN?analog=on","5966AGNGN"))*1</f>
        <v>#VALUE!</v>
      </c>
      <c r="B6161" s="1">
        <v>6961012</v>
      </c>
      <c r="C6161" t="s">
        <v>2989</v>
      </c>
      <c r="D6161" t="s">
        <v>6361</v>
      </c>
      <c r="E6161" t="s">
        <v>8</v>
      </c>
    </row>
    <row r="6162" spans="1:5" hidden="1" outlineLevel="2">
      <c r="A6162" s="3" t="e">
        <f>(HYPERLINK("http://www.autodoc.ru/Web/price/art/5966BBLP?analog=on","5966BBLP"))*1</f>
        <v>#VALUE!</v>
      </c>
      <c r="B6162" s="1">
        <v>6998659</v>
      </c>
      <c r="C6162" t="s">
        <v>2989</v>
      </c>
      <c r="D6162" t="s">
        <v>6362</v>
      </c>
      <c r="E6162" t="s">
        <v>23</v>
      </c>
    </row>
    <row r="6163" spans="1:5" hidden="1" outlineLevel="2">
      <c r="A6163" s="3" t="e">
        <f>(HYPERLINK("http://www.autodoc.ru/Web/price/art/5966BBLR?analog=on","5966BBLR"))*1</f>
        <v>#VALUE!</v>
      </c>
      <c r="B6163" s="1">
        <v>6992832</v>
      </c>
      <c r="C6163" t="s">
        <v>359</v>
      </c>
      <c r="D6163" t="s">
        <v>6363</v>
      </c>
      <c r="E6163" t="s">
        <v>23</v>
      </c>
    </row>
    <row r="6164" spans="1:5" hidden="1" outlineLevel="2">
      <c r="A6164" s="3" t="e">
        <f>(HYPERLINK("http://www.autodoc.ru/Web/price/art/5966LBLP2FD?analog=on","5966LBLP2FD"))*1</f>
        <v>#VALUE!</v>
      </c>
      <c r="B6164" s="1">
        <v>6994130</v>
      </c>
      <c r="C6164" t="s">
        <v>2989</v>
      </c>
      <c r="D6164" t="s">
        <v>6364</v>
      </c>
      <c r="E6164" t="s">
        <v>10</v>
      </c>
    </row>
    <row r="6165" spans="1:5" hidden="1" outlineLevel="2">
      <c r="A6165" s="3" t="e">
        <f>(HYPERLINK("http://www.autodoc.ru/Web/price/art/5966RBLP2FD?analog=on","5966RBLP2FD"))*1</f>
        <v>#VALUE!</v>
      </c>
      <c r="B6165" s="1">
        <v>6994131</v>
      </c>
      <c r="C6165" t="s">
        <v>2989</v>
      </c>
      <c r="D6165" t="s">
        <v>6365</v>
      </c>
      <c r="E6165" t="s">
        <v>10</v>
      </c>
    </row>
    <row r="6166" spans="1:5" hidden="1" outlineLevel="1">
      <c r="A6166" s="2">
        <v>0</v>
      </c>
      <c r="B6166" s="26" t="s">
        <v>6366</v>
      </c>
      <c r="C6166" s="27">
        <v>0</v>
      </c>
      <c r="D6166" s="27">
        <v>0</v>
      </c>
      <c r="E6166" s="27">
        <v>0</v>
      </c>
    </row>
    <row r="6167" spans="1:5" hidden="1" outlineLevel="2">
      <c r="A6167" s="3" t="e">
        <f>(HYPERLINK("http://www.autodoc.ru/Web/price/art/5990AGN?analog=on","5990AGN"))*1</f>
        <v>#VALUE!</v>
      </c>
      <c r="B6167" s="1">
        <v>6966101</v>
      </c>
      <c r="C6167" t="s">
        <v>6367</v>
      </c>
      <c r="D6167" t="s">
        <v>6368</v>
      </c>
      <c r="E6167" t="s">
        <v>8</v>
      </c>
    </row>
    <row r="6168" spans="1:5" hidden="1" outlineLevel="2">
      <c r="A6168" s="3" t="e">
        <f>(HYPERLINK("http://www.autodoc.ru/Web/price/art/5990AGN1B?analog=on","5990AGN1B"))*1</f>
        <v>#VALUE!</v>
      </c>
      <c r="B6168" s="1">
        <v>6961083</v>
      </c>
      <c r="C6168" t="s">
        <v>6367</v>
      </c>
      <c r="D6168" t="s">
        <v>6369</v>
      </c>
      <c r="E6168" t="s">
        <v>8</v>
      </c>
    </row>
    <row r="6169" spans="1:5" hidden="1" outlineLevel="2">
      <c r="A6169" s="3" t="e">
        <f>(HYPERLINK("http://www.autodoc.ru/Web/price/art/5990AGNBL?analog=on","5990AGNBL"))*1</f>
        <v>#VALUE!</v>
      </c>
      <c r="B6169" s="1">
        <v>6966102</v>
      </c>
      <c r="C6169" t="s">
        <v>6367</v>
      </c>
      <c r="D6169" t="s">
        <v>6370</v>
      </c>
      <c r="E6169" t="s">
        <v>8</v>
      </c>
    </row>
    <row r="6170" spans="1:5" hidden="1" outlineLevel="2">
      <c r="A6170" s="3" t="e">
        <f>(HYPERLINK("http://www.autodoc.ru/Web/price/art/5990AGNBL1B?analog=on","5990AGNBL1B"))*1</f>
        <v>#VALUE!</v>
      </c>
      <c r="B6170" s="1">
        <v>6961085</v>
      </c>
      <c r="C6170" t="s">
        <v>6367</v>
      </c>
      <c r="D6170" t="s">
        <v>6371</v>
      </c>
      <c r="E6170" t="s">
        <v>8</v>
      </c>
    </row>
    <row r="6171" spans="1:5" hidden="1" outlineLevel="2">
      <c r="A6171" s="3" t="e">
        <f>(HYPERLINK("http://www.autodoc.ru/Web/price/art/5990AGNGN1B?analog=on","5990AGNGN1B"))*1</f>
        <v>#VALUE!</v>
      </c>
      <c r="B6171" s="1">
        <v>6962955</v>
      </c>
      <c r="C6171" t="s">
        <v>6367</v>
      </c>
      <c r="D6171" t="s">
        <v>6372</v>
      </c>
      <c r="E6171" t="s">
        <v>8</v>
      </c>
    </row>
    <row r="6172" spans="1:5" hidden="1" outlineLevel="2">
      <c r="A6172" s="3" t="e">
        <f>(HYPERLINK("http://www.autodoc.ru/Web/price/art/5990ASMRT?analog=on","5990ASMRT"))*1</f>
        <v>#VALUE!</v>
      </c>
      <c r="B6172" s="1">
        <v>6100142</v>
      </c>
      <c r="C6172" t="s">
        <v>19</v>
      </c>
      <c r="D6172" t="s">
        <v>6373</v>
      </c>
      <c r="E6172" t="s">
        <v>21</v>
      </c>
    </row>
    <row r="6173" spans="1:5" hidden="1" outlineLevel="2">
      <c r="A6173" s="3" t="e">
        <f>(HYPERLINK("http://www.autodoc.ru/Web/price/art/5990LGNR3FDW?analog=on","5990LGNR3FDW"))*1</f>
        <v>#VALUE!</v>
      </c>
      <c r="B6173" s="1">
        <v>6999853</v>
      </c>
      <c r="C6173" t="s">
        <v>6367</v>
      </c>
      <c r="D6173" t="s">
        <v>6374</v>
      </c>
      <c r="E6173" t="s">
        <v>10</v>
      </c>
    </row>
    <row r="6174" spans="1:5" hidden="1" outlineLevel="2">
      <c r="A6174" s="3" t="e">
        <f>(HYPERLINK("http://www.autodoc.ru/Web/price/art/5990LGNR5RDW?analog=on","5990LGNR5RDW"))*1</f>
        <v>#VALUE!</v>
      </c>
      <c r="B6174" s="1">
        <v>6190136</v>
      </c>
      <c r="C6174" t="s">
        <v>6367</v>
      </c>
      <c r="D6174" t="s">
        <v>6375</v>
      </c>
      <c r="E6174" t="s">
        <v>10</v>
      </c>
    </row>
    <row r="6175" spans="1:5" hidden="1" outlineLevel="2">
      <c r="A6175" s="3" t="e">
        <f>(HYPERLINK("http://www.autodoc.ru/Web/price/art/5990RGNR3FDW?analog=on","5990RGNR3FDW"))*1</f>
        <v>#VALUE!</v>
      </c>
      <c r="B6175" s="1">
        <v>6999854</v>
      </c>
      <c r="C6175" t="s">
        <v>6367</v>
      </c>
      <c r="D6175" t="s">
        <v>6376</v>
      </c>
      <c r="E6175" t="s">
        <v>10</v>
      </c>
    </row>
    <row r="6176" spans="1:5" hidden="1" outlineLevel="2">
      <c r="A6176" s="3" t="e">
        <f>(HYPERLINK("http://www.autodoc.ru/Web/price/art/5990RGNR5RDW?analog=on","5990RGNR5RDW"))*1</f>
        <v>#VALUE!</v>
      </c>
      <c r="B6176" s="1">
        <v>6190137</v>
      </c>
      <c r="C6176" t="s">
        <v>6367</v>
      </c>
      <c r="D6176" t="s">
        <v>6377</v>
      </c>
      <c r="E6176" t="s">
        <v>10</v>
      </c>
    </row>
    <row r="6177" spans="1:5" hidden="1" outlineLevel="2">
      <c r="A6177" s="3" t="e">
        <f>(HYPERLINK("http://www.autodoc.ru/Web/price/art/5990RGNR5RQ?analog=on","5990RGNR5RQ"))*1</f>
        <v>#VALUE!</v>
      </c>
      <c r="B6177" s="1">
        <v>6900351</v>
      </c>
      <c r="C6177" t="s">
        <v>6367</v>
      </c>
      <c r="D6177" t="s">
        <v>6378</v>
      </c>
      <c r="E6177" t="s">
        <v>10</v>
      </c>
    </row>
    <row r="6178" spans="1:5" hidden="1" outlineLevel="1">
      <c r="A6178" s="2">
        <v>0</v>
      </c>
      <c r="B6178" s="26" t="s">
        <v>6379</v>
      </c>
      <c r="C6178" s="27">
        <v>0</v>
      </c>
      <c r="D6178" s="27">
        <v>0</v>
      </c>
      <c r="E6178" s="27">
        <v>0</v>
      </c>
    </row>
    <row r="6179" spans="1:5" hidden="1" outlineLevel="2">
      <c r="A6179" s="3" t="e">
        <f>(HYPERLINK("http://www.autodoc.ru/Web/price/art/6046AGSV?analog=on","6046AGSV"))*1</f>
        <v>#VALUE!</v>
      </c>
      <c r="B6179" s="1">
        <v>6963175</v>
      </c>
      <c r="C6179" t="s">
        <v>425</v>
      </c>
      <c r="D6179" t="s">
        <v>6380</v>
      </c>
      <c r="E6179" t="s">
        <v>8</v>
      </c>
    </row>
    <row r="6180" spans="1:5" hidden="1" outlineLevel="2">
      <c r="A6180" s="3" t="e">
        <f>(HYPERLINK("http://www.autodoc.ru/Web/price/art/6046AGSM?analog=on","6046AGSM"))*1</f>
        <v>#VALUE!</v>
      </c>
      <c r="B6180" s="1">
        <v>6962649</v>
      </c>
      <c r="C6180" t="s">
        <v>290</v>
      </c>
      <c r="D6180" t="s">
        <v>6381</v>
      </c>
      <c r="E6180" t="s">
        <v>8</v>
      </c>
    </row>
    <row r="6181" spans="1:5" hidden="1" outlineLevel="2">
      <c r="A6181" s="3" t="e">
        <f>(HYPERLINK("http://www.autodoc.ru/Web/price/art/6046AGSMV?analog=on","6046AGSMV"))*1</f>
        <v>#VALUE!</v>
      </c>
      <c r="B6181" s="1">
        <v>6963174</v>
      </c>
      <c r="C6181" t="s">
        <v>425</v>
      </c>
      <c r="D6181" t="s">
        <v>6382</v>
      </c>
      <c r="E6181" t="s">
        <v>8</v>
      </c>
    </row>
    <row r="6182" spans="1:5" hidden="1" outlineLevel="2">
      <c r="A6182" s="3" t="e">
        <f>(HYPERLINK("http://www.autodoc.ru/Web/price/art/6046BGSHW?analog=on","6046BGSHW"))*1</f>
        <v>#VALUE!</v>
      </c>
      <c r="B6182" s="1">
        <v>6900837</v>
      </c>
      <c r="C6182" t="s">
        <v>290</v>
      </c>
      <c r="D6182" t="s">
        <v>6383</v>
      </c>
      <c r="E6182" t="s">
        <v>23</v>
      </c>
    </row>
    <row r="6183" spans="1:5" hidden="1" outlineLevel="2">
      <c r="A6183" s="3" t="e">
        <f>(HYPERLINK("http://www.autodoc.ru/Web/price/art/6046BGSSW?analog=on","6046BGSSW"))*1</f>
        <v>#VALUE!</v>
      </c>
      <c r="B6183" s="1">
        <v>6900838</v>
      </c>
      <c r="C6183" t="s">
        <v>290</v>
      </c>
      <c r="D6183" t="s">
        <v>6384</v>
      </c>
      <c r="E6183" t="s">
        <v>23</v>
      </c>
    </row>
    <row r="6184" spans="1:5" hidden="1" outlineLevel="2">
      <c r="A6184" s="3" t="e">
        <f>(HYPERLINK("http://www.autodoc.ru/Web/price/art/6046LGSH5FDW?analog=on","6046LGSH5FDW"))*1</f>
        <v>#VALUE!</v>
      </c>
      <c r="B6184" s="1">
        <v>6900792</v>
      </c>
      <c r="C6184" t="s">
        <v>290</v>
      </c>
      <c r="D6184" t="s">
        <v>6385</v>
      </c>
      <c r="E6184" t="s">
        <v>10</v>
      </c>
    </row>
    <row r="6185" spans="1:5" hidden="1" outlineLevel="2">
      <c r="A6185" s="3" t="e">
        <f>(HYPERLINK("http://www.autodoc.ru/Web/price/art/6046LGSH5RDW?analog=on","6046LGSH5RDW"))*1</f>
        <v>#VALUE!</v>
      </c>
      <c r="B6185" s="1">
        <v>6900774</v>
      </c>
      <c r="C6185" t="s">
        <v>290</v>
      </c>
      <c r="D6185" t="s">
        <v>6386</v>
      </c>
      <c r="E6185" t="s">
        <v>10</v>
      </c>
    </row>
    <row r="6186" spans="1:5" hidden="1" outlineLevel="2">
      <c r="A6186" s="3" t="e">
        <f>(HYPERLINK("http://www.autodoc.ru/Web/price/art/6046RGSH5FDW?analog=on","6046RGSH5FDW"))*1</f>
        <v>#VALUE!</v>
      </c>
      <c r="B6186" s="1">
        <v>6900839</v>
      </c>
      <c r="C6186" t="s">
        <v>290</v>
      </c>
      <c r="D6186" t="s">
        <v>6387</v>
      </c>
      <c r="E6186" t="s">
        <v>10</v>
      </c>
    </row>
    <row r="6187" spans="1:5" hidden="1" outlineLevel="2">
      <c r="A6187" s="3" t="e">
        <f>(HYPERLINK("http://www.autodoc.ru/Web/price/art/6046RGSH5RDW?analog=on","6046RGSH5RDW"))*1</f>
        <v>#VALUE!</v>
      </c>
      <c r="B6187" s="1">
        <v>6900791</v>
      </c>
      <c r="C6187" t="s">
        <v>290</v>
      </c>
      <c r="D6187" t="s">
        <v>6388</v>
      </c>
      <c r="E6187" t="s">
        <v>10</v>
      </c>
    </row>
    <row r="6188" spans="1:5" hidden="1" outlineLevel="1">
      <c r="A6188" s="2">
        <v>0</v>
      </c>
      <c r="B6188" s="26" t="s">
        <v>6389</v>
      </c>
      <c r="C6188" s="27">
        <v>0</v>
      </c>
      <c r="D6188" s="27">
        <v>0</v>
      </c>
      <c r="E6188" s="27">
        <v>0</v>
      </c>
    </row>
    <row r="6189" spans="1:5" hidden="1" outlineLevel="2">
      <c r="A6189" s="3" t="e">
        <f>(HYPERLINK("http://www.autodoc.ru/Web/price/art/5934ACL?analog=on","5934ACL"))*1</f>
        <v>#VALUE!</v>
      </c>
      <c r="B6189" s="1">
        <v>6963483</v>
      </c>
      <c r="C6189" t="s">
        <v>6390</v>
      </c>
      <c r="D6189" t="s">
        <v>6391</v>
      </c>
      <c r="E6189" t="s">
        <v>8</v>
      </c>
    </row>
    <row r="6190" spans="1:5" hidden="1" outlineLevel="2">
      <c r="A6190" s="3" t="e">
        <f>(HYPERLINK("http://www.autodoc.ru/Web/price/art/5934ASRV?analog=on","5934ASRV"))*1</f>
        <v>#VALUE!</v>
      </c>
      <c r="B6190" s="1">
        <v>6101420</v>
      </c>
      <c r="C6190" t="s">
        <v>19</v>
      </c>
      <c r="D6190" t="s">
        <v>6392</v>
      </c>
      <c r="E6190" t="s">
        <v>21</v>
      </c>
    </row>
    <row r="6191" spans="1:5" hidden="1" outlineLevel="1">
      <c r="A6191" s="2">
        <v>0</v>
      </c>
      <c r="B6191" s="26" t="s">
        <v>6393</v>
      </c>
      <c r="C6191" s="27">
        <v>0</v>
      </c>
      <c r="D6191" s="27">
        <v>0</v>
      </c>
      <c r="E6191" s="27">
        <v>0</v>
      </c>
    </row>
    <row r="6192" spans="1:5" hidden="1" outlineLevel="2">
      <c r="A6192" s="3" t="e">
        <f>(HYPERLINK("http://www.autodoc.ru/Web/price/art/5974ABL?analog=on","5974ABL"))*1</f>
        <v>#VALUE!</v>
      </c>
      <c r="B6192" s="1">
        <v>6961431</v>
      </c>
      <c r="C6192" t="s">
        <v>1805</v>
      </c>
      <c r="D6192" t="s">
        <v>6394</v>
      </c>
      <c r="E6192" t="s">
        <v>8</v>
      </c>
    </row>
    <row r="6193" spans="1:5" hidden="1" outlineLevel="2">
      <c r="A6193" s="3" t="e">
        <f>(HYPERLINK("http://www.autodoc.ru/Web/price/art/5974ACL?analog=on","5974ACL"))*1</f>
        <v>#VALUE!</v>
      </c>
      <c r="B6193" s="1">
        <v>6961432</v>
      </c>
      <c r="C6193" t="s">
        <v>1805</v>
      </c>
      <c r="D6193" t="s">
        <v>6395</v>
      </c>
      <c r="E6193" t="s">
        <v>8</v>
      </c>
    </row>
    <row r="6194" spans="1:5" hidden="1" outlineLevel="2">
      <c r="A6194" s="3" t="e">
        <f>(HYPERLINK("http://www.autodoc.ru/Web/price/art/5974LCLV2FD?analog=on","5974LCLV2FD"))*1</f>
        <v>#VALUE!</v>
      </c>
      <c r="B6194" s="1">
        <v>6996804</v>
      </c>
      <c r="C6194" t="s">
        <v>1805</v>
      </c>
      <c r="D6194" t="s">
        <v>6396</v>
      </c>
      <c r="E6194" t="s">
        <v>10</v>
      </c>
    </row>
    <row r="6195" spans="1:5" hidden="1" outlineLevel="2">
      <c r="A6195" s="3" t="e">
        <f>(HYPERLINK("http://www.autodoc.ru/Web/price/art/5974RCLV2FD?analog=on","5974RCLV2FD"))*1</f>
        <v>#VALUE!</v>
      </c>
      <c r="B6195" s="1">
        <v>6996805</v>
      </c>
      <c r="C6195" t="s">
        <v>1805</v>
      </c>
      <c r="D6195" t="s">
        <v>6397</v>
      </c>
      <c r="E6195" t="s">
        <v>10</v>
      </c>
    </row>
    <row r="6196" spans="1:5" hidden="1" outlineLevel="1">
      <c r="A6196" s="2">
        <v>0</v>
      </c>
      <c r="B6196" s="26" t="s">
        <v>6398</v>
      </c>
      <c r="C6196" s="27">
        <v>0</v>
      </c>
      <c r="D6196" s="27">
        <v>0</v>
      </c>
      <c r="E6196" s="27">
        <v>0</v>
      </c>
    </row>
    <row r="6197" spans="1:5" hidden="1" outlineLevel="2">
      <c r="A6197" s="3" t="e">
        <f>(HYPERLINK("http://www.autodoc.ru/Web/price/art/5997ACL?analog=on","5997ACL"))*1</f>
        <v>#VALUE!</v>
      </c>
      <c r="B6197" s="1">
        <v>6963794</v>
      </c>
      <c r="C6197" t="s">
        <v>3194</v>
      </c>
      <c r="D6197" t="s">
        <v>6399</v>
      </c>
      <c r="E6197" t="s">
        <v>8</v>
      </c>
    </row>
    <row r="6198" spans="1:5" hidden="1" outlineLevel="1">
      <c r="A6198" s="2">
        <v>0</v>
      </c>
      <c r="B6198" s="26" t="s">
        <v>6400</v>
      </c>
      <c r="C6198" s="27">
        <v>0</v>
      </c>
      <c r="D6198" s="27">
        <v>0</v>
      </c>
      <c r="E6198" s="27">
        <v>0</v>
      </c>
    </row>
    <row r="6199" spans="1:5" hidden="1" outlineLevel="2">
      <c r="A6199" s="3" t="e">
        <f>(HYPERLINK("http://www.autodoc.ru/Web/price/art/5970ACL?analog=on","5970ACL"))*1</f>
        <v>#VALUE!</v>
      </c>
      <c r="B6199" s="1">
        <v>6966104</v>
      </c>
      <c r="C6199" t="s">
        <v>6401</v>
      </c>
      <c r="D6199" t="s">
        <v>6402</v>
      </c>
      <c r="E6199" t="s">
        <v>8</v>
      </c>
    </row>
    <row r="6200" spans="1:5" hidden="1" outlineLevel="1">
      <c r="A6200" s="2">
        <v>0</v>
      </c>
      <c r="B6200" s="26" t="s">
        <v>6403</v>
      </c>
      <c r="C6200" s="27">
        <v>0</v>
      </c>
      <c r="D6200" s="27">
        <v>0</v>
      </c>
      <c r="E6200" s="27">
        <v>0</v>
      </c>
    </row>
    <row r="6201" spans="1:5" hidden="1" outlineLevel="2">
      <c r="A6201" s="3" t="e">
        <f>(HYPERLINK("http://www.autodoc.ru/Web/price/art/6018AGN?analog=on","6018AGN"))*1</f>
        <v>#VALUE!</v>
      </c>
      <c r="B6201" s="1">
        <v>6960747</v>
      </c>
      <c r="C6201" t="s">
        <v>261</v>
      </c>
      <c r="D6201" t="s">
        <v>6404</v>
      </c>
      <c r="E6201" t="s">
        <v>8</v>
      </c>
    </row>
    <row r="6202" spans="1:5" hidden="1" outlineLevel="2">
      <c r="A6202" s="3" t="e">
        <f>(HYPERLINK("http://www.autodoc.ru/Web/price/art/6018AGNGY?analog=on","6018AGNGY"))*1</f>
        <v>#VALUE!</v>
      </c>
      <c r="B6202" s="1">
        <v>6964669</v>
      </c>
      <c r="C6202" t="s">
        <v>261</v>
      </c>
      <c r="D6202" t="s">
        <v>6405</v>
      </c>
      <c r="E6202" t="s">
        <v>8</v>
      </c>
    </row>
    <row r="6203" spans="1:5" hidden="1" outlineLevel="2">
      <c r="A6203" s="3" t="e">
        <f>(HYPERLINK("http://www.autodoc.ru/Web/price/art/6018AGNBL?analog=on","6018AGNBL"))*1</f>
        <v>#VALUE!</v>
      </c>
      <c r="B6203" s="1">
        <v>6962021</v>
      </c>
      <c r="C6203" t="s">
        <v>261</v>
      </c>
      <c r="D6203" t="s">
        <v>6406</v>
      </c>
      <c r="E6203" t="s">
        <v>8</v>
      </c>
    </row>
    <row r="6204" spans="1:5" hidden="1" outlineLevel="2">
      <c r="A6204" s="3" t="e">
        <f>(HYPERLINK("http://www.autodoc.ru/Web/price/art/6018ASMR?analog=on","6018ASMR"))*1</f>
        <v>#VALUE!</v>
      </c>
      <c r="B6204" s="1">
        <v>6101588</v>
      </c>
      <c r="C6204" t="s">
        <v>19</v>
      </c>
      <c r="D6204" t="s">
        <v>6407</v>
      </c>
      <c r="E6204" t="s">
        <v>21</v>
      </c>
    </row>
    <row r="6205" spans="1:5" hidden="1" outlineLevel="2">
      <c r="A6205" s="3" t="e">
        <f>(HYPERLINK("http://www.autodoc.ru/Web/price/art/6018LGNR5FDW?analog=on","6018LGNR5FDW"))*1</f>
        <v>#VALUE!</v>
      </c>
      <c r="B6205" s="1">
        <v>6999991</v>
      </c>
      <c r="C6205" t="s">
        <v>261</v>
      </c>
      <c r="D6205" t="s">
        <v>6408</v>
      </c>
      <c r="E6205" t="s">
        <v>10</v>
      </c>
    </row>
    <row r="6206" spans="1:5" hidden="1" outlineLevel="2">
      <c r="A6206" s="3" t="e">
        <f>(HYPERLINK("http://www.autodoc.ru/Web/price/art/6018LGNR5RDW?analog=on","6018LGNR5RDW"))*1</f>
        <v>#VALUE!</v>
      </c>
      <c r="B6206" s="1">
        <v>6900182</v>
      </c>
      <c r="C6206" t="s">
        <v>261</v>
      </c>
      <c r="D6206" t="s">
        <v>6409</v>
      </c>
      <c r="E6206" t="s">
        <v>10</v>
      </c>
    </row>
    <row r="6207" spans="1:5" hidden="1" outlineLevel="2">
      <c r="A6207" s="3" t="e">
        <f>(HYPERLINK("http://www.autodoc.ru/Web/price/art/6018RGNR5FDW?analog=on","6018RGNR5FDW"))*1</f>
        <v>#VALUE!</v>
      </c>
      <c r="B6207" s="1">
        <v>6900079</v>
      </c>
      <c r="C6207" t="s">
        <v>261</v>
      </c>
      <c r="D6207" t="s">
        <v>6410</v>
      </c>
      <c r="E6207" t="s">
        <v>10</v>
      </c>
    </row>
    <row r="6208" spans="1:5" hidden="1" outlineLevel="2">
      <c r="A6208" s="3" t="e">
        <f>(HYPERLINK("http://www.autodoc.ru/Web/price/art/6018RGNR5RDW?analog=on","6018RGNR5RDW"))*1</f>
        <v>#VALUE!</v>
      </c>
      <c r="B6208" s="1">
        <v>6900264</v>
      </c>
      <c r="C6208" t="s">
        <v>261</v>
      </c>
      <c r="D6208" t="s">
        <v>6411</v>
      </c>
      <c r="E6208" t="s">
        <v>10</v>
      </c>
    </row>
    <row r="6209" spans="1:5" hidden="1" outlineLevel="2">
      <c r="A6209" s="3" t="e">
        <f>(HYPERLINK("http://www.autodoc.ru/Web/price/art/6008LGNR5FDW?analog=on","6008LGNR5FDW"))*1</f>
        <v>#VALUE!</v>
      </c>
      <c r="B6209" s="1">
        <v>6190899</v>
      </c>
      <c r="C6209" t="s">
        <v>261</v>
      </c>
      <c r="D6209" t="s">
        <v>6408</v>
      </c>
      <c r="E6209" t="s">
        <v>10</v>
      </c>
    </row>
    <row r="6210" spans="1:5" hidden="1" outlineLevel="2">
      <c r="A6210" s="3" t="e">
        <f>(HYPERLINK("http://www.autodoc.ru/Web/price/art/6008RGNR5FDW?analog=on","6008RGNR5FDW"))*1</f>
        <v>#VALUE!</v>
      </c>
      <c r="B6210" s="1">
        <v>6190900</v>
      </c>
      <c r="C6210" t="s">
        <v>261</v>
      </c>
      <c r="D6210" t="s">
        <v>6410</v>
      </c>
      <c r="E6210" t="s">
        <v>10</v>
      </c>
    </row>
    <row r="6211" spans="1:5" hidden="1" outlineLevel="1">
      <c r="A6211" s="2">
        <v>0</v>
      </c>
      <c r="B6211" s="26" t="s">
        <v>6412</v>
      </c>
      <c r="C6211" s="27">
        <v>0</v>
      </c>
      <c r="D6211" s="27">
        <v>0</v>
      </c>
      <c r="E6211" s="27">
        <v>0</v>
      </c>
    </row>
    <row r="6212" spans="1:5" hidden="1" outlineLevel="2">
      <c r="A6212" s="3" t="e">
        <f>(HYPERLINK("http://www.autodoc.ru/Web/price/art/6047AGAM1B?analog=on","6047AGAM1B"))*1</f>
        <v>#VALUE!</v>
      </c>
      <c r="B6212" s="1">
        <v>6962834</v>
      </c>
      <c r="C6212" t="s">
        <v>290</v>
      </c>
      <c r="D6212" t="s">
        <v>6413</v>
      </c>
      <c r="E6212" t="s">
        <v>8</v>
      </c>
    </row>
    <row r="6213" spans="1:5" hidden="1" outlineLevel="2">
      <c r="A6213" s="3" t="e">
        <f>(HYPERLINK("http://www.autodoc.ru/Web/price/art/6047AGNM1B?analog=on","6047AGNM1B"))*1</f>
        <v>#VALUE!</v>
      </c>
      <c r="B6213" s="1">
        <v>6962774</v>
      </c>
      <c r="C6213" t="s">
        <v>290</v>
      </c>
      <c r="D6213" t="s">
        <v>6414</v>
      </c>
      <c r="E6213" t="s">
        <v>8</v>
      </c>
    </row>
    <row r="6214" spans="1:5" hidden="1" outlineLevel="2">
      <c r="A6214" s="3" t="e">
        <f>(HYPERLINK("http://www.autodoc.ru/Web/price/art/6047AGAM2B?analog=on","6047AGAM2B"))*1</f>
        <v>#VALUE!</v>
      </c>
      <c r="B6214" s="1">
        <v>6962981</v>
      </c>
      <c r="C6214" t="s">
        <v>290</v>
      </c>
      <c r="D6214" t="s">
        <v>6415</v>
      </c>
      <c r="E6214" t="s">
        <v>8</v>
      </c>
    </row>
    <row r="6215" spans="1:5" hidden="1" outlineLevel="2">
      <c r="A6215" s="3" t="e">
        <f>(HYPERLINK("http://www.autodoc.ru/Web/price/art/6047RGNR5FDW?analog=on","6047RGNR5FDW"))*1</f>
        <v>#VALUE!</v>
      </c>
      <c r="B6215" s="1">
        <v>6900407</v>
      </c>
      <c r="C6215" t="s">
        <v>290</v>
      </c>
      <c r="D6215" t="s">
        <v>6416</v>
      </c>
      <c r="E6215" t="s">
        <v>10</v>
      </c>
    </row>
    <row r="6216" spans="1:5" hidden="1" outlineLevel="2">
      <c r="A6216" s="3" t="e">
        <f>(HYPERLINK("http://www.autodoc.ru/Web/price/art/6047LGNR5FDW?analog=on","6047LGNR5FDW"))*1</f>
        <v>#VALUE!</v>
      </c>
      <c r="B6216" s="1">
        <v>6900408</v>
      </c>
      <c r="C6216" t="s">
        <v>290</v>
      </c>
      <c r="D6216" t="s">
        <v>6417</v>
      </c>
      <c r="E6216" t="s">
        <v>10</v>
      </c>
    </row>
    <row r="6217" spans="1:5" hidden="1" outlineLevel="2">
      <c r="A6217" s="3" t="e">
        <f>(HYPERLINK("http://www.autodoc.ru/Web/price/art/6047RGNR5RDW?analog=on","6047RGNR5RDW"))*1</f>
        <v>#VALUE!</v>
      </c>
      <c r="B6217" s="1">
        <v>6900409</v>
      </c>
      <c r="C6217" t="s">
        <v>290</v>
      </c>
      <c r="D6217" t="s">
        <v>6418</v>
      </c>
      <c r="E6217" t="s">
        <v>10</v>
      </c>
    </row>
    <row r="6218" spans="1:5" hidden="1" outlineLevel="2">
      <c r="A6218" s="3" t="e">
        <f>(HYPERLINK("http://www.autodoc.ru/Web/price/art/6047LGNR5RDW?analog=on","6047LGNR5RDW"))*1</f>
        <v>#VALUE!</v>
      </c>
      <c r="B6218" s="1">
        <v>6900410</v>
      </c>
      <c r="C6218" t="s">
        <v>290</v>
      </c>
      <c r="D6218" t="s">
        <v>6419</v>
      </c>
      <c r="E6218" t="s">
        <v>10</v>
      </c>
    </row>
    <row r="6219" spans="1:5" hidden="1" outlineLevel="2">
      <c r="A6219" s="3" t="e">
        <f>(HYPERLINK("http://www.autodoc.ru/Web/price/art/6047RYPR5RD?analog=on","6047RYPR5RD"))*1</f>
        <v>#VALUE!</v>
      </c>
      <c r="B6219" s="1">
        <v>6900411</v>
      </c>
      <c r="C6219" t="s">
        <v>290</v>
      </c>
      <c r="D6219" t="s">
        <v>6420</v>
      </c>
      <c r="E6219" t="s">
        <v>10</v>
      </c>
    </row>
    <row r="6220" spans="1:5" hidden="1" outlineLevel="2">
      <c r="A6220" s="3" t="e">
        <f>(HYPERLINK("http://www.autodoc.ru/Web/price/art/6047LYPR5RD?analog=on","6047LYPR5RD"))*1</f>
        <v>#VALUE!</v>
      </c>
      <c r="B6220" s="1">
        <v>6900412</v>
      </c>
      <c r="C6220" t="s">
        <v>290</v>
      </c>
      <c r="D6220" t="s">
        <v>6421</v>
      </c>
      <c r="E6220" t="s">
        <v>10</v>
      </c>
    </row>
    <row r="6221" spans="1:5" hidden="1" outlineLevel="2">
      <c r="A6221" s="3" t="e">
        <f>(HYPERLINK("http://www.autodoc.ru/Web/price/art/6047AGN?analog=on","6047AGN"))*1</f>
        <v>#VALUE!</v>
      </c>
      <c r="B6221" s="1">
        <v>6962775</v>
      </c>
      <c r="C6221" t="s">
        <v>290</v>
      </c>
      <c r="D6221" t="s">
        <v>6422</v>
      </c>
      <c r="E6221" t="s">
        <v>8</v>
      </c>
    </row>
    <row r="6222" spans="1:5" hidden="1" outlineLevel="2">
      <c r="A6222" s="3" t="e">
        <f>(HYPERLINK("http://www.autodoc.ru/Web/price/art/6047AGNM?analog=on","6047AGNM"))*1</f>
        <v>#VALUE!</v>
      </c>
      <c r="B6222" s="1">
        <v>6962773</v>
      </c>
      <c r="C6222" t="s">
        <v>290</v>
      </c>
      <c r="D6222" t="s">
        <v>6414</v>
      </c>
      <c r="E6222" t="s">
        <v>8</v>
      </c>
    </row>
    <row r="6223" spans="1:5" hidden="1" outlineLevel="2">
      <c r="A6223" s="3" t="e">
        <f>(HYPERLINK("http://www.autodoc.ru/Web/price/art/6047ASMR?analog=on","6047ASMR"))*1</f>
        <v>#VALUE!</v>
      </c>
      <c r="B6223" s="1">
        <v>6102626</v>
      </c>
      <c r="C6223" t="s">
        <v>19</v>
      </c>
      <c r="D6223" t="s">
        <v>6423</v>
      </c>
      <c r="E6223" t="s">
        <v>21</v>
      </c>
    </row>
    <row r="6224" spans="1:5" hidden="1" outlineLevel="2">
      <c r="A6224" s="3" t="e">
        <f>(HYPERLINK("http://www.autodoc.ru/Web/price/art/6047BGNR?analog=on","6047BGNR"))*1</f>
        <v>#VALUE!</v>
      </c>
      <c r="B6224" s="1">
        <v>6900417</v>
      </c>
      <c r="C6224" t="s">
        <v>290</v>
      </c>
      <c r="D6224" t="s">
        <v>6424</v>
      </c>
      <c r="E6224" t="s">
        <v>23</v>
      </c>
    </row>
    <row r="6225" spans="1:5" collapsed="1">
      <c r="A6225" s="28" t="s">
        <v>6425</v>
      </c>
      <c r="B6225" s="28">
        <v>0</v>
      </c>
      <c r="C6225" s="28">
        <v>0</v>
      </c>
      <c r="D6225" s="28">
        <v>0</v>
      </c>
      <c r="E6225" s="28">
        <v>0</v>
      </c>
    </row>
    <row r="6226" spans="1:5" hidden="1" outlineLevel="1">
      <c r="A6226" s="2">
        <v>0</v>
      </c>
      <c r="B6226" s="26" t="s">
        <v>6426</v>
      </c>
      <c r="C6226" s="27">
        <v>0</v>
      </c>
      <c r="D6226" s="27">
        <v>0</v>
      </c>
      <c r="E6226" s="27">
        <v>0</v>
      </c>
    </row>
    <row r="6227" spans="1:5" hidden="1" outlineLevel="2">
      <c r="A6227" s="3" t="e">
        <f>(HYPERLINK("http://www.autodoc.ru/Web/price/art/6291ACL?analog=on","6291ACL"))*1</f>
        <v>#VALUE!</v>
      </c>
      <c r="B6227" s="1">
        <v>6969391</v>
      </c>
      <c r="C6227" t="s">
        <v>2935</v>
      </c>
      <c r="D6227" t="s">
        <v>6427</v>
      </c>
      <c r="E6227" t="s">
        <v>8</v>
      </c>
    </row>
    <row r="6228" spans="1:5" hidden="1" outlineLevel="2">
      <c r="A6228" s="3" t="e">
        <f>(HYPERLINK("http://www.autodoc.ru/Web/price/art/6291AGS?analog=on","6291AGS"))*1</f>
        <v>#VALUE!</v>
      </c>
      <c r="B6228" s="1">
        <v>6969392</v>
      </c>
      <c r="C6228" t="s">
        <v>2935</v>
      </c>
      <c r="D6228" t="s">
        <v>6428</v>
      </c>
      <c r="E6228" t="s">
        <v>8</v>
      </c>
    </row>
    <row r="6229" spans="1:5" hidden="1" outlineLevel="2">
      <c r="A6229" s="3" t="e">
        <f>(HYPERLINK("http://www.autodoc.ru/Web/price/art/6291AGS1B?analog=on","6291AGS1B"))*1</f>
        <v>#VALUE!</v>
      </c>
      <c r="B6229" s="1">
        <v>6961716</v>
      </c>
      <c r="C6229" t="s">
        <v>896</v>
      </c>
      <c r="D6229" t="s">
        <v>6429</v>
      </c>
      <c r="E6229" t="s">
        <v>8</v>
      </c>
    </row>
    <row r="6230" spans="1:5" hidden="1" outlineLevel="2">
      <c r="A6230" s="3" t="e">
        <f>(HYPERLINK("http://www.autodoc.ru/Web/price/art/6291ASMV?analog=on","6291ASMV"))*1</f>
        <v>#VALUE!</v>
      </c>
      <c r="B6230" s="1">
        <v>6100297</v>
      </c>
      <c r="C6230" t="s">
        <v>19</v>
      </c>
      <c r="D6230" t="s">
        <v>6430</v>
      </c>
      <c r="E6230" t="s">
        <v>21</v>
      </c>
    </row>
    <row r="6231" spans="1:5" hidden="1" outlineLevel="2">
      <c r="A6231" s="3" t="e">
        <f>(HYPERLINK("http://www.autodoc.ru/Web/price/art/6291BCLVW?analog=on","6291BCLVW"))*1</f>
        <v>#VALUE!</v>
      </c>
      <c r="B6231" s="1">
        <v>6995261</v>
      </c>
      <c r="C6231" t="s">
        <v>2935</v>
      </c>
      <c r="D6231" t="s">
        <v>6431</v>
      </c>
      <c r="E6231" t="s">
        <v>23</v>
      </c>
    </row>
    <row r="6232" spans="1:5" hidden="1" outlineLevel="2">
      <c r="A6232" s="3" t="e">
        <f>(HYPERLINK("http://www.autodoc.ru/Web/price/art/6291BGSVW?analog=on","6291BGSVW"))*1</f>
        <v>#VALUE!</v>
      </c>
      <c r="B6232" s="1">
        <v>6995271</v>
      </c>
      <c r="C6232" t="s">
        <v>2935</v>
      </c>
      <c r="D6232" t="s">
        <v>6432</v>
      </c>
      <c r="E6232" t="s">
        <v>23</v>
      </c>
    </row>
    <row r="6233" spans="1:5" hidden="1" outlineLevel="2">
      <c r="A6233" s="3" t="e">
        <f>(HYPERLINK("http://www.autodoc.ru/Web/price/art/6291LCLV5FDW?analog=on","6291LCLV5FDW"))*1</f>
        <v>#VALUE!</v>
      </c>
      <c r="B6233" s="1">
        <v>6995264</v>
      </c>
      <c r="C6233" t="s">
        <v>2935</v>
      </c>
      <c r="D6233" t="s">
        <v>6433</v>
      </c>
      <c r="E6233" t="s">
        <v>10</v>
      </c>
    </row>
    <row r="6234" spans="1:5" hidden="1" outlineLevel="2">
      <c r="A6234" s="3" t="e">
        <f>(HYPERLINK("http://www.autodoc.ru/Web/price/art/6291LCLV5FV?analog=on","6291LCLV5FV"))*1</f>
        <v>#VALUE!</v>
      </c>
      <c r="B6234" s="1">
        <v>6995262</v>
      </c>
      <c r="C6234" t="s">
        <v>2935</v>
      </c>
      <c r="D6234" t="s">
        <v>6434</v>
      </c>
      <c r="E6234" t="s">
        <v>10</v>
      </c>
    </row>
    <row r="6235" spans="1:5" hidden="1" outlineLevel="2">
      <c r="A6235" s="3" t="e">
        <f>(HYPERLINK("http://www.autodoc.ru/Web/price/art/6291LCLV5RDW?analog=on","6291LCLV5RDW"))*1</f>
        <v>#VALUE!</v>
      </c>
      <c r="B6235" s="1">
        <v>6995266</v>
      </c>
      <c r="C6235" t="s">
        <v>2935</v>
      </c>
      <c r="D6235" t="s">
        <v>6435</v>
      </c>
      <c r="E6235" t="s">
        <v>10</v>
      </c>
    </row>
    <row r="6236" spans="1:5" hidden="1" outlineLevel="2">
      <c r="A6236" s="3" t="e">
        <f>(HYPERLINK("http://www.autodoc.ru/Web/price/art/6291LCLV5RQZ?analog=on","6291LCLV5RQZ"))*1</f>
        <v>#VALUE!</v>
      </c>
      <c r="B6236" s="1">
        <v>6995268</v>
      </c>
      <c r="C6236" t="s">
        <v>2935</v>
      </c>
      <c r="D6236" t="s">
        <v>6436</v>
      </c>
      <c r="E6236" t="s">
        <v>10</v>
      </c>
    </row>
    <row r="6237" spans="1:5" hidden="1" outlineLevel="2">
      <c r="A6237" s="3" t="e">
        <f>(HYPERLINK("http://www.autodoc.ru/Web/price/art/6291LGSV5FDW?analog=on","6291LGSV5FDW"))*1</f>
        <v>#VALUE!</v>
      </c>
      <c r="B6237" s="1">
        <v>6995274</v>
      </c>
      <c r="C6237" t="s">
        <v>2935</v>
      </c>
      <c r="D6237" t="s">
        <v>6437</v>
      </c>
      <c r="E6237" t="s">
        <v>10</v>
      </c>
    </row>
    <row r="6238" spans="1:5" hidden="1" outlineLevel="2">
      <c r="A6238" s="3" t="e">
        <f>(HYPERLINK("http://www.autodoc.ru/Web/price/art/6291LGSV5FV?analog=on","6291LGSV5FV"))*1</f>
        <v>#VALUE!</v>
      </c>
      <c r="B6238" s="1">
        <v>6995272</v>
      </c>
      <c r="C6238" t="s">
        <v>2935</v>
      </c>
      <c r="D6238" t="s">
        <v>6438</v>
      </c>
      <c r="E6238" t="s">
        <v>10</v>
      </c>
    </row>
    <row r="6239" spans="1:5" hidden="1" outlineLevel="2">
      <c r="A6239" s="3" t="e">
        <f>(HYPERLINK("http://www.autodoc.ru/Web/price/art/6291LGSV5RDW?analog=on","6291LGSV5RDW"))*1</f>
        <v>#VALUE!</v>
      </c>
      <c r="B6239" s="1">
        <v>6995276</v>
      </c>
      <c r="C6239" t="s">
        <v>2935</v>
      </c>
      <c r="D6239" t="s">
        <v>6439</v>
      </c>
      <c r="E6239" t="s">
        <v>10</v>
      </c>
    </row>
    <row r="6240" spans="1:5" hidden="1" outlineLevel="2">
      <c r="A6240" s="3" t="e">
        <f>(HYPERLINK("http://www.autodoc.ru/Web/price/art/6291LGSV5RQZ?analog=on","6291LGSV5RQZ"))*1</f>
        <v>#VALUE!</v>
      </c>
      <c r="B6240" s="1">
        <v>6995278</v>
      </c>
      <c r="C6240" t="s">
        <v>2935</v>
      </c>
      <c r="D6240" t="s">
        <v>6440</v>
      </c>
      <c r="E6240" t="s">
        <v>10</v>
      </c>
    </row>
    <row r="6241" spans="1:5" hidden="1" outlineLevel="2">
      <c r="A6241" s="3" t="e">
        <f>(HYPERLINK("http://www.autodoc.ru/Web/price/art/6291RCLV5FDW?analog=on","6291RCLV5FDW"))*1</f>
        <v>#VALUE!</v>
      </c>
      <c r="B6241" s="1">
        <v>6995265</v>
      </c>
      <c r="C6241" t="s">
        <v>2935</v>
      </c>
      <c r="D6241" t="s">
        <v>6441</v>
      </c>
      <c r="E6241" t="s">
        <v>10</v>
      </c>
    </row>
    <row r="6242" spans="1:5" hidden="1" outlineLevel="2">
      <c r="A6242" s="3" t="e">
        <f>(HYPERLINK("http://www.autodoc.ru/Web/price/art/6291RCLV5FV?analog=on","6291RCLV5FV"))*1</f>
        <v>#VALUE!</v>
      </c>
      <c r="B6242" s="1">
        <v>6995263</v>
      </c>
      <c r="C6242" t="s">
        <v>2935</v>
      </c>
      <c r="D6242" t="s">
        <v>6442</v>
      </c>
      <c r="E6242" t="s">
        <v>10</v>
      </c>
    </row>
    <row r="6243" spans="1:5" hidden="1" outlineLevel="2">
      <c r="A6243" s="3" t="e">
        <f>(HYPERLINK("http://www.autodoc.ru/Web/price/art/6291RCLV5RDW?analog=on","6291RCLV5RDW"))*1</f>
        <v>#VALUE!</v>
      </c>
      <c r="B6243" s="1">
        <v>6995267</v>
      </c>
      <c r="C6243" t="s">
        <v>2935</v>
      </c>
      <c r="D6243" t="s">
        <v>6443</v>
      </c>
      <c r="E6243" t="s">
        <v>10</v>
      </c>
    </row>
    <row r="6244" spans="1:5" hidden="1" outlineLevel="2">
      <c r="A6244" s="3" t="e">
        <f>(HYPERLINK("http://www.autodoc.ru/Web/price/art/6291RCLV5RQZ?analog=on","6291RCLV5RQZ"))*1</f>
        <v>#VALUE!</v>
      </c>
      <c r="B6244" s="1">
        <v>6995269</v>
      </c>
      <c r="C6244" t="s">
        <v>2935</v>
      </c>
      <c r="D6244" t="s">
        <v>6444</v>
      </c>
      <c r="E6244" t="s">
        <v>10</v>
      </c>
    </row>
    <row r="6245" spans="1:5" hidden="1" outlineLevel="2">
      <c r="A6245" s="3" t="e">
        <f>(HYPERLINK("http://www.autodoc.ru/Web/price/art/6291RGSV5FDW?analog=on","6291RGSV5FDW"))*1</f>
        <v>#VALUE!</v>
      </c>
      <c r="B6245" s="1">
        <v>6995275</v>
      </c>
      <c r="C6245" t="s">
        <v>2935</v>
      </c>
      <c r="D6245" t="s">
        <v>6445</v>
      </c>
      <c r="E6245" t="s">
        <v>10</v>
      </c>
    </row>
    <row r="6246" spans="1:5" hidden="1" outlineLevel="2">
      <c r="A6246" s="3" t="e">
        <f>(HYPERLINK("http://www.autodoc.ru/Web/price/art/6291RGSV5FV?analog=on","6291RGSV5FV"))*1</f>
        <v>#VALUE!</v>
      </c>
      <c r="B6246" s="1">
        <v>6995273</v>
      </c>
      <c r="C6246" t="s">
        <v>2935</v>
      </c>
      <c r="D6246" t="s">
        <v>6446</v>
      </c>
      <c r="E6246" t="s">
        <v>10</v>
      </c>
    </row>
    <row r="6247" spans="1:5" hidden="1" outlineLevel="2">
      <c r="A6247" s="3" t="e">
        <f>(HYPERLINK("http://www.autodoc.ru/Web/price/art/6291RGSV5RDW?analog=on","6291RGSV5RDW"))*1</f>
        <v>#VALUE!</v>
      </c>
      <c r="B6247" s="1">
        <v>6995277</v>
      </c>
      <c r="C6247" t="s">
        <v>2935</v>
      </c>
      <c r="D6247" t="s">
        <v>6447</v>
      </c>
      <c r="E6247" t="s">
        <v>10</v>
      </c>
    </row>
    <row r="6248" spans="1:5" hidden="1" outlineLevel="2">
      <c r="A6248" s="3" t="e">
        <f>(HYPERLINK("http://www.autodoc.ru/Web/price/art/6291RGSV5RQZ?analog=on","6291RGSV5RQZ"))*1</f>
        <v>#VALUE!</v>
      </c>
      <c r="B6248" s="1">
        <v>6995279</v>
      </c>
      <c r="C6248" t="s">
        <v>2935</v>
      </c>
      <c r="D6248" t="s">
        <v>6448</v>
      </c>
      <c r="E6248" t="s">
        <v>10</v>
      </c>
    </row>
    <row r="6249" spans="1:5" hidden="1" outlineLevel="1">
      <c r="A6249" s="2">
        <v>0</v>
      </c>
      <c r="B6249" s="26" t="s">
        <v>6449</v>
      </c>
      <c r="C6249" s="27">
        <v>0</v>
      </c>
      <c r="D6249" s="27">
        <v>0</v>
      </c>
      <c r="E6249" s="27">
        <v>0</v>
      </c>
    </row>
    <row r="6250" spans="1:5" hidden="1" outlineLevel="2">
      <c r="A6250" s="3" t="e">
        <f>(HYPERLINK("http://www.autodoc.ru/Web/price/art/6318BGDHW?analog=on","6318BGDHW"))*1</f>
        <v>#VALUE!</v>
      </c>
      <c r="B6250" s="1">
        <v>6995113</v>
      </c>
      <c r="C6250" t="s">
        <v>366</v>
      </c>
      <c r="D6250" t="s">
        <v>6450</v>
      </c>
      <c r="E6250" t="s">
        <v>23</v>
      </c>
    </row>
    <row r="6251" spans="1:5" hidden="1" outlineLevel="2">
      <c r="A6251" s="3" t="e">
        <f>(HYPERLINK("http://www.autodoc.ru/Web/price/art/6318BGNHW?analog=on","6318BGNHW"))*1</f>
        <v>#VALUE!</v>
      </c>
      <c r="B6251" s="1">
        <v>6995112</v>
      </c>
      <c r="C6251" t="s">
        <v>366</v>
      </c>
      <c r="D6251" t="s">
        <v>6451</v>
      </c>
      <c r="E6251" t="s">
        <v>23</v>
      </c>
    </row>
    <row r="6252" spans="1:5" hidden="1" outlineLevel="1">
      <c r="A6252" s="2">
        <v>0</v>
      </c>
      <c r="B6252" s="26" t="s">
        <v>6452</v>
      </c>
      <c r="C6252" s="27">
        <v>0</v>
      </c>
      <c r="D6252" s="27">
        <v>0</v>
      </c>
      <c r="E6252" s="27">
        <v>0</v>
      </c>
    </row>
    <row r="6253" spans="1:5" hidden="1" outlineLevel="2">
      <c r="A6253" s="3" t="e">
        <f>(HYPERLINK("http://www.autodoc.ru/Web/price/art/6314AGNBLHMV1B?analog=on","6314AGNBLHMV1B"))*1</f>
        <v>#VALUE!</v>
      </c>
      <c r="B6253" s="1">
        <v>6962805</v>
      </c>
      <c r="C6253" t="s">
        <v>290</v>
      </c>
      <c r="D6253" t="s">
        <v>6453</v>
      </c>
      <c r="E6253" t="s">
        <v>8</v>
      </c>
    </row>
    <row r="6254" spans="1:5" hidden="1" outlineLevel="2">
      <c r="A6254" s="3" t="e">
        <f>(HYPERLINK("http://www.autodoc.ru/Web/price/art/6314AGNBLMV1B?analog=on","6314AGNBLMV1B"))*1</f>
        <v>#VALUE!</v>
      </c>
      <c r="B6254" s="1">
        <v>6964670</v>
      </c>
      <c r="C6254" t="s">
        <v>290</v>
      </c>
      <c r="D6254" t="s">
        <v>6454</v>
      </c>
      <c r="E6254" t="s">
        <v>8</v>
      </c>
    </row>
    <row r="6255" spans="1:5" hidden="1" outlineLevel="2">
      <c r="A6255" s="3" t="e">
        <f>(HYPERLINK("http://www.autodoc.ru/Web/price/art/6314ASMR?analog=on","6314ASMR"))*1</f>
        <v>#VALUE!</v>
      </c>
      <c r="B6255" s="1">
        <v>6102316</v>
      </c>
      <c r="C6255" t="s">
        <v>290</v>
      </c>
      <c r="D6255" t="s">
        <v>6455</v>
      </c>
      <c r="E6255" t="s">
        <v>21</v>
      </c>
    </row>
    <row r="6256" spans="1:5" hidden="1" outlineLevel="1">
      <c r="A6256" s="2">
        <v>0</v>
      </c>
      <c r="B6256" s="26" t="s">
        <v>6456</v>
      </c>
      <c r="C6256" s="27">
        <v>0</v>
      </c>
      <c r="D6256" s="27">
        <v>0</v>
      </c>
      <c r="E6256" s="27">
        <v>0</v>
      </c>
    </row>
    <row r="6257" spans="1:5" hidden="1" outlineLevel="2">
      <c r="A6257" s="3" t="e">
        <f>(HYPERLINK("http://www.autodoc.ru/Web/price/art/6282LCLV2FV?analog=on","6282LCLV2FV"))*1</f>
        <v>#VALUE!</v>
      </c>
      <c r="B6257" s="1">
        <v>6190431</v>
      </c>
      <c r="C6257" t="s">
        <v>1687</v>
      </c>
      <c r="D6257" t="s">
        <v>6457</v>
      </c>
      <c r="E6257" t="s">
        <v>10</v>
      </c>
    </row>
    <row r="6258" spans="1:5" hidden="1" outlineLevel="2">
      <c r="A6258" s="3" t="e">
        <f>(HYPERLINK("http://www.autodoc.ru/Web/price/art/6282RCLV2FV?analog=on","6282RCLV2FV"))*1</f>
        <v>#VALUE!</v>
      </c>
      <c r="B6258" s="1">
        <v>6190432</v>
      </c>
      <c r="C6258" t="s">
        <v>1687</v>
      </c>
      <c r="D6258" t="s">
        <v>6458</v>
      </c>
      <c r="E6258" t="s">
        <v>10</v>
      </c>
    </row>
    <row r="6259" spans="1:5" hidden="1" outlineLevel="1">
      <c r="A6259" s="2">
        <v>0</v>
      </c>
      <c r="B6259" s="26" t="s">
        <v>6459</v>
      </c>
      <c r="C6259" s="27">
        <v>0</v>
      </c>
      <c r="D6259" s="27">
        <v>0</v>
      </c>
      <c r="E6259" s="27">
        <v>0</v>
      </c>
    </row>
    <row r="6260" spans="1:5" hidden="1" outlineLevel="2">
      <c r="A6260" s="3" t="e">
        <f>(HYPERLINK("http://www.autodoc.ru/Web/price/art/6244ACL?analog=on","6244ACL"))*1</f>
        <v>#VALUE!</v>
      </c>
      <c r="B6260" s="1">
        <v>6968204</v>
      </c>
      <c r="C6260" t="s">
        <v>6460</v>
      </c>
      <c r="D6260" t="s">
        <v>6461</v>
      </c>
      <c r="E6260" t="s">
        <v>8</v>
      </c>
    </row>
    <row r="6261" spans="1:5" hidden="1" outlineLevel="2">
      <c r="A6261" s="3" t="e">
        <f>(HYPERLINK("http://www.autodoc.ru/Web/price/art/6244ACL1C?analog=on","6244ACL1C"))*1</f>
        <v>#VALUE!</v>
      </c>
      <c r="B6261" s="1">
        <v>6968205</v>
      </c>
      <c r="C6261" t="s">
        <v>6460</v>
      </c>
      <c r="D6261" t="s">
        <v>6461</v>
      </c>
      <c r="E6261" t="s">
        <v>8</v>
      </c>
    </row>
    <row r="6262" spans="1:5" hidden="1" outlineLevel="2">
      <c r="A6262" s="3" t="e">
        <f>(HYPERLINK("http://www.autodoc.ru/Web/price/art/6244AGNBL?analog=on","6244AGNBL"))*1</f>
        <v>#VALUE!</v>
      </c>
      <c r="B6262" s="1">
        <v>6968215</v>
      </c>
      <c r="C6262" t="s">
        <v>6460</v>
      </c>
      <c r="D6262" t="s">
        <v>6462</v>
      </c>
      <c r="E6262" t="s">
        <v>8</v>
      </c>
    </row>
    <row r="6263" spans="1:5" hidden="1" outlineLevel="2">
      <c r="A6263" s="3" t="e">
        <f>(HYPERLINK("http://www.autodoc.ru/Web/price/art/6244AGNBL1C?analog=on","6244AGNBL1C"))*1</f>
        <v>#VALUE!</v>
      </c>
      <c r="B6263" s="1">
        <v>6968214</v>
      </c>
      <c r="C6263" t="s">
        <v>6460</v>
      </c>
      <c r="D6263" t="s">
        <v>6462</v>
      </c>
      <c r="E6263" t="s">
        <v>8</v>
      </c>
    </row>
    <row r="6264" spans="1:5" hidden="1" outlineLevel="2">
      <c r="A6264" s="3" t="e">
        <f>(HYPERLINK("http://www.autodoc.ru/Web/price/art/6244ASRH?analog=on","6244ASRH"))*1</f>
        <v>#VALUE!</v>
      </c>
      <c r="B6264" s="1">
        <v>6100386</v>
      </c>
      <c r="C6264" t="s">
        <v>19</v>
      </c>
      <c r="D6264" t="s">
        <v>6463</v>
      </c>
      <c r="E6264" t="s">
        <v>21</v>
      </c>
    </row>
    <row r="6265" spans="1:5" hidden="1" outlineLevel="2">
      <c r="A6265" s="3" t="e">
        <f>(HYPERLINK("http://www.autodoc.ru/Web/price/art/6244BCLH?analog=on","6244BCLH"))*1</f>
        <v>#VALUE!</v>
      </c>
      <c r="B6265" s="1">
        <v>6996210</v>
      </c>
      <c r="C6265" t="s">
        <v>6460</v>
      </c>
      <c r="D6265" t="s">
        <v>6464</v>
      </c>
      <c r="E6265" t="s">
        <v>23</v>
      </c>
    </row>
    <row r="6266" spans="1:5" hidden="1" outlineLevel="2">
      <c r="A6266" s="3" t="e">
        <f>(HYPERLINK("http://www.autodoc.ru/Web/price/art/6244LCLS4FD?analog=on","6244LCLS4FD"))*1</f>
        <v>#VALUE!</v>
      </c>
      <c r="B6266" s="1">
        <v>6996808</v>
      </c>
      <c r="C6266" t="s">
        <v>6460</v>
      </c>
      <c r="D6266" t="s">
        <v>6465</v>
      </c>
      <c r="E6266" t="s">
        <v>10</v>
      </c>
    </row>
    <row r="6267" spans="1:5" hidden="1" outlineLevel="2">
      <c r="A6267" s="3" t="e">
        <f>(HYPERLINK("http://www.autodoc.ru/Web/price/art/6244LGNH5FD?analog=on","6244LGNH5FD"))*1</f>
        <v>#VALUE!</v>
      </c>
      <c r="B6267" s="1">
        <v>6980692</v>
      </c>
      <c r="C6267" t="s">
        <v>6460</v>
      </c>
      <c r="D6267" t="s">
        <v>6466</v>
      </c>
      <c r="E6267" t="s">
        <v>10</v>
      </c>
    </row>
    <row r="6268" spans="1:5" hidden="1" outlineLevel="2">
      <c r="A6268" s="3" t="e">
        <f>(HYPERLINK("http://www.autodoc.ru/Web/price/art/6244RCLH5RV?analog=on","6244RCLH5RV"))*1</f>
        <v>#VALUE!</v>
      </c>
      <c r="B6268" s="1">
        <v>6995434</v>
      </c>
      <c r="C6268" t="s">
        <v>6460</v>
      </c>
      <c r="D6268" t="s">
        <v>6467</v>
      </c>
      <c r="E6268" t="s">
        <v>10</v>
      </c>
    </row>
    <row r="6269" spans="1:5" hidden="1" outlineLevel="2">
      <c r="A6269" s="3" t="e">
        <f>(HYPERLINK("http://www.autodoc.ru/Web/price/art/6244RCLS4FD?analog=on","6244RCLS4FD"))*1</f>
        <v>#VALUE!</v>
      </c>
      <c r="B6269" s="1">
        <v>6996809</v>
      </c>
      <c r="C6269" t="s">
        <v>6460</v>
      </c>
      <c r="D6269" t="s">
        <v>6468</v>
      </c>
      <c r="E6269" t="s">
        <v>10</v>
      </c>
    </row>
    <row r="6270" spans="1:5" hidden="1" outlineLevel="2">
      <c r="A6270" s="3" t="e">
        <f>(HYPERLINK("http://www.autodoc.ru/Web/price/art/6244RCLS4RV?analog=on","6244RCLS4RV"))*1</f>
        <v>#VALUE!</v>
      </c>
      <c r="B6270" s="1">
        <v>6995435</v>
      </c>
      <c r="C6270" t="s">
        <v>6460</v>
      </c>
      <c r="D6270" t="s">
        <v>6469</v>
      </c>
      <c r="E6270" t="s">
        <v>10</v>
      </c>
    </row>
    <row r="6271" spans="1:5" hidden="1" outlineLevel="1">
      <c r="A6271" s="2">
        <v>0</v>
      </c>
      <c r="B6271" s="26" t="s">
        <v>6470</v>
      </c>
      <c r="C6271" s="27">
        <v>0</v>
      </c>
      <c r="D6271" s="27">
        <v>0</v>
      </c>
      <c r="E6271" s="27">
        <v>0</v>
      </c>
    </row>
    <row r="6272" spans="1:5" hidden="1" outlineLevel="2">
      <c r="A6272" s="3" t="e">
        <f>(HYPERLINK("http://www.autodoc.ru/Web/price/art/6257ACLW?analog=on","6257ACLW"))*1</f>
        <v>#VALUE!</v>
      </c>
      <c r="B6272" s="1">
        <v>6968262</v>
      </c>
      <c r="C6272" t="s">
        <v>193</v>
      </c>
      <c r="D6272" t="s">
        <v>6471</v>
      </c>
      <c r="E6272" t="s">
        <v>8</v>
      </c>
    </row>
    <row r="6273" spans="1:5" hidden="1" outlineLevel="2">
      <c r="A6273" s="3" t="e">
        <f>(HYPERLINK("http://www.autodoc.ru/Web/price/art/6257ACLW1C?analog=on","6257ACLW1C"))*1</f>
        <v>#VALUE!</v>
      </c>
      <c r="B6273" s="1">
        <v>6968266</v>
      </c>
      <c r="C6273" t="s">
        <v>193</v>
      </c>
      <c r="D6273" t="s">
        <v>6472</v>
      </c>
      <c r="E6273" t="s">
        <v>8</v>
      </c>
    </row>
    <row r="6274" spans="1:5" hidden="1" outlineLevel="2">
      <c r="A6274" s="3" t="e">
        <f>(HYPERLINK("http://www.autodoc.ru/Web/price/art/6257AGNBLW?analog=on","6257AGNBLW"))*1</f>
        <v>#VALUE!</v>
      </c>
      <c r="B6274" s="1">
        <v>6968261</v>
      </c>
      <c r="C6274" t="s">
        <v>193</v>
      </c>
      <c r="D6274" t="s">
        <v>6473</v>
      </c>
      <c r="E6274" t="s">
        <v>8</v>
      </c>
    </row>
    <row r="6275" spans="1:5" hidden="1" outlineLevel="2">
      <c r="A6275" s="3" t="e">
        <f>(HYPERLINK("http://www.autodoc.ru/Web/price/art/6257AGNBLW1C?analog=on","6257AGNBLW1C"))*1</f>
        <v>#VALUE!</v>
      </c>
      <c r="B6275" s="1">
        <v>6968267</v>
      </c>
      <c r="C6275" t="s">
        <v>193</v>
      </c>
      <c r="D6275" t="s">
        <v>6474</v>
      </c>
      <c r="E6275" t="s">
        <v>8</v>
      </c>
    </row>
    <row r="6276" spans="1:5" hidden="1" outlineLevel="2">
      <c r="A6276" s="3" t="e">
        <f>(HYPERLINK("http://www.autodoc.ru/Web/price/art/6257ASMH?analog=on","6257ASMH"))*1</f>
        <v>#VALUE!</v>
      </c>
      <c r="B6276" s="1">
        <v>6100384</v>
      </c>
      <c r="C6276" t="s">
        <v>19</v>
      </c>
      <c r="D6276" t="s">
        <v>6475</v>
      </c>
      <c r="E6276" t="s">
        <v>21</v>
      </c>
    </row>
    <row r="6277" spans="1:5" hidden="1" outlineLevel="2">
      <c r="A6277" s="3" t="e">
        <f>(HYPERLINK("http://www.autodoc.ru/Web/price/art/6257BCLE?analog=on","6257BCLE"))*1</f>
        <v>#VALUE!</v>
      </c>
      <c r="B6277" s="1">
        <v>6995092</v>
      </c>
      <c r="C6277" t="s">
        <v>193</v>
      </c>
      <c r="D6277" t="s">
        <v>6476</v>
      </c>
      <c r="E6277" t="s">
        <v>23</v>
      </c>
    </row>
    <row r="6278" spans="1:5" hidden="1" outlineLevel="2">
      <c r="A6278" s="3" t="e">
        <f>(HYPERLINK("http://www.autodoc.ru/Web/price/art/6257BCLH?analog=on","6257BCLH"))*1</f>
        <v>#VALUE!</v>
      </c>
      <c r="B6278" s="1">
        <v>6995090</v>
      </c>
      <c r="C6278" t="s">
        <v>193</v>
      </c>
      <c r="D6278" t="s">
        <v>6477</v>
      </c>
      <c r="E6278" t="s">
        <v>23</v>
      </c>
    </row>
    <row r="6279" spans="1:5" hidden="1" outlineLevel="2">
      <c r="A6279" s="3" t="e">
        <f>(HYPERLINK("http://www.autodoc.ru/Web/price/art/6257BGNE?analog=on","6257BGNE"))*1</f>
        <v>#VALUE!</v>
      </c>
      <c r="B6279" s="1">
        <v>6995093</v>
      </c>
      <c r="C6279" t="s">
        <v>193</v>
      </c>
      <c r="D6279" t="s">
        <v>6478</v>
      </c>
      <c r="E6279" t="s">
        <v>23</v>
      </c>
    </row>
    <row r="6280" spans="1:5" hidden="1" outlineLevel="2">
      <c r="A6280" s="3" t="e">
        <f>(HYPERLINK("http://www.autodoc.ru/Web/price/art/6257BGNH?analog=on","6257BGNH"))*1</f>
        <v>#VALUE!</v>
      </c>
      <c r="B6280" s="1">
        <v>6995091</v>
      </c>
      <c r="C6280" t="s">
        <v>193</v>
      </c>
      <c r="D6280" t="s">
        <v>6479</v>
      </c>
      <c r="E6280" t="s">
        <v>23</v>
      </c>
    </row>
    <row r="6281" spans="1:5" hidden="1" outlineLevel="2">
      <c r="A6281" s="3" t="e">
        <f>(HYPERLINK("http://www.autodoc.ru/Web/price/art/6257BGNS?analog=on","6257BGNS"))*1</f>
        <v>#VALUE!</v>
      </c>
      <c r="B6281" s="1">
        <v>6998976</v>
      </c>
      <c r="C6281" t="s">
        <v>193</v>
      </c>
      <c r="D6281" t="s">
        <v>6480</v>
      </c>
      <c r="E6281" t="s">
        <v>23</v>
      </c>
    </row>
    <row r="6282" spans="1:5" hidden="1" outlineLevel="2">
      <c r="A6282" s="3" t="e">
        <f>(HYPERLINK("http://www.autodoc.ru/Web/price/art/6257BSME?analog=on","6257BSME"))*1</f>
        <v>#VALUE!</v>
      </c>
      <c r="B6282" s="1">
        <v>6100156</v>
      </c>
      <c r="C6282" t="s">
        <v>19</v>
      </c>
      <c r="D6282" t="s">
        <v>6481</v>
      </c>
      <c r="E6282" t="s">
        <v>21</v>
      </c>
    </row>
    <row r="6283" spans="1:5" hidden="1" outlineLevel="2">
      <c r="A6283" s="3" t="e">
        <f>(HYPERLINK("http://www.autodoc.ru/Web/price/art/6257BSMH?analog=on","6257BSMH"))*1</f>
        <v>#VALUE!</v>
      </c>
      <c r="B6283" s="1">
        <v>6100157</v>
      </c>
      <c r="C6283" t="s">
        <v>19</v>
      </c>
      <c r="D6283" t="s">
        <v>6482</v>
      </c>
      <c r="E6283" t="s">
        <v>21</v>
      </c>
    </row>
    <row r="6284" spans="1:5" hidden="1" outlineLevel="2">
      <c r="A6284" s="3" t="e">
        <f>(HYPERLINK("http://www.autodoc.ru/Web/price/art/6257LCLE5RD?analog=on","6257LCLE5RD"))*1</f>
        <v>#VALUE!</v>
      </c>
      <c r="B6284" s="1">
        <v>6995171</v>
      </c>
      <c r="C6284" t="s">
        <v>193</v>
      </c>
      <c r="D6284" t="s">
        <v>6483</v>
      </c>
      <c r="E6284" t="s">
        <v>10</v>
      </c>
    </row>
    <row r="6285" spans="1:5" hidden="1" outlineLevel="2">
      <c r="A6285" s="3" t="e">
        <f>(HYPERLINK("http://www.autodoc.ru/Web/price/art/6257LCLE5RV?analog=on","6257LCLE5RV"))*1</f>
        <v>#VALUE!</v>
      </c>
      <c r="B6285" s="1">
        <v>6995175</v>
      </c>
      <c r="C6285" t="s">
        <v>193</v>
      </c>
      <c r="D6285" t="s">
        <v>6484</v>
      </c>
      <c r="E6285" t="s">
        <v>10</v>
      </c>
    </row>
    <row r="6286" spans="1:5" hidden="1" outlineLevel="2">
      <c r="A6286" s="3" t="e">
        <f>(HYPERLINK("http://www.autodoc.ru/Web/price/art/6257LCLH3FD?analog=on","6257LCLH3FD"))*1</f>
        <v>#VALUE!</v>
      </c>
      <c r="B6286" s="1">
        <v>6995071</v>
      </c>
      <c r="C6286" t="s">
        <v>193</v>
      </c>
      <c r="D6286" t="s">
        <v>6485</v>
      </c>
      <c r="E6286" t="s">
        <v>10</v>
      </c>
    </row>
    <row r="6287" spans="1:5" hidden="1" outlineLevel="2">
      <c r="A6287" s="3" t="e">
        <f>(HYPERLINK("http://www.autodoc.ru/Web/price/art/6257LCLH5FD?analog=on","6257LCLH5FD"))*1</f>
        <v>#VALUE!</v>
      </c>
      <c r="B6287" s="1">
        <v>6995075</v>
      </c>
      <c r="C6287" t="s">
        <v>193</v>
      </c>
      <c r="D6287" t="s">
        <v>6486</v>
      </c>
      <c r="E6287" t="s">
        <v>10</v>
      </c>
    </row>
    <row r="6288" spans="1:5" hidden="1" outlineLevel="2">
      <c r="A6288" s="3" t="e">
        <f>(HYPERLINK("http://www.autodoc.ru/Web/price/art/6257LGNE5RD?analog=on","6257LGNE5RD"))*1</f>
        <v>#VALUE!</v>
      </c>
      <c r="B6288" s="1">
        <v>6995173</v>
      </c>
      <c r="C6288" t="s">
        <v>193</v>
      </c>
      <c r="D6288" t="s">
        <v>6487</v>
      </c>
      <c r="E6288" t="s">
        <v>10</v>
      </c>
    </row>
    <row r="6289" spans="1:5" hidden="1" outlineLevel="2">
      <c r="A6289" s="3" t="e">
        <f>(HYPERLINK("http://www.autodoc.ru/Web/price/art/6257LGNE5RQZ?analog=on","6257LGNE5RQZ"))*1</f>
        <v>#VALUE!</v>
      </c>
      <c r="B6289" s="1">
        <v>6996265</v>
      </c>
      <c r="C6289" t="s">
        <v>193</v>
      </c>
      <c r="D6289" t="s">
        <v>6488</v>
      </c>
      <c r="E6289" t="s">
        <v>10</v>
      </c>
    </row>
    <row r="6290" spans="1:5" hidden="1" outlineLevel="2">
      <c r="A6290" s="3" t="e">
        <f>(HYPERLINK("http://www.autodoc.ru/Web/price/art/6257LGNE5RV?analog=on","6257LGNE5RV"))*1</f>
        <v>#VALUE!</v>
      </c>
      <c r="B6290" s="1">
        <v>6995177</v>
      </c>
      <c r="C6290" t="s">
        <v>193</v>
      </c>
      <c r="D6290" t="s">
        <v>6489</v>
      </c>
      <c r="E6290" t="s">
        <v>10</v>
      </c>
    </row>
    <row r="6291" spans="1:5" hidden="1" outlineLevel="2">
      <c r="A6291" s="3" t="e">
        <f>(HYPERLINK("http://www.autodoc.ru/Web/price/art/6257LGNH3FD?analog=on","6257LGNH3FD"))*1</f>
        <v>#VALUE!</v>
      </c>
      <c r="B6291" s="1">
        <v>6995073</v>
      </c>
      <c r="C6291" t="s">
        <v>193</v>
      </c>
      <c r="D6291" t="s">
        <v>6490</v>
      </c>
      <c r="E6291" t="s">
        <v>10</v>
      </c>
    </row>
    <row r="6292" spans="1:5" hidden="1" outlineLevel="2">
      <c r="A6292" s="3" t="e">
        <f>(HYPERLINK("http://www.autodoc.ru/Web/price/art/6257LGNH5FD?analog=on","6257LGNH5FD"))*1</f>
        <v>#VALUE!</v>
      </c>
      <c r="B6292" s="1">
        <v>6995077</v>
      </c>
      <c r="C6292" t="s">
        <v>193</v>
      </c>
      <c r="D6292" t="s">
        <v>6491</v>
      </c>
      <c r="E6292" t="s">
        <v>10</v>
      </c>
    </row>
    <row r="6293" spans="1:5" hidden="1" outlineLevel="2">
      <c r="A6293" s="3" t="e">
        <f>(HYPERLINK("http://www.autodoc.ru/Web/price/art/6257LGNH5RD?analog=on","6257LGNH5RD"))*1</f>
        <v>#VALUE!</v>
      </c>
      <c r="B6293" s="1">
        <v>6995811</v>
      </c>
      <c r="C6293" t="s">
        <v>193</v>
      </c>
      <c r="D6293" t="s">
        <v>6492</v>
      </c>
      <c r="E6293" t="s">
        <v>10</v>
      </c>
    </row>
    <row r="6294" spans="1:5" hidden="1" outlineLevel="2">
      <c r="A6294" s="3" t="e">
        <f>(HYPERLINK("http://www.autodoc.ru/Web/price/art/6257RCLE5RD?analog=on","6257RCLE5RD"))*1</f>
        <v>#VALUE!</v>
      </c>
      <c r="B6294" s="1">
        <v>6995170</v>
      </c>
      <c r="C6294" t="s">
        <v>193</v>
      </c>
      <c r="D6294" t="s">
        <v>6493</v>
      </c>
      <c r="E6294" t="s">
        <v>10</v>
      </c>
    </row>
    <row r="6295" spans="1:5" hidden="1" outlineLevel="2">
      <c r="A6295" s="3" t="e">
        <f>(HYPERLINK("http://www.autodoc.ru/Web/price/art/6257RCLE5RV?analog=on","6257RCLE5RV"))*1</f>
        <v>#VALUE!</v>
      </c>
      <c r="B6295" s="1">
        <v>6995174</v>
      </c>
      <c r="C6295" t="s">
        <v>193</v>
      </c>
      <c r="D6295" t="s">
        <v>6494</v>
      </c>
      <c r="E6295" t="s">
        <v>10</v>
      </c>
    </row>
    <row r="6296" spans="1:5" hidden="1" outlineLevel="2">
      <c r="A6296" s="3" t="e">
        <f>(HYPERLINK("http://www.autodoc.ru/Web/price/art/6257RCLH3FD?analog=on","6257RCLH3FD"))*1</f>
        <v>#VALUE!</v>
      </c>
      <c r="B6296" s="1">
        <v>6995072</v>
      </c>
      <c r="C6296" t="s">
        <v>193</v>
      </c>
      <c r="D6296" t="s">
        <v>6495</v>
      </c>
      <c r="E6296" t="s">
        <v>10</v>
      </c>
    </row>
    <row r="6297" spans="1:5" hidden="1" outlineLevel="2">
      <c r="A6297" s="3" t="e">
        <f>(HYPERLINK("http://www.autodoc.ru/Web/price/art/6257RCLH5FD?analog=on","6257RCLH5FD"))*1</f>
        <v>#VALUE!</v>
      </c>
      <c r="B6297" s="1">
        <v>6995076</v>
      </c>
      <c r="C6297" t="s">
        <v>193</v>
      </c>
      <c r="D6297" t="s">
        <v>6496</v>
      </c>
      <c r="E6297" t="s">
        <v>10</v>
      </c>
    </row>
    <row r="6298" spans="1:5" hidden="1" outlineLevel="2">
      <c r="A6298" s="3" t="e">
        <f>(HYPERLINK("http://www.autodoc.ru/Web/price/art/6257RCLH5RD?analog=on","6257RCLH5RD"))*1</f>
        <v>#VALUE!</v>
      </c>
      <c r="B6298" s="1">
        <v>6995810</v>
      </c>
      <c r="C6298" t="s">
        <v>193</v>
      </c>
      <c r="D6298" t="s">
        <v>6497</v>
      </c>
      <c r="E6298" t="s">
        <v>10</v>
      </c>
    </row>
    <row r="6299" spans="1:5" hidden="1" outlineLevel="2">
      <c r="A6299" s="3" t="e">
        <f>(HYPERLINK("http://www.autodoc.ru/Web/price/art/6257RGNE5RD?analog=on","6257RGNE5RD"))*1</f>
        <v>#VALUE!</v>
      </c>
      <c r="B6299" s="1">
        <v>6995172</v>
      </c>
      <c r="C6299" t="s">
        <v>193</v>
      </c>
      <c r="D6299" t="s">
        <v>6498</v>
      </c>
      <c r="E6299" t="s">
        <v>10</v>
      </c>
    </row>
    <row r="6300" spans="1:5" hidden="1" outlineLevel="2">
      <c r="A6300" s="3" t="e">
        <f>(HYPERLINK("http://www.autodoc.ru/Web/price/art/6257RGNE5RV?analog=on","6257RGNE5RV"))*1</f>
        <v>#VALUE!</v>
      </c>
      <c r="B6300" s="1">
        <v>6995176</v>
      </c>
      <c r="C6300" t="s">
        <v>193</v>
      </c>
      <c r="D6300" t="s">
        <v>6499</v>
      </c>
      <c r="E6300" t="s">
        <v>10</v>
      </c>
    </row>
    <row r="6301" spans="1:5" hidden="1" outlineLevel="2">
      <c r="A6301" s="3" t="e">
        <f>(HYPERLINK("http://www.autodoc.ru/Web/price/art/6257RGNH3FD?analog=on","6257RGNH3FD"))*1</f>
        <v>#VALUE!</v>
      </c>
      <c r="B6301" s="1">
        <v>6995074</v>
      </c>
      <c r="C6301" t="s">
        <v>193</v>
      </c>
      <c r="D6301" t="s">
        <v>6500</v>
      </c>
      <c r="E6301" t="s">
        <v>10</v>
      </c>
    </row>
    <row r="6302" spans="1:5" hidden="1" outlineLevel="2">
      <c r="A6302" s="3" t="e">
        <f>(HYPERLINK("http://www.autodoc.ru/Web/price/art/6257RGNH5FD?analog=on","6257RGNH5FD"))*1</f>
        <v>#VALUE!</v>
      </c>
      <c r="B6302" s="1">
        <v>6995078</v>
      </c>
      <c r="C6302" t="s">
        <v>193</v>
      </c>
      <c r="D6302" t="s">
        <v>6501</v>
      </c>
      <c r="E6302" t="s">
        <v>10</v>
      </c>
    </row>
    <row r="6303" spans="1:5" hidden="1" outlineLevel="2">
      <c r="A6303" s="3" t="e">
        <f>(HYPERLINK("http://www.autodoc.ru/Web/price/art/6257RGNH5RD?analog=on","6257RGNH5RD"))*1</f>
        <v>#VALUE!</v>
      </c>
      <c r="B6303" s="1">
        <v>6995812</v>
      </c>
      <c r="C6303" t="s">
        <v>193</v>
      </c>
      <c r="D6303" t="s">
        <v>6502</v>
      </c>
      <c r="E6303" t="s">
        <v>10</v>
      </c>
    </row>
    <row r="6304" spans="1:5" hidden="1" outlineLevel="1">
      <c r="A6304" s="2">
        <v>0</v>
      </c>
      <c r="B6304" s="26" t="s">
        <v>6503</v>
      </c>
      <c r="C6304" s="27">
        <v>0</v>
      </c>
      <c r="D6304" s="27">
        <v>0</v>
      </c>
      <c r="E6304" s="27">
        <v>0</v>
      </c>
    </row>
    <row r="6305" spans="1:5" hidden="1" outlineLevel="2">
      <c r="A6305" s="3" t="e">
        <f>(HYPERLINK("http://www.autodoc.ru/Web/price/art/6260AGNBL1C?analog=on","6260AGNBL1C"))*1</f>
        <v>#VALUE!</v>
      </c>
      <c r="B6305" s="1">
        <v>6963702</v>
      </c>
      <c r="C6305" t="s">
        <v>36</v>
      </c>
      <c r="D6305" t="s">
        <v>6504</v>
      </c>
      <c r="E6305" t="s">
        <v>8</v>
      </c>
    </row>
    <row r="6306" spans="1:5" hidden="1" outlineLevel="2">
      <c r="A6306" s="3" t="e">
        <f>(HYPERLINK("http://www.autodoc.ru/Web/price/art/6260ASMT?analog=on","6260ASMT"))*1</f>
        <v>#VALUE!</v>
      </c>
      <c r="B6306" s="1">
        <v>6100161</v>
      </c>
      <c r="C6306" t="s">
        <v>19</v>
      </c>
      <c r="D6306" t="s">
        <v>6505</v>
      </c>
      <c r="E6306" t="s">
        <v>21</v>
      </c>
    </row>
    <row r="6307" spans="1:5" hidden="1" outlineLevel="1">
      <c r="A6307" s="2">
        <v>0</v>
      </c>
      <c r="B6307" s="26" t="s">
        <v>6506</v>
      </c>
      <c r="C6307" s="27">
        <v>0</v>
      </c>
      <c r="D6307" s="27">
        <v>0</v>
      </c>
      <c r="E6307" s="27">
        <v>0</v>
      </c>
    </row>
    <row r="6308" spans="1:5" hidden="1" outlineLevel="2">
      <c r="A6308" s="3" t="e">
        <f>(HYPERLINK("http://www.autodoc.ru/Web/price/art/6284ACL?analog=on","6284ACL"))*1</f>
        <v>#VALUE!</v>
      </c>
      <c r="B6308" s="1">
        <v>6964680</v>
      </c>
      <c r="C6308" t="s">
        <v>323</v>
      </c>
      <c r="D6308" t="s">
        <v>6507</v>
      </c>
      <c r="E6308" t="s">
        <v>8</v>
      </c>
    </row>
    <row r="6309" spans="1:5" hidden="1" outlineLevel="2">
      <c r="A6309" s="3" t="e">
        <f>(HYPERLINK("http://www.autodoc.ru/Web/price/art/6284ACL1B?analog=on","6284ACL1B"))*1</f>
        <v>#VALUE!</v>
      </c>
      <c r="B6309" s="1">
        <v>6961169</v>
      </c>
      <c r="C6309" t="s">
        <v>323</v>
      </c>
      <c r="D6309" t="s">
        <v>6507</v>
      </c>
      <c r="E6309" t="s">
        <v>8</v>
      </c>
    </row>
    <row r="6310" spans="1:5" hidden="1" outlineLevel="2">
      <c r="A6310" s="3" t="e">
        <f>(HYPERLINK("http://www.autodoc.ru/Web/price/art/6284AGN?analog=on","6284AGN"))*1</f>
        <v>#VALUE!</v>
      </c>
      <c r="B6310" s="1">
        <v>6961810</v>
      </c>
      <c r="C6310" t="s">
        <v>323</v>
      </c>
      <c r="D6310" t="s">
        <v>6508</v>
      </c>
      <c r="E6310" t="s">
        <v>8</v>
      </c>
    </row>
    <row r="6311" spans="1:5" hidden="1" outlineLevel="2">
      <c r="A6311" s="3" t="e">
        <f>(HYPERLINK("http://www.autodoc.ru/Web/price/art/6284AGN1B?analog=on","6284AGN1B"))*1</f>
        <v>#VALUE!</v>
      </c>
      <c r="B6311" s="1">
        <v>6968270</v>
      </c>
      <c r="C6311" t="s">
        <v>323</v>
      </c>
      <c r="D6311" t="s">
        <v>6509</v>
      </c>
      <c r="E6311" t="s">
        <v>8</v>
      </c>
    </row>
    <row r="6312" spans="1:5" hidden="1" outlineLevel="2">
      <c r="A6312" s="3" t="e">
        <f>(HYPERLINK("http://www.autodoc.ru/Web/price/art/6284AGNBL?analog=on","6284AGNBL"))*1</f>
        <v>#VALUE!</v>
      </c>
      <c r="B6312" s="1">
        <v>6961811</v>
      </c>
      <c r="C6312" t="s">
        <v>323</v>
      </c>
      <c r="D6312" t="s">
        <v>6510</v>
      </c>
      <c r="E6312" t="s">
        <v>8</v>
      </c>
    </row>
    <row r="6313" spans="1:5" hidden="1" outlineLevel="2">
      <c r="A6313" s="3" t="e">
        <f>(HYPERLINK("http://www.autodoc.ru/Web/price/art/6284AGNBL1B?analog=on","6284AGNBL1B"))*1</f>
        <v>#VALUE!</v>
      </c>
      <c r="B6313" s="1">
        <v>6963655</v>
      </c>
      <c r="C6313" t="s">
        <v>323</v>
      </c>
      <c r="D6313" t="s">
        <v>6510</v>
      </c>
      <c r="E6313" t="s">
        <v>8</v>
      </c>
    </row>
    <row r="6314" spans="1:5" hidden="1" outlineLevel="2">
      <c r="A6314" s="3" t="e">
        <f>(HYPERLINK("http://www.autodoc.ru/Web/price/art/6284AGSM2B?analog=on","6284AGSM2B"))*1</f>
        <v>#VALUE!</v>
      </c>
      <c r="B6314" s="1">
        <v>6962397</v>
      </c>
      <c r="C6314" t="s">
        <v>323</v>
      </c>
      <c r="D6314" t="s">
        <v>6511</v>
      </c>
      <c r="E6314" t="s">
        <v>8</v>
      </c>
    </row>
    <row r="6315" spans="1:5" hidden="1" outlineLevel="2">
      <c r="A6315" s="3" t="e">
        <f>(HYPERLINK("http://www.autodoc.ru/Web/price/art/6284AKCH?analog=on","6284AKCH"))*1</f>
        <v>#VALUE!</v>
      </c>
      <c r="B6315" s="1">
        <v>6102364</v>
      </c>
      <c r="C6315" t="s">
        <v>19</v>
      </c>
      <c r="D6315" t="s">
        <v>6512</v>
      </c>
      <c r="E6315" t="s">
        <v>21</v>
      </c>
    </row>
    <row r="6316" spans="1:5" hidden="1" outlineLevel="2">
      <c r="A6316" s="3" t="e">
        <f>(HYPERLINK("http://www.autodoc.ru/Web/price/art/6284AKCHS?analog=on","6284AKCHS"))*1</f>
        <v>#VALUE!</v>
      </c>
      <c r="B6316" s="1">
        <v>6101266</v>
      </c>
      <c r="C6316" t="s">
        <v>19</v>
      </c>
      <c r="D6316" t="s">
        <v>6513</v>
      </c>
      <c r="E6316" t="s">
        <v>21</v>
      </c>
    </row>
    <row r="6317" spans="1:5" hidden="1" outlineLevel="2">
      <c r="A6317" s="3" t="e">
        <f>(HYPERLINK("http://www.autodoc.ru/Web/price/art/6284AKMH?analog=on","6284AKMH"))*1</f>
        <v>#VALUE!</v>
      </c>
      <c r="B6317" s="1">
        <v>6100168</v>
      </c>
      <c r="C6317" t="s">
        <v>19</v>
      </c>
      <c r="D6317" t="s">
        <v>6514</v>
      </c>
      <c r="E6317" t="s">
        <v>21</v>
      </c>
    </row>
    <row r="6318" spans="1:5" hidden="1" outlineLevel="2">
      <c r="A6318" s="3" t="e">
        <f>(HYPERLINK("http://www.autodoc.ru/Web/price/art/6284ASMHB?analog=on","6284ASMHB"))*1</f>
        <v>#VALUE!</v>
      </c>
      <c r="B6318" s="1">
        <v>6100169</v>
      </c>
      <c r="C6318" t="s">
        <v>19</v>
      </c>
      <c r="D6318" t="s">
        <v>6515</v>
      </c>
      <c r="E6318" t="s">
        <v>21</v>
      </c>
    </row>
    <row r="6319" spans="1:5" hidden="1" outlineLevel="2">
      <c r="A6319" s="3" t="e">
        <f>(HYPERLINK("http://www.autodoc.ru/Web/price/art/6284ASMHT?analog=on","6284ASMHT"))*1</f>
        <v>#VALUE!</v>
      </c>
      <c r="B6319" s="1">
        <v>6100170</v>
      </c>
      <c r="C6319" t="s">
        <v>19</v>
      </c>
      <c r="D6319" t="s">
        <v>6516</v>
      </c>
      <c r="E6319" t="s">
        <v>21</v>
      </c>
    </row>
    <row r="6320" spans="1:5" hidden="1" outlineLevel="2">
      <c r="A6320" s="3" t="e">
        <f>(HYPERLINK("http://www.autodoc.ru/Web/price/art/6284ASMHT6C?analog=on","6284ASMHT6C"))*1</f>
        <v>#VALUE!</v>
      </c>
      <c r="B6320" s="1">
        <v>6102532</v>
      </c>
      <c r="C6320" t="s">
        <v>19</v>
      </c>
      <c r="D6320" t="s">
        <v>6517</v>
      </c>
      <c r="E6320" t="s">
        <v>21</v>
      </c>
    </row>
    <row r="6321" spans="1:5" hidden="1" outlineLevel="2">
      <c r="A6321" s="3" t="e">
        <f>(HYPERLINK("http://www.autodoc.ru/Web/price/art/6284BGNE?analog=on","6284BGNE"))*1</f>
        <v>#VALUE!</v>
      </c>
      <c r="B6321" s="1">
        <v>6998912</v>
      </c>
      <c r="C6321" t="s">
        <v>323</v>
      </c>
      <c r="D6321" t="s">
        <v>6518</v>
      </c>
      <c r="E6321" t="s">
        <v>23</v>
      </c>
    </row>
    <row r="6322" spans="1:5" hidden="1" outlineLevel="2">
      <c r="A6322" s="3" t="e">
        <f>(HYPERLINK("http://www.autodoc.ru/Web/price/art/6284BCLS?analog=on","6284BCLS"))*1</f>
        <v>#VALUE!</v>
      </c>
      <c r="B6322" s="1">
        <v>6900946</v>
      </c>
      <c r="C6322" t="s">
        <v>323</v>
      </c>
      <c r="D6322" t="s">
        <v>6519</v>
      </c>
      <c r="E6322" t="s">
        <v>23</v>
      </c>
    </row>
    <row r="6323" spans="1:5" hidden="1" outlineLevel="2">
      <c r="A6323" s="3" t="e">
        <f>(HYPERLINK("http://www.autodoc.ru/Web/price/art/6284BGNHZ?analog=on","6284BGNHZ"))*1</f>
        <v>#VALUE!</v>
      </c>
      <c r="B6323" s="1">
        <v>6998913</v>
      </c>
      <c r="C6323" t="s">
        <v>323</v>
      </c>
      <c r="D6323" t="s">
        <v>6520</v>
      </c>
      <c r="E6323" t="s">
        <v>23</v>
      </c>
    </row>
    <row r="6324" spans="1:5" hidden="1" outlineLevel="2">
      <c r="A6324" s="3" t="e">
        <f>(HYPERLINK("http://www.autodoc.ru/Web/price/art/6284BGNS?analog=on","6284BGNS"))*1</f>
        <v>#VALUE!</v>
      </c>
      <c r="B6324" s="1">
        <v>6993683</v>
      </c>
      <c r="C6324" t="s">
        <v>323</v>
      </c>
      <c r="D6324" t="s">
        <v>6521</v>
      </c>
      <c r="E6324" t="s">
        <v>23</v>
      </c>
    </row>
    <row r="6325" spans="1:5" hidden="1" outlineLevel="2">
      <c r="A6325" s="3" t="e">
        <f>(HYPERLINK("http://www.autodoc.ru/Web/price/art/6284BSME?analog=on","6284BSME"))*1</f>
        <v>#VALUE!</v>
      </c>
      <c r="B6325" s="1">
        <v>6100171</v>
      </c>
      <c r="C6325" t="s">
        <v>19</v>
      </c>
      <c r="D6325" t="s">
        <v>6522</v>
      </c>
      <c r="E6325" t="s">
        <v>21</v>
      </c>
    </row>
    <row r="6326" spans="1:5" hidden="1" outlineLevel="2">
      <c r="A6326" s="3" t="e">
        <f>(HYPERLINK("http://www.autodoc.ru/Web/price/art/6284BSMH?analog=on","6284BSMH"))*1</f>
        <v>#VALUE!</v>
      </c>
      <c r="B6326" s="1">
        <v>6101228</v>
      </c>
      <c r="C6326" t="s">
        <v>19</v>
      </c>
      <c r="D6326" t="s">
        <v>6523</v>
      </c>
      <c r="E6326" t="s">
        <v>21</v>
      </c>
    </row>
    <row r="6327" spans="1:5" hidden="1" outlineLevel="2">
      <c r="A6327" s="3" t="e">
        <f>(HYPERLINK("http://www.autodoc.ru/Web/price/art/6284LGNE5RDW?analog=on","6284LGNE5RDW"))*1</f>
        <v>#VALUE!</v>
      </c>
      <c r="B6327" s="1">
        <v>6995577</v>
      </c>
      <c r="C6327" t="s">
        <v>323</v>
      </c>
      <c r="D6327" t="s">
        <v>6524</v>
      </c>
      <c r="E6327" t="s">
        <v>10</v>
      </c>
    </row>
    <row r="6328" spans="1:5" hidden="1" outlineLevel="2">
      <c r="A6328" s="3" t="e">
        <f>(HYPERLINK("http://www.autodoc.ru/Web/price/art/6284LGNH3FDW?analog=on","6284LGNH3FDW"))*1</f>
        <v>#VALUE!</v>
      </c>
      <c r="B6328" s="1">
        <v>6995579</v>
      </c>
      <c r="C6328" t="s">
        <v>323</v>
      </c>
      <c r="D6328" t="s">
        <v>6525</v>
      </c>
      <c r="E6328" t="s">
        <v>10</v>
      </c>
    </row>
    <row r="6329" spans="1:5" hidden="1" outlineLevel="2">
      <c r="A6329" s="3" t="e">
        <f>(HYPERLINK("http://www.autodoc.ru/Web/price/art/6284LGNH5FDW?analog=on","6284LGNH5FDW"))*1</f>
        <v>#VALUE!</v>
      </c>
      <c r="B6329" s="1">
        <v>6995580</v>
      </c>
      <c r="C6329" t="s">
        <v>323</v>
      </c>
      <c r="D6329" t="s">
        <v>6526</v>
      </c>
      <c r="E6329" t="s">
        <v>10</v>
      </c>
    </row>
    <row r="6330" spans="1:5" hidden="1" outlineLevel="2">
      <c r="A6330" s="3" t="e">
        <f>(HYPERLINK("http://www.autodoc.ru/Web/price/art/6284LGNH5RDW?analog=on","6284LGNH5RDW"))*1</f>
        <v>#VALUE!</v>
      </c>
      <c r="B6330" s="1">
        <v>6995581</v>
      </c>
      <c r="C6330" t="s">
        <v>323</v>
      </c>
      <c r="D6330" t="s">
        <v>6527</v>
      </c>
      <c r="E6330" t="s">
        <v>10</v>
      </c>
    </row>
    <row r="6331" spans="1:5" hidden="1" outlineLevel="2">
      <c r="A6331" s="3" t="e">
        <f>(HYPERLINK("http://www.autodoc.ru/Web/price/art/6284LGNH5RV?analog=on","6284LGNH5RV"))*1</f>
        <v>#VALUE!</v>
      </c>
      <c r="B6331" s="1">
        <v>6995821</v>
      </c>
      <c r="C6331" t="s">
        <v>323</v>
      </c>
      <c r="D6331" t="s">
        <v>6528</v>
      </c>
      <c r="E6331" t="s">
        <v>10</v>
      </c>
    </row>
    <row r="6332" spans="1:5" hidden="1" outlineLevel="2">
      <c r="A6332" s="3" t="e">
        <f>(HYPERLINK("http://www.autodoc.ru/Web/price/art/6284RGNE5RDW?analog=on","6284RGNE5RDW"))*1</f>
        <v>#VALUE!</v>
      </c>
      <c r="B6332" s="1">
        <v>6995582</v>
      </c>
      <c r="C6332" t="s">
        <v>323</v>
      </c>
      <c r="D6332" t="s">
        <v>6529</v>
      </c>
      <c r="E6332" t="s">
        <v>10</v>
      </c>
    </row>
    <row r="6333" spans="1:5" hidden="1" outlineLevel="2">
      <c r="A6333" s="3" t="e">
        <f>(HYPERLINK("http://www.autodoc.ru/Web/price/art/6284RGNE5RV?analog=on","6284RGNE5RV"))*1</f>
        <v>#VALUE!</v>
      </c>
      <c r="B6333" s="1">
        <v>6995583</v>
      </c>
      <c r="C6333" t="s">
        <v>323</v>
      </c>
      <c r="D6333" t="s">
        <v>6530</v>
      </c>
      <c r="E6333" t="s">
        <v>10</v>
      </c>
    </row>
    <row r="6334" spans="1:5" hidden="1" outlineLevel="2">
      <c r="A6334" s="3" t="e">
        <f>(HYPERLINK("http://www.autodoc.ru/Web/price/art/6284RGNH3FDW?analog=on","6284RGNH3FDW"))*1</f>
        <v>#VALUE!</v>
      </c>
      <c r="B6334" s="1">
        <v>6995584</v>
      </c>
      <c r="C6334" t="s">
        <v>323</v>
      </c>
      <c r="D6334" t="s">
        <v>6531</v>
      </c>
      <c r="E6334" t="s">
        <v>10</v>
      </c>
    </row>
    <row r="6335" spans="1:5" hidden="1" outlineLevel="2">
      <c r="A6335" s="3" t="e">
        <f>(HYPERLINK("http://www.autodoc.ru/Web/price/art/6284RGNH5FDW?analog=on","6284RGNH5FDW"))*1</f>
        <v>#VALUE!</v>
      </c>
      <c r="B6335" s="1">
        <v>6995585</v>
      </c>
      <c r="C6335" t="s">
        <v>323</v>
      </c>
      <c r="D6335" t="s">
        <v>6532</v>
      </c>
      <c r="E6335" t="s">
        <v>10</v>
      </c>
    </row>
    <row r="6336" spans="1:5" hidden="1" outlineLevel="2">
      <c r="A6336" s="3" t="e">
        <f>(HYPERLINK("http://www.autodoc.ru/Web/price/art/6284RGNH5RDW?analog=on","6284RGNH5RDW"))*1</f>
        <v>#VALUE!</v>
      </c>
      <c r="B6336" s="1">
        <v>6995586</v>
      </c>
      <c r="C6336" t="s">
        <v>323</v>
      </c>
      <c r="D6336" t="s">
        <v>6533</v>
      </c>
      <c r="E6336" t="s">
        <v>10</v>
      </c>
    </row>
    <row r="6337" spans="1:5" hidden="1" outlineLevel="2">
      <c r="A6337" s="3" t="e">
        <f>(HYPERLINK("http://www.autodoc.ru/Web/price/art/6284RGNH5RV?analog=on","6284RGNH5RV"))*1</f>
        <v>#VALUE!</v>
      </c>
      <c r="B6337" s="1">
        <v>6995822</v>
      </c>
      <c r="C6337" t="s">
        <v>323</v>
      </c>
      <c r="D6337" t="s">
        <v>6534</v>
      </c>
      <c r="E6337" t="s">
        <v>10</v>
      </c>
    </row>
    <row r="6338" spans="1:5" hidden="1" outlineLevel="1">
      <c r="A6338" s="2">
        <v>0</v>
      </c>
      <c r="B6338" s="26" t="s">
        <v>6535</v>
      </c>
      <c r="C6338" s="27">
        <v>0</v>
      </c>
      <c r="D6338" s="27">
        <v>0</v>
      </c>
      <c r="E6338" s="27">
        <v>0</v>
      </c>
    </row>
    <row r="6339" spans="1:5" hidden="1" outlineLevel="2">
      <c r="A6339" s="3" t="e">
        <f>(HYPERLINK("http://www.autodoc.ru/Web/price/art/6289ACC1B?analog=on","6289ACC1B"))*1</f>
        <v>#VALUE!</v>
      </c>
      <c r="B6339" s="1">
        <v>6965055</v>
      </c>
      <c r="C6339" t="s">
        <v>3984</v>
      </c>
      <c r="D6339" t="s">
        <v>6536</v>
      </c>
      <c r="E6339" t="s">
        <v>8</v>
      </c>
    </row>
    <row r="6340" spans="1:5" hidden="1" outlineLevel="2">
      <c r="A6340" s="3" t="e">
        <f>(HYPERLINK("http://www.autodoc.ru/Web/price/art/6289AGS1V?analog=on","6289AGS1V"))*1</f>
        <v>#VALUE!</v>
      </c>
      <c r="B6340" s="1">
        <v>6950114</v>
      </c>
      <c r="C6340" t="s">
        <v>1309</v>
      </c>
      <c r="D6340" t="s">
        <v>6537</v>
      </c>
      <c r="E6340" t="s">
        <v>8</v>
      </c>
    </row>
    <row r="6341" spans="1:5" hidden="1" outlineLevel="1">
      <c r="A6341" s="2">
        <v>0</v>
      </c>
      <c r="B6341" s="26" t="s">
        <v>6538</v>
      </c>
      <c r="C6341" s="27">
        <v>0</v>
      </c>
      <c r="D6341" s="27">
        <v>0</v>
      </c>
      <c r="E6341" s="27">
        <v>0</v>
      </c>
    </row>
    <row r="6342" spans="1:5" hidden="1" outlineLevel="2">
      <c r="A6342" s="3" t="e">
        <f>(HYPERLINK("http://www.autodoc.ru/Web/price/art/6306AGNMVZ1R?analog=on","6306AGNMVZ1R"))*1</f>
        <v>#VALUE!</v>
      </c>
      <c r="B6342" s="1">
        <v>6962135</v>
      </c>
      <c r="C6342" t="s">
        <v>3326</v>
      </c>
      <c r="D6342" t="s">
        <v>6539</v>
      </c>
      <c r="E6342" t="s">
        <v>8</v>
      </c>
    </row>
    <row r="6343" spans="1:5" hidden="1" outlineLevel="2">
      <c r="A6343" s="3" t="e">
        <f>(HYPERLINK("http://www.autodoc.ru/Web/price/art/6306AGNVZ1M?analog=on","6306AGNVZ1M"))*1</f>
        <v>#VALUE!</v>
      </c>
      <c r="B6343" s="1">
        <v>6962136</v>
      </c>
      <c r="C6343" t="s">
        <v>3326</v>
      </c>
      <c r="D6343" t="s">
        <v>6540</v>
      </c>
      <c r="E6343" t="s">
        <v>8</v>
      </c>
    </row>
    <row r="6344" spans="1:5" hidden="1" outlineLevel="2">
      <c r="A6344" s="3" t="e">
        <f>(HYPERLINK("http://www.autodoc.ru/Web/price/art/6306AGNVZ1Q?analog=on","6306AGNVZ1Q"))*1</f>
        <v>#VALUE!</v>
      </c>
      <c r="B6344" s="1">
        <v>6962137</v>
      </c>
      <c r="C6344" t="s">
        <v>3326</v>
      </c>
      <c r="D6344" t="s">
        <v>6540</v>
      </c>
      <c r="E6344" t="s">
        <v>8</v>
      </c>
    </row>
    <row r="6345" spans="1:5" hidden="1" outlineLevel="2">
      <c r="A6345" s="3" t="e">
        <f>(HYPERLINK("http://www.autodoc.ru/Web/price/art/6306BGNHZ?analog=on","6306BGNHZ"))*1</f>
        <v>#VALUE!</v>
      </c>
      <c r="B6345" s="1">
        <v>6996550</v>
      </c>
      <c r="C6345" t="s">
        <v>3326</v>
      </c>
      <c r="D6345" t="s">
        <v>6541</v>
      </c>
      <c r="E6345" t="s">
        <v>23</v>
      </c>
    </row>
    <row r="6346" spans="1:5" hidden="1" outlineLevel="2">
      <c r="A6346" s="3" t="e">
        <f>(HYPERLINK("http://www.autodoc.ru/Web/price/art/6306LGNH3FDW?analog=on","6306LGNH3FDW"))*1</f>
        <v>#VALUE!</v>
      </c>
      <c r="B6346" s="1">
        <v>6997219</v>
      </c>
      <c r="C6346" t="s">
        <v>3326</v>
      </c>
      <c r="D6346" t="s">
        <v>6542</v>
      </c>
      <c r="E6346" t="s">
        <v>10</v>
      </c>
    </row>
    <row r="6347" spans="1:5" hidden="1" outlineLevel="2">
      <c r="A6347" s="3" t="e">
        <f>(HYPERLINK("http://www.autodoc.ru/Web/price/art/6306RGNH3FDW?analog=on","6306RGNH3FDW"))*1</f>
        <v>#VALUE!</v>
      </c>
      <c r="B6347" s="1">
        <v>6997220</v>
      </c>
      <c r="C6347" t="s">
        <v>3326</v>
      </c>
      <c r="D6347" t="s">
        <v>6543</v>
      </c>
      <c r="E6347" t="s">
        <v>10</v>
      </c>
    </row>
    <row r="6348" spans="1:5" hidden="1" outlineLevel="1">
      <c r="A6348" s="2">
        <v>0</v>
      </c>
      <c r="B6348" s="26" t="s">
        <v>6544</v>
      </c>
      <c r="C6348" s="27">
        <v>0</v>
      </c>
      <c r="D6348" s="27">
        <v>0</v>
      </c>
      <c r="E6348" s="27">
        <v>0</v>
      </c>
    </row>
    <row r="6349" spans="1:5" hidden="1" outlineLevel="2">
      <c r="A6349" s="3" t="e">
        <f>(HYPERLINK("http://www.autodoc.ru/Web/price/art/6302AGNBLVZ1M?analog=on","6302AGNBLVZ1M"))*1</f>
        <v>#VALUE!</v>
      </c>
      <c r="B6349" s="1">
        <v>6962023</v>
      </c>
      <c r="C6349" t="s">
        <v>3316</v>
      </c>
      <c r="D6349" t="s">
        <v>6545</v>
      </c>
      <c r="E6349" t="s">
        <v>8</v>
      </c>
    </row>
    <row r="6350" spans="1:5" hidden="1" outlineLevel="2">
      <c r="A6350" s="3" t="e">
        <f>(HYPERLINK("http://www.autodoc.ru/Web/price/art/6302AGNBLVZ6I?analog=on","6302AGNBLVZ6I"))*1</f>
        <v>#VALUE!</v>
      </c>
      <c r="B6350" s="1">
        <v>6962653</v>
      </c>
      <c r="C6350" t="s">
        <v>3326</v>
      </c>
      <c r="D6350" t="s">
        <v>6546</v>
      </c>
      <c r="E6350" t="s">
        <v>8</v>
      </c>
    </row>
    <row r="6351" spans="1:5" hidden="1" outlineLevel="2">
      <c r="A6351" s="3" t="e">
        <f>(HYPERLINK("http://www.autodoc.ru/Web/price/art/6302AGNMVZ1R?analog=on","6302AGNMVZ1R"))*1</f>
        <v>#VALUE!</v>
      </c>
      <c r="B6351" s="1">
        <v>6961123</v>
      </c>
      <c r="C6351" t="s">
        <v>3411</v>
      </c>
      <c r="D6351" t="s">
        <v>6547</v>
      </c>
      <c r="E6351" t="s">
        <v>8</v>
      </c>
    </row>
    <row r="6352" spans="1:5" hidden="1" outlineLevel="2">
      <c r="A6352" s="3" t="e">
        <f>(HYPERLINK("http://www.autodoc.ru/Web/price/art/6302AGNVZ1M?analog=on","6302AGNVZ1M"))*1</f>
        <v>#VALUE!</v>
      </c>
      <c r="B6352" s="1">
        <v>6961124</v>
      </c>
      <c r="C6352" t="s">
        <v>3316</v>
      </c>
      <c r="D6352" t="s">
        <v>6548</v>
      </c>
      <c r="E6352" t="s">
        <v>8</v>
      </c>
    </row>
    <row r="6353" spans="1:5" hidden="1" outlineLevel="2">
      <c r="A6353" s="3" t="e">
        <f>(HYPERLINK("http://www.autodoc.ru/Web/price/art/6302AGNVZ6I?analog=on","6302AGNVZ6I"))*1</f>
        <v>#VALUE!</v>
      </c>
      <c r="B6353" s="1">
        <v>6961650</v>
      </c>
      <c r="C6353" t="s">
        <v>3326</v>
      </c>
      <c r="D6353" t="s">
        <v>6549</v>
      </c>
      <c r="E6353" t="s">
        <v>8</v>
      </c>
    </row>
    <row r="6354" spans="1:5" hidden="1" outlineLevel="2">
      <c r="A6354" s="3" t="e">
        <f>(HYPERLINK("http://www.autodoc.ru/Web/price/art/6302BGDEZ?analog=on","6302BGDEZ"))*1</f>
        <v>#VALUE!</v>
      </c>
      <c r="B6354" s="1">
        <v>6996547</v>
      </c>
      <c r="C6354" t="s">
        <v>3411</v>
      </c>
      <c r="D6354" t="s">
        <v>6550</v>
      </c>
      <c r="E6354" t="s">
        <v>23</v>
      </c>
    </row>
    <row r="6355" spans="1:5" hidden="1" outlineLevel="2">
      <c r="A6355" s="3" t="e">
        <f>(HYPERLINK("http://www.autodoc.ru/Web/price/art/6302BGNE1E?analog=on","6302BGNE1E"))*1</f>
        <v>#VALUE!</v>
      </c>
      <c r="B6355" s="1">
        <v>6996477</v>
      </c>
      <c r="C6355" t="s">
        <v>3411</v>
      </c>
      <c r="D6355" t="s">
        <v>6551</v>
      </c>
      <c r="E6355" t="s">
        <v>23</v>
      </c>
    </row>
    <row r="6356" spans="1:5" hidden="1" outlineLevel="2">
      <c r="A6356" s="3" t="e">
        <f>(HYPERLINK("http://www.autodoc.ru/Web/price/art/6302BGNEZ?analog=on","6302BGNEZ"))*1</f>
        <v>#VALUE!</v>
      </c>
      <c r="B6356" s="1">
        <v>6996115</v>
      </c>
      <c r="C6356" t="s">
        <v>3411</v>
      </c>
      <c r="D6356" t="s">
        <v>6552</v>
      </c>
      <c r="E6356" t="s">
        <v>23</v>
      </c>
    </row>
    <row r="6357" spans="1:5" hidden="1" outlineLevel="2">
      <c r="A6357" s="3" t="e">
        <f>(HYPERLINK("http://www.autodoc.ru/Web/price/art/6302BGNHZ1E?analog=on","6302BGNHZ1E"))*1</f>
        <v>#VALUE!</v>
      </c>
      <c r="B6357" s="1">
        <v>6996499</v>
      </c>
      <c r="C6357" t="s">
        <v>3411</v>
      </c>
      <c r="D6357" t="s">
        <v>6553</v>
      </c>
      <c r="E6357" t="s">
        <v>23</v>
      </c>
    </row>
    <row r="6358" spans="1:5" hidden="1" outlineLevel="2">
      <c r="A6358" s="3" t="e">
        <f>(HYPERLINK("http://www.autodoc.ru/Web/price/art/6302BGNHZ?analog=on","6302BGNHZ"))*1</f>
        <v>#VALUE!</v>
      </c>
      <c r="B6358" s="1">
        <v>6997562</v>
      </c>
      <c r="C6358" t="s">
        <v>3411</v>
      </c>
      <c r="D6358" t="s">
        <v>6554</v>
      </c>
      <c r="E6358" t="s">
        <v>23</v>
      </c>
    </row>
    <row r="6359" spans="1:5" hidden="1" outlineLevel="2">
      <c r="A6359" s="3" t="e">
        <f>(HYPERLINK("http://www.autodoc.ru/Web/price/art/6302LGDE5RDW?analog=on","6302LGDE5RDW"))*1</f>
        <v>#VALUE!</v>
      </c>
      <c r="B6359" s="1">
        <v>6997023</v>
      </c>
      <c r="C6359" t="s">
        <v>3411</v>
      </c>
      <c r="D6359" t="s">
        <v>6555</v>
      </c>
      <c r="E6359" t="s">
        <v>10</v>
      </c>
    </row>
    <row r="6360" spans="1:5" hidden="1" outlineLevel="2">
      <c r="A6360" s="3" t="e">
        <f>(HYPERLINK("http://www.autodoc.ru/Web/price/art/6302LGDE5RV?analog=on","6302LGDE5RV"))*1</f>
        <v>#VALUE!</v>
      </c>
      <c r="B6360" s="1">
        <v>6900554</v>
      </c>
      <c r="C6360" t="s">
        <v>3411</v>
      </c>
      <c r="D6360" t="s">
        <v>6556</v>
      </c>
      <c r="E6360" t="s">
        <v>10</v>
      </c>
    </row>
    <row r="6361" spans="1:5" hidden="1" outlineLevel="2">
      <c r="A6361" s="3" t="e">
        <f>(HYPERLINK("http://www.autodoc.ru/Web/price/art/6302LGNE5RDW?analog=on","6302LGNE5RDW"))*1</f>
        <v>#VALUE!</v>
      </c>
      <c r="B6361" s="1">
        <v>6997024</v>
      </c>
      <c r="C6361" t="s">
        <v>3411</v>
      </c>
      <c r="D6361" t="s">
        <v>6557</v>
      </c>
      <c r="E6361" t="s">
        <v>10</v>
      </c>
    </row>
    <row r="6362" spans="1:5" hidden="1" outlineLevel="2">
      <c r="A6362" s="3" t="e">
        <f>(HYPERLINK("http://www.autodoc.ru/Web/price/art/6302LGNE5RV?analog=on","6302LGNE5RV"))*1</f>
        <v>#VALUE!</v>
      </c>
      <c r="B6362" s="1">
        <v>6900555</v>
      </c>
      <c r="C6362" t="s">
        <v>3411</v>
      </c>
      <c r="D6362" t="s">
        <v>6558</v>
      </c>
      <c r="E6362" t="s">
        <v>10</v>
      </c>
    </row>
    <row r="6363" spans="1:5" hidden="1" outlineLevel="2">
      <c r="A6363" s="3" t="e">
        <f>(HYPERLINK("http://www.autodoc.ru/Web/price/art/6302LGNH5FDW?analog=on","6302LGNH5FDW"))*1</f>
        <v>#VALUE!</v>
      </c>
      <c r="B6363" s="1">
        <v>6997022</v>
      </c>
      <c r="C6363" t="s">
        <v>3411</v>
      </c>
      <c r="D6363" t="s">
        <v>6559</v>
      </c>
      <c r="E6363" t="s">
        <v>10</v>
      </c>
    </row>
    <row r="6364" spans="1:5" hidden="1" outlineLevel="2">
      <c r="A6364" s="3" t="e">
        <f>(HYPERLINK("http://www.autodoc.ru/Web/price/art/6302LGNH5RDW?analog=on","6302LGNH5RDW"))*1</f>
        <v>#VALUE!</v>
      </c>
      <c r="B6364" s="1">
        <v>6996468</v>
      </c>
      <c r="C6364" t="s">
        <v>3411</v>
      </c>
      <c r="D6364" t="s">
        <v>6560</v>
      </c>
      <c r="E6364" t="s">
        <v>10</v>
      </c>
    </row>
    <row r="6365" spans="1:5" hidden="1" outlineLevel="2">
      <c r="A6365" s="3" t="e">
        <f>(HYPERLINK("http://www.autodoc.ru/Web/price/art/6302LGNH5RV?analog=on","6302LGNH5RV"))*1</f>
        <v>#VALUE!</v>
      </c>
      <c r="B6365" s="1">
        <v>6997217</v>
      </c>
      <c r="C6365" t="s">
        <v>3411</v>
      </c>
      <c r="D6365" t="s">
        <v>6561</v>
      </c>
      <c r="E6365" t="s">
        <v>10</v>
      </c>
    </row>
    <row r="6366" spans="1:5" hidden="1" outlineLevel="2">
      <c r="A6366" s="3" t="e">
        <f>(HYPERLINK("http://www.autodoc.ru/Web/price/art/6302RGDE5RDW?analog=on","6302RGDE5RDW"))*1</f>
        <v>#VALUE!</v>
      </c>
      <c r="B6366" s="1">
        <v>6997034</v>
      </c>
      <c r="C6366" t="s">
        <v>3411</v>
      </c>
      <c r="D6366" t="s">
        <v>6562</v>
      </c>
      <c r="E6366" t="s">
        <v>10</v>
      </c>
    </row>
    <row r="6367" spans="1:5" hidden="1" outlineLevel="2">
      <c r="A6367" s="3" t="e">
        <f>(HYPERLINK("http://www.autodoc.ru/Web/price/art/6302RGNE5RDW?analog=on","6302RGNE5RDW"))*1</f>
        <v>#VALUE!</v>
      </c>
      <c r="B6367" s="1">
        <v>6997197</v>
      </c>
      <c r="C6367" t="s">
        <v>3411</v>
      </c>
      <c r="D6367" t="s">
        <v>6563</v>
      </c>
      <c r="E6367" t="s">
        <v>10</v>
      </c>
    </row>
    <row r="6368" spans="1:5" hidden="1" outlineLevel="2">
      <c r="A6368" s="3" t="e">
        <f>(HYPERLINK("http://www.autodoc.ru/Web/price/art/6302RGNE5RV?analog=on","6302RGNE5RV"))*1</f>
        <v>#VALUE!</v>
      </c>
      <c r="B6368" s="1">
        <v>6900556</v>
      </c>
      <c r="C6368" t="s">
        <v>3411</v>
      </c>
      <c r="D6368" t="s">
        <v>6564</v>
      </c>
      <c r="E6368" t="s">
        <v>10</v>
      </c>
    </row>
    <row r="6369" spans="1:5" hidden="1" outlineLevel="2">
      <c r="A6369" s="3" t="e">
        <f>(HYPERLINK("http://www.autodoc.ru/Web/price/art/6302RGNH5FD?analog=on","6302RGNH5FD"))*1</f>
        <v>#VALUE!</v>
      </c>
      <c r="B6369" s="1">
        <v>6996099</v>
      </c>
      <c r="C6369" t="s">
        <v>3411</v>
      </c>
      <c r="D6369" t="s">
        <v>6565</v>
      </c>
      <c r="E6369" t="s">
        <v>10</v>
      </c>
    </row>
    <row r="6370" spans="1:5" hidden="1" outlineLevel="2">
      <c r="A6370" s="3" t="e">
        <f>(HYPERLINK("http://www.autodoc.ru/Web/price/art/6302RGNH5RDW?analog=on","6302RGNH5RDW"))*1</f>
        <v>#VALUE!</v>
      </c>
      <c r="B6370" s="1">
        <v>6996469</v>
      </c>
      <c r="C6370" t="s">
        <v>3411</v>
      </c>
      <c r="D6370" t="s">
        <v>6566</v>
      </c>
      <c r="E6370" t="s">
        <v>10</v>
      </c>
    </row>
    <row r="6371" spans="1:5" hidden="1" outlineLevel="2">
      <c r="A6371" s="3" t="e">
        <f>(HYPERLINK("http://www.autodoc.ru/Web/price/art/6302RGNH5RV?analog=on","6302RGNH5RV"))*1</f>
        <v>#VALUE!</v>
      </c>
      <c r="B6371" s="1">
        <v>6997218</v>
      </c>
      <c r="C6371" t="s">
        <v>3411</v>
      </c>
      <c r="D6371" t="s">
        <v>6567</v>
      </c>
      <c r="E6371" t="s">
        <v>10</v>
      </c>
    </row>
    <row r="6372" spans="1:5" hidden="1" outlineLevel="1">
      <c r="A6372" s="2">
        <v>0</v>
      </c>
      <c r="B6372" s="26" t="s">
        <v>6568</v>
      </c>
      <c r="C6372" s="27">
        <v>0</v>
      </c>
      <c r="D6372" s="27">
        <v>0</v>
      </c>
      <c r="E6372" s="27">
        <v>0</v>
      </c>
    </row>
    <row r="6373" spans="1:5" hidden="1" outlineLevel="2">
      <c r="A6373" s="3" t="e">
        <f>(HYPERLINK("http://www.autodoc.ru/Web/price/art/6324AGSIMVWZ1I?analog=on","6324AGSIMVWZ1I"))*1</f>
        <v>#VALUE!</v>
      </c>
      <c r="B6373" s="1">
        <v>6964923</v>
      </c>
      <c r="C6373" t="s">
        <v>211</v>
      </c>
      <c r="D6373" t="s">
        <v>6569</v>
      </c>
      <c r="E6373" t="s">
        <v>8</v>
      </c>
    </row>
    <row r="6374" spans="1:5" hidden="1" outlineLevel="2">
      <c r="A6374" s="3" t="e">
        <f>(HYPERLINK("http://www.autodoc.ru/Web/price/art/6324AGSIVWZ1B?analog=on","6324AGSIVWZ1B"))*1</f>
        <v>#VALUE!</v>
      </c>
      <c r="B6374" s="1">
        <v>6964925</v>
      </c>
      <c r="C6374" t="s">
        <v>211</v>
      </c>
      <c r="D6374" t="s">
        <v>6570</v>
      </c>
      <c r="E6374" t="s">
        <v>8</v>
      </c>
    </row>
    <row r="6375" spans="1:5" hidden="1" outlineLevel="2">
      <c r="A6375" s="3" t="e">
        <f>(HYPERLINK("http://www.autodoc.ru/Web/price/art/6324AGSIMVWZ2I?analog=on","6324AGSIMVWZ2I"))*1</f>
        <v>#VALUE!</v>
      </c>
      <c r="B6375" s="1">
        <v>6965495</v>
      </c>
      <c r="C6375" t="s">
        <v>211</v>
      </c>
      <c r="D6375" t="s">
        <v>6569</v>
      </c>
      <c r="E6375" t="s">
        <v>8</v>
      </c>
    </row>
    <row r="6376" spans="1:5" hidden="1" outlineLevel="1">
      <c r="A6376" s="2">
        <v>0</v>
      </c>
      <c r="B6376" s="26" t="s">
        <v>6571</v>
      </c>
      <c r="C6376" s="27">
        <v>0</v>
      </c>
      <c r="D6376" s="27">
        <v>0</v>
      </c>
      <c r="E6376" s="27">
        <v>0</v>
      </c>
    </row>
    <row r="6377" spans="1:5" hidden="1" outlineLevel="2">
      <c r="A6377" s="3" t="e">
        <f>(HYPERLINK("http://www.autodoc.ru/Web/price/art/6310AGSVZ1M?analog=on","6310AGSVZ1M"))*1</f>
        <v>#VALUE!</v>
      </c>
      <c r="B6377" s="1">
        <v>6962658</v>
      </c>
      <c r="C6377" t="s">
        <v>389</v>
      </c>
      <c r="D6377" t="s">
        <v>6572</v>
      </c>
      <c r="E6377" t="s">
        <v>8</v>
      </c>
    </row>
    <row r="6378" spans="1:5" hidden="1" outlineLevel="1">
      <c r="A6378" s="2">
        <v>0</v>
      </c>
      <c r="B6378" s="26" t="s">
        <v>420</v>
      </c>
      <c r="C6378" s="27">
        <v>0</v>
      </c>
      <c r="D6378" s="27">
        <v>0</v>
      </c>
      <c r="E6378" s="27">
        <v>0</v>
      </c>
    </row>
    <row r="6379" spans="1:5" hidden="1" outlineLevel="2">
      <c r="A6379" s="3" t="e">
        <f>(HYPERLINK("http://www.autodoc.ru/Web/price/art/6255ACL?analog=on","6255ACL"))*1</f>
        <v>#VALUE!</v>
      </c>
      <c r="B6379" s="1">
        <v>6190688</v>
      </c>
      <c r="C6379" t="s">
        <v>421</v>
      </c>
      <c r="D6379" t="s">
        <v>6573</v>
      </c>
      <c r="E6379" t="s">
        <v>8</v>
      </c>
    </row>
    <row r="6380" spans="1:5" hidden="1" outlineLevel="1">
      <c r="A6380" s="2">
        <v>0</v>
      </c>
      <c r="B6380" s="26" t="s">
        <v>6574</v>
      </c>
      <c r="C6380" s="27">
        <v>0</v>
      </c>
      <c r="D6380" s="27">
        <v>0</v>
      </c>
      <c r="E6380" s="27">
        <v>0</v>
      </c>
    </row>
    <row r="6381" spans="1:5" hidden="1" outlineLevel="2">
      <c r="A6381" s="3" t="e">
        <f>(HYPERLINK("http://www.autodoc.ru/Web/price/art/6256AGNBL?analog=on","6256AGNBL"))*1</f>
        <v>#VALUE!</v>
      </c>
      <c r="B6381" s="1">
        <v>6960091</v>
      </c>
      <c r="C6381" t="s">
        <v>17</v>
      </c>
      <c r="D6381" t="s">
        <v>6575</v>
      </c>
      <c r="E6381" t="s">
        <v>8</v>
      </c>
    </row>
    <row r="6382" spans="1:5" hidden="1" outlineLevel="2">
      <c r="A6382" s="3" t="e">
        <f>(HYPERLINK("http://www.autodoc.ru/Web/price/art/6256AGNBL1C?analog=on","6256AGNBL1C"))*1</f>
        <v>#VALUE!</v>
      </c>
      <c r="B6382" s="1">
        <v>6960191</v>
      </c>
      <c r="C6382" t="s">
        <v>2856</v>
      </c>
      <c r="D6382" t="s">
        <v>6576</v>
      </c>
      <c r="E6382" t="s">
        <v>8</v>
      </c>
    </row>
    <row r="6383" spans="1:5" hidden="1" outlineLevel="2">
      <c r="A6383" s="3" t="e">
        <f>(HYPERLINK("http://www.autodoc.ru/Web/price/art/6256ASMC?analog=on","6256ASMC"))*1</f>
        <v>#VALUE!</v>
      </c>
      <c r="B6383" s="1">
        <v>6100154</v>
      </c>
      <c r="C6383" t="s">
        <v>19</v>
      </c>
      <c r="D6383" t="s">
        <v>6577</v>
      </c>
      <c r="E6383" t="s">
        <v>21</v>
      </c>
    </row>
    <row r="6384" spans="1:5" hidden="1" outlineLevel="2">
      <c r="A6384" s="3" t="e">
        <f>(HYPERLINK("http://www.autodoc.ru/Web/price/art/6256BGNCZ?analog=on","6256BGNCZ"))*1</f>
        <v>#VALUE!</v>
      </c>
      <c r="B6384" s="1">
        <v>6998777</v>
      </c>
      <c r="C6384" t="s">
        <v>17</v>
      </c>
      <c r="D6384" t="s">
        <v>6578</v>
      </c>
      <c r="E6384" t="s">
        <v>23</v>
      </c>
    </row>
    <row r="6385" spans="1:5" hidden="1" outlineLevel="1">
      <c r="A6385" s="2">
        <v>0</v>
      </c>
      <c r="B6385" s="26" t="s">
        <v>6579</v>
      </c>
      <c r="C6385" s="27">
        <v>0</v>
      </c>
      <c r="D6385" s="27">
        <v>0</v>
      </c>
      <c r="E6385" s="27">
        <v>0</v>
      </c>
    </row>
    <row r="6386" spans="1:5" hidden="1" outlineLevel="2">
      <c r="A6386" s="3" t="e">
        <f>(HYPERLINK("http://www.autodoc.ru/Web/price/art/6238ACL?analog=on","6238ACL"))*1</f>
        <v>#VALUE!</v>
      </c>
      <c r="B6386" s="1">
        <v>6963571</v>
      </c>
      <c r="C6386" t="s">
        <v>6580</v>
      </c>
      <c r="D6386" t="s">
        <v>6581</v>
      </c>
      <c r="E6386" t="s">
        <v>8</v>
      </c>
    </row>
    <row r="6387" spans="1:5" hidden="1" outlineLevel="1">
      <c r="A6387" s="2">
        <v>0</v>
      </c>
      <c r="B6387" s="26" t="s">
        <v>6582</v>
      </c>
      <c r="C6387" s="27">
        <v>0</v>
      </c>
      <c r="D6387" s="27">
        <v>0</v>
      </c>
      <c r="E6387" s="27">
        <v>0</v>
      </c>
    </row>
    <row r="6388" spans="1:5" hidden="1" outlineLevel="2">
      <c r="A6388" s="3" t="e">
        <f>(HYPERLINK("http://www.autodoc.ru/Web/price/art/6292AGS?analog=on","6292AGS"))*1</f>
        <v>#VALUE!</v>
      </c>
      <c r="B6388" s="1">
        <v>6961031</v>
      </c>
      <c r="C6388" t="s">
        <v>790</v>
      </c>
      <c r="D6388" t="s">
        <v>6583</v>
      </c>
      <c r="E6388" t="s">
        <v>8</v>
      </c>
    </row>
    <row r="6389" spans="1:5" hidden="1" outlineLevel="2">
      <c r="A6389" s="3" t="e">
        <f>(HYPERLINK("http://www.autodoc.ru/Web/price/art/6292AGSBL?analog=on","6292AGSBL"))*1</f>
        <v>#VALUE!</v>
      </c>
      <c r="B6389" s="1">
        <v>6961032</v>
      </c>
      <c r="C6389" t="s">
        <v>790</v>
      </c>
      <c r="D6389" t="s">
        <v>6584</v>
      </c>
      <c r="E6389" t="s">
        <v>8</v>
      </c>
    </row>
    <row r="6390" spans="1:5" hidden="1" outlineLevel="2">
      <c r="A6390" s="3" t="e">
        <f>(HYPERLINK("http://www.autodoc.ru/Web/price/art/6292ASMVT?analog=on","6292ASMVT"))*1</f>
        <v>#VALUE!</v>
      </c>
      <c r="B6390" s="1">
        <v>6101202</v>
      </c>
      <c r="C6390" t="s">
        <v>19</v>
      </c>
      <c r="D6390" t="s">
        <v>6585</v>
      </c>
      <c r="E6390" t="s">
        <v>21</v>
      </c>
    </row>
    <row r="6391" spans="1:5" hidden="1" outlineLevel="2">
      <c r="A6391" s="3" t="e">
        <f>(HYPERLINK("http://www.autodoc.ru/Web/price/art/6292BGSVBL?analog=on","6292BGSVBL"))*1</f>
        <v>#VALUE!</v>
      </c>
      <c r="B6391" s="1">
        <v>6992591</v>
      </c>
      <c r="C6391" t="s">
        <v>790</v>
      </c>
      <c r="D6391" t="s">
        <v>6586</v>
      </c>
      <c r="E6391" t="s">
        <v>23</v>
      </c>
    </row>
    <row r="6392" spans="1:5" hidden="1" outlineLevel="2">
      <c r="A6392" s="3" t="e">
        <f>(HYPERLINK("http://www.autodoc.ru/Web/price/art/6292BGSVBR?analog=on","6292BGSVBR"))*1</f>
        <v>#VALUE!</v>
      </c>
      <c r="B6392" s="1">
        <v>6992592</v>
      </c>
      <c r="C6392" t="s">
        <v>790</v>
      </c>
      <c r="D6392" t="s">
        <v>6587</v>
      </c>
      <c r="E6392" t="s">
        <v>23</v>
      </c>
    </row>
    <row r="6393" spans="1:5" hidden="1" outlineLevel="1">
      <c r="A6393" s="2">
        <v>0</v>
      </c>
      <c r="B6393" s="26" t="s">
        <v>6588</v>
      </c>
      <c r="C6393" s="27">
        <v>0</v>
      </c>
      <c r="D6393" s="27">
        <v>0</v>
      </c>
      <c r="E6393" s="27">
        <v>0</v>
      </c>
    </row>
    <row r="6394" spans="1:5" hidden="1" outlineLevel="2">
      <c r="A6394" s="3" t="e">
        <f>(HYPERLINK("http://www.autodoc.ru/Web/price/art/6245ACL?analog=on","6245ACL"))*1</f>
        <v>#VALUE!</v>
      </c>
      <c r="B6394" s="1">
        <v>6968190</v>
      </c>
      <c r="C6394" t="s">
        <v>973</v>
      </c>
      <c r="D6394" t="s">
        <v>6589</v>
      </c>
      <c r="E6394" t="s">
        <v>8</v>
      </c>
    </row>
    <row r="6395" spans="1:5" hidden="1" outlineLevel="2">
      <c r="A6395" s="3" t="e">
        <f>(HYPERLINK("http://www.autodoc.ru/Web/price/art/6245AGNBL?analog=on","6245AGNBL"))*1</f>
        <v>#VALUE!</v>
      </c>
      <c r="B6395" s="1">
        <v>6968200</v>
      </c>
      <c r="C6395" t="s">
        <v>973</v>
      </c>
      <c r="D6395" t="s">
        <v>6590</v>
      </c>
      <c r="E6395" t="s">
        <v>8</v>
      </c>
    </row>
    <row r="6396" spans="1:5" hidden="1" outlineLevel="2">
      <c r="A6396" s="3" t="e">
        <f>(HYPERLINK("http://www.autodoc.ru/Web/price/art/6245AGNGN?analog=on","6245AGNGN"))*1</f>
        <v>#VALUE!</v>
      </c>
      <c r="B6396" s="1">
        <v>6963217</v>
      </c>
      <c r="C6396" t="s">
        <v>973</v>
      </c>
      <c r="D6396" t="s">
        <v>6591</v>
      </c>
      <c r="E6396" t="s">
        <v>8</v>
      </c>
    </row>
    <row r="6397" spans="1:5" hidden="1" outlineLevel="2">
      <c r="A6397" s="3" t="e">
        <f>(HYPERLINK("http://www.autodoc.ru/Web/price/art/6245ASRH?analog=on","6245ASRH"))*1</f>
        <v>#VALUE!</v>
      </c>
      <c r="B6397" s="1">
        <v>6100144</v>
      </c>
      <c r="C6397" t="s">
        <v>19</v>
      </c>
      <c r="D6397" t="s">
        <v>6592</v>
      </c>
      <c r="E6397" t="s">
        <v>21</v>
      </c>
    </row>
    <row r="6398" spans="1:5" hidden="1" outlineLevel="2">
      <c r="A6398" s="3" t="e">
        <f>(HYPERLINK("http://www.autodoc.ru/Web/price/art/6245BCLH?analog=on","6245BCLH"))*1</f>
        <v>#VALUE!</v>
      </c>
      <c r="B6398" s="1">
        <v>6998772</v>
      </c>
      <c r="C6398" t="s">
        <v>973</v>
      </c>
      <c r="D6398" t="s">
        <v>6593</v>
      </c>
      <c r="E6398" t="s">
        <v>23</v>
      </c>
    </row>
    <row r="6399" spans="1:5" hidden="1" outlineLevel="2">
      <c r="A6399" s="3" t="e">
        <f>(HYPERLINK("http://www.autodoc.ru/Web/price/art/6245LCLH3FD?analog=on","6245LCLH3FD"))*1</f>
        <v>#VALUE!</v>
      </c>
      <c r="B6399" s="1">
        <v>6996810</v>
      </c>
      <c r="C6399" t="s">
        <v>973</v>
      </c>
      <c r="D6399" t="s">
        <v>6594</v>
      </c>
      <c r="E6399" t="s">
        <v>10</v>
      </c>
    </row>
    <row r="6400" spans="1:5" hidden="1" outlineLevel="2">
      <c r="A6400" s="3" t="e">
        <f>(HYPERLINK("http://www.autodoc.ru/Web/price/art/6245LCLH3FV?analog=on","6245LCLH3FV"))*1</f>
        <v>#VALUE!</v>
      </c>
      <c r="B6400" s="1">
        <v>6996225</v>
      </c>
      <c r="C6400" t="s">
        <v>973</v>
      </c>
      <c r="D6400" t="s">
        <v>6595</v>
      </c>
      <c r="E6400" t="s">
        <v>10</v>
      </c>
    </row>
    <row r="6401" spans="1:5" hidden="1" outlineLevel="2">
      <c r="A6401" s="3" t="e">
        <f>(HYPERLINK("http://www.autodoc.ru/Web/price/art/6245LCLH3RQ?analog=on","6245LCLH3RQ"))*1</f>
        <v>#VALUE!</v>
      </c>
      <c r="B6401" s="1">
        <v>6996811</v>
      </c>
      <c r="C6401" t="s">
        <v>973</v>
      </c>
      <c r="D6401" t="s">
        <v>6596</v>
      </c>
      <c r="E6401" t="s">
        <v>10</v>
      </c>
    </row>
    <row r="6402" spans="1:5" hidden="1" outlineLevel="2">
      <c r="A6402" s="3" t="e">
        <f>(HYPERLINK("http://www.autodoc.ru/Web/price/art/6245LCLH5RV?analog=on","6245LCLH5RV"))*1</f>
        <v>#VALUE!</v>
      </c>
      <c r="B6402" s="1">
        <v>6996814</v>
      </c>
      <c r="C6402" t="s">
        <v>973</v>
      </c>
      <c r="D6402" t="s">
        <v>6596</v>
      </c>
      <c r="E6402" t="s">
        <v>10</v>
      </c>
    </row>
    <row r="6403" spans="1:5" hidden="1" outlineLevel="2">
      <c r="A6403" s="3" t="e">
        <f>(HYPERLINK("http://www.autodoc.ru/Web/price/art/6245LGNH3FV?analog=on","6245LGNH3FV"))*1</f>
        <v>#VALUE!</v>
      </c>
      <c r="B6403" s="1">
        <v>6996227</v>
      </c>
      <c r="C6403" t="s">
        <v>973</v>
      </c>
      <c r="D6403" t="s">
        <v>6597</v>
      </c>
      <c r="E6403" t="s">
        <v>10</v>
      </c>
    </row>
    <row r="6404" spans="1:5" hidden="1" outlineLevel="2">
      <c r="A6404" s="3" t="e">
        <f>(HYPERLINK("http://www.autodoc.ru/Web/price/art/6245LGNH5FD?analog=on","6245LGNH5FD"))*1</f>
        <v>#VALUE!</v>
      </c>
      <c r="B6404" s="1">
        <v>6996822</v>
      </c>
      <c r="C6404" t="s">
        <v>973</v>
      </c>
      <c r="D6404" t="s">
        <v>6598</v>
      </c>
      <c r="E6404" t="s">
        <v>10</v>
      </c>
    </row>
    <row r="6405" spans="1:5" hidden="1" outlineLevel="2">
      <c r="A6405" s="3" t="e">
        <f>(HYPERLINK("http://www.autodoc.ru/Web/price/art/6245RCLH3FD?analog=on","6245RCLH3FD"))*1</f>
        <v>#VALUE!</v>
      </c>
      <c r="B6405" s="1">
        <v>6996815</v>
      </c>
      <c r="C6405" t="s">
        <v>973</v>
      </c>
      <c r="D6405" t="s">
        <v>6599</v>
      </c>
      <c r="E6405" t="s">
        <v>10</v>
      </c>
    </row>
    <row r="6406" spans="1:5" hidden="1" outlineLevel="2">
      <c r="A6406" s="3" t="e">
        <f>(HYPERLINK("http://www.autodoc.ru/Web/price/art/6245RCLH3FV?analog=on","6245RCLH3FV"))*1</f>
        <v>#VALUE!</v>
      </c>
      <c r="B6406" s="1">
        <v>6996226</v>
      </c>
      <c r="C6406" t="s">
        <v>973</v>
      </c>
      <c r="D6406" t="s">
        <v>6600</v>
      </c>
      <c r="E6406" t="s">
        <v>10</v>
      </c>
    </row>
    <row r="6407" spans="1:5" hidden="1" outlineLevel="2">
      <c r="A6407" s="3" t="e">
        <f>(HYPERLINK("http://www.autodoc.ru/Web/price/art/6245RCLH3RQ?analog=on","6245RCLH3RQ"))*1</f>
        <v>#VALUE!</v>
      </c>
      <c r="B6407" s="1">
        <v>6996816</v>
      </c>
      <c r="C6407" t="s">
        <v>973</v>
      </c>
      <c r="D6407" t="s">
        <v>6601</v>
      </c>
      <c r="E6407" t="s">
        <v>10</v>
      </c>
    </row>
    <row r="6408" spans="1:5" hidden="1" outlineLevel="2">
      <c r="A6408" s="3" t="e">
        <f>(HYPERLINK("http://www.autodoc.ru/Web/price/art/6245RCLH5FD?analog=on","6245RCLH5FD"))*1</f>
        <v>#VALUE!</v>
      </c>
      <c r="B6408" s="1">
        <v>6996817</v>
      </c>
      <c r="C6408" t="s">
        <v>973</v>
      </c>
      <c r="D6408" t="s">
        <v>6599</v>
      </c>
      <c r="E6408" t="s">
        <v>10</v>
      </c>
    </row>
    <row r="6409" spans="1:5" hidden="1" outlineLevel="2">
      <c r="A6409" s="3" t="e">
        <f>(HYPERLINK("http://www.autodoc.ru/Web/price/art/6245RCLH5RV?analog=on","6245RCLH5RV"))*1</f>
        <v>#VALUE!</v>
      </c>
      <c r="B6409" s="1">
        <v>6996819</v>
      </c>
      <c r="C6409" t="s">
        <v>973</v>
      </c>
      <c r="D6409" t="s">
        <v>6602</v>
      </c>
      <c r="E6409" t="s">
        <v>10</v>
      </c>
    </row>
    <row r="6410" spans="1:5" hidden="1" outlineLevel="2">
      <c r="A6410" s="3" t="e">
        <f>(HYPERLINK("http://www.autodoc.ru/Web/price/art/6245RGNH3FV?analog=on","6245RGNH3FV"))*1</f>
        <v>#VALUE!</v>
      </c>
      <c r="B6410" s="1">
        <v>6996228</v>
      </c>
      <c r="C6410" t="s">
        <v>973</v>
      </c>
      <c r="D6410" t="s">
        <v>6603</v>
      </c>
      <c r="E6410" t="s">
        <v>10</v>
      </c>
    </row>
    <row r="6411" spans="1:5" hidden="1" outlineLevel="2">
      <c r="A6411" s="3" t="e">
        <f>(HYPERLINK("http://www.autodoc.ru/Web/price/art/6245RGNH5FD?analog=on","6245RGNH5FD"))*1</f>
        <v>#VALUE!</v>
      </c>
      <c r="B6411" s="1">
        <v>6996825</v>
      </c>
      <c r="C6411" t="s">
        <v>973</v>
      </c>
      <c r="D6411" t="s">
        <v>6604</v>
      </c>
      <c r="E6411" t="s">
        <v>10</v>
      </c>
    </row>
    <row r="6412" spans="1:5" hidden="1" outlineLevel="1">
      <c r="A6412" s="2">
        <v>0</v>
      </c>
      <c r="B6412" s="26" t="s">
        <v>6605</v>
      </c>
      <c r="C6412" s="27">
        <v>0</v>
      </c>
      <c r="D6412" s="27">
        <v>0</v>
      </c>
      <c r="E6412" s="27">
        <v>0</v>
      </c>
    </row>
    <row r="6413" spans="1:5" hidden="1" outlineLevel="2">
      <c r="A6413" s="3" t="e">
        <f>(HYPERLINK("http://www.autodoc.ru/Web/price/art/6259ACL?analog=on","6259ACL"))*1</f>
        <v>#VALUE!</v>
      </c>
      <c r="B6413" s="1">
        <v>6968401</v>
      </c>
      <c r="C6413" t="s">
        <v>1573</v>
      </c>
      <c r="D6413" t="s">
        <v>6606</v>
      </c>
      <c r="E6413" t="s">
        <v>8</v>
      </c>
    </row>
    <row r="6414" spans="1:5" hidden="1" outlineLevel="2">
      <c r="A6414" s="3" t="e">
        <f>(HYPERLINK("http://www.autodoc.ru/Web/price/art/6259AGN?analog=on","6259AGN"))*1</f>
        <v>#VALUE!</v>
      </c>
      <c r="B6414" s="1">
        <v>6968402</v>
      </c>
      <c r="C6414" t="s">
        <v>1573</v>
      </c>
      <c r="D6414" t="s">
        <v>6607</v>
      </c>
      <c r="E6414" t="s">
        <v>8</v>
      </c>
    </row>
    <row r="6415" spans="1:5" hidden="1" outlineLevel="2">
      <c r="A6415" s="3" t="e">
        <f>(HYPERLINK("http://www.autodoc.ru/Web/price/art/6259AGNBL?analog=on","6259AGNBL"))*1</f>
        <v>#VALUE!</v>
      </c>
      <c r="B6415" s="1">
        <v>6968404</v>
      </c>
      <c r="C6415" t="s">
        <v>1573</v>
      </c>
      <c r="D6415" t="s">
        <v>6608</v>
      </c>
      <c r="E6415" t="s">
        <v>8</v>
      </c>
    </row>
    <row r="6416" spans="1:5" hidden="1" outlineLevel="2">
      <c r="A6416" s="3" t="e">
        <f>(HYPERLINK("http://www.autodoc.ru/Web/price/art/6259AGNGN?analog=on","6259AGNGN"))*1</f>
        <v>#VALUE!</v>
      </c>
      <c r="B6416" s="1">
        <v>6963574</v>
      </c>
      <c r="C6416" t="s">
        <v>1573</v>
      </c>
      <c r="D6416" t="s">
        <v>6609</v>
      </c>
      <c r="E6416" t="s">
        <v>8</v>
      </c>
    </row>
    <row r="6417" spans="1:5" hidden="1" outlineLevel="2">
      <c r="A6417" s="3" t="e">
        <f>(HYPERLINK("http://www.autodoc.ru/Web/price/art/6259ASMH?analog=on","6259ASMH"))*1</f>
        <v>#VALUE!</v>
      </c>
      <c r="B6417" s="1">
        <v>6100159</v>
      </c>
      <c r="C6417" t="s">
        <v>19</v>
      </c>
      <c r="D6417" t="s">
        <v>6610</v>
      </c>
      <c r="E6417" t="s">
        <v>21</v>
      </c>
    </row>
    <row r="6418" spans="1:5" hidden="1" outlineLevel="2">
      <c r="A6418" s="3" t="e">
        <f>(HYPERLINK("http://www.autodoc.ru/Web/price/art/6259BCLH?analog=on","6259BCLH"))*1</f>
        <v>#VALUE!</v>
      </c>
      <c r="B6418" s="1">
        <v>6998778</v>
      </c>
      <c r="C6418" t="s">
        <v>1573</v>
      </c>
      <c r="D6418" t="s">
        <v>6611</v>
      </c>
      <c r="E6418" t="s">
        <v>23</v>
      </c>
    </row>
    <row r="6419" spans="1:5" hidden="1" outlineLevel="2">
      <c r="A6419" s="3" t="e">
        <f>(HYPERLINK("http://www.autodoc.ru/Web/price/art/6259BCLH1J?analog=on","6259BCLH1J"))*1</f>
        <v>#VALUE!</v>
      </c>
      <c r="B6419" s="1">
        <v>6998909</v>
      </c>
      <c r="C6419" t="s">
        <v>1573</v>
      </c>
      <c r="D6419" t="s">
        <v>6612</v>
      </c>
      <c r="E6419" t="s">
        <v>23</v>
      </c>
    </row>
    <row r="6420" spans="1:5" hidden="1" outlineLevel="2">
      <c r="A6420" s="3" t="e">
        <f>(HYPERLINK("http://www.autodoc.ru/Web/price/art/6259BCLVL?analog=on","6259BCLVL"))*1</f>
        <v>#VALUE!</v>
      </c>
      <c r="B6420" s="1">
        <v>6998034</v>
      </c>
      <c r="C6420" t="s">
        <v>1573</v>
      </c>
      <c r="D6420" t="s">
        <v>6613</v>
      </c>
      <c r="E6420" t="s">
        <v>23</v>
      </c>
    </row>
    <row r="6421" spans="1:5" hidden="1" outlineLevel="2">
      <c r="A6421" s="3" t="e">
        <f>(HYPERLINK("http://www.autodoc.ru/Web/price/art/6259BCLVLU?analog=on","6259BCLVLU"))*1</f>
        <v>#VALUE!</v>
      </c>
      <c r="B6421" s="1">
        <v>6998880</v>
      </c>
      <c r="C6421" t="s">
        <v>1573</v>
      </c>
      <c r="D6421" t="s">
        <v>6614</v>
      </c>
      <c r="E6421" t="s">
        <v>23</v>
      </c>
    </row>
    <row r="6422" spans="1:5" hidden="1" outlineLevel="2">
      <c r="A6422" s="3" t="e">
        <f>(HYPERLINK("http://www.autodoc.ru/Web/price/art/6259BCLVRU?analog=on","6259BCLVRU"))*1</f>
        <v>#VALUE!</v>
      </c>
      <c r="B6422" s="1">
        <v>6998881</v>
      </c>
      <c r="C6422" t="s">
        <v>1573</v>
      </c>
      <c r="D6422" t="s">
        <v>6615</v>
      </c>
      <c r="E6422" t="s">
        <v>23</v>
      </c>
    </row>
    <row r="6423" spans="1:5" hidden="1" outlineLevel="2">
      <c r="A6423" s="3" t="e">
        <f>(HYPERLINK("http://www.autodoc.ru/Web/price/art/6259BGNH?analog=on","6259BGNH"))*1</f>
        <v>#VALUE!</v>
      </c>
      <c r="B6423" s="1">
        <v>6998779</v>
      </c>
      <c r="C6423" t="s">
        <v>1573</v>
      </c>
      <c r="D6423" t="s">
        <v>6616</v>
      </c>
      <c r="E6423" t="s">
        <v>23</v>
      </c>
    </row>
    <row r="6424" spans="1:5" hidden="1" outlineLevel="2">
      <c r="A6424" s="3" t="e">
        <f>(HYPERLINK("http://www.autodoc.ru/Web/price/art/6259BGNHB?analog=on","6259BGNHB"))*1</f>
        <v>#VALUE!</v>
      </c>
      <c r="B6424" s="1">
        <v>6980039</v>
      </c>
      <c r="C6424" t="s">
        <v>19</v>
      </c>
      <c r="D6424" t="s">
        <v>6617</v>
      </c>
      <c r="E6424" t="s">
        <v>23</v>
      </c>
    </row>
    <row r="6425" spans="1:5" hidden="1" outlineLevel="2">
      <c r="A6425" s="3" t="e">
        <f>(HYPERLINK("http://www.autodoc.ru/Web/price/art/6259BGNH1J?analog=on","6259BGNH1J"))*1</f>
        <v>#VALUE!</v>
      </c>
      <c r="B6425" s="1">
        <v>6998780</v>
      </c>
      <c r="C6425" t="s">
        <v>1573</v>
      </c>
      <c r="D6425" t="s">
        <v>6618</v>
      </c>
      <c r="E6425" t="s">
        <v>23</v>
      </c>
    </row>
    <row r="6426" spans="1:5" hidden="1" outlineLevel="2">
      <c r="A6426" s="3" t="e">
        <f>(HYPERLINK("http://www.autodoc.ru/Web/price/art/6259BGNVR?analog=on","6259BGNVR"))*1</f>
        <v>#VALUE!</v>
      </c>
      <c r="B6426" s="1">
        <v>6980367</v>
      </c>
      <c r="C6426" t="s">
        <v>1573</v>
      </c>
      <c r="D6426" t="s">
        <v>6619</v>
      </c>
      <c r="E6426" t="s">
        <v>23</v>
      </c>
    </row>
    <row r="6427" spans="1:5" hidden="1" outlineLevel="2">
      <c r="A6427" s="3" t="e">
        <f>(HYPERLINK("http://www.autodoc.ru/Web/price/art/6259BSMH?analog=on","6259BSMH"))*1</f>
        <v>#VALUE!</v>
      </c>
      <c r="B6427" s="1">
        <v>6100160</v>
      </c>
      <c r="C6427" t="s">
        <v>19</v>
      </c>
      <c r="D6427" t="s">
        <v>6620</v>
      </c>
      <c r="E6427" t="s">
        <v>21</v>
      </c>
    </row>
    <row r="6428" spans="1:5" hidden="1" outlineLevel="2">
      <c r="A6428" s="3" t="e">
        <f>(HYPERLINK("http://www.autodoc.ru/Web/price/art/6259BSMV?analog=on","6259BSMV"))*1</f>
        <v>#VALUE!</v>
      </c>
      <c r="B6428" s="1">
        <v>6102365</v>
      </c>
      <c r="C6428" t="s">
        <v>19</v>
      </c>
      <c r="D6428" t="s">
        <v>6621</v>
      </c>
      <c r="E6428" t="s">
        <v>21</v>
      </c>
    </row>
    <row r="6429" spans="1:5" hidden="1" outlineLevel="2">
      <c r="A6429" s="3" t="e">
        <f>(HYPERLINK("http://www.autodoc.ru/Web/price/art/6259LCLH3FD?analog=on","6259LCLH3FD"))*1</f>
        <v>#VALUE!</v>
      </c>
      <c r="B6429" s="1">
        <v>6995813</v>
      </c>
      <c r="C6429" t="s">
        <v>1573</v>
      </c>
      <c r="D6429" t="s">
        <v>6622</v>
      </c>
      <c r="E6429" t="s">
        <v>10</v>
      </c>
    </row>
    <row r="6430" spans="1:5" hidden="1" outlineLevel="2">
      <c r="A6430" s="3" t="e">
        <f>(HYPERLINK("http://www.autodoc.ru/Web/price/art/6259LCLH3RQ?analog=on","6259LCLH3RQ"))*1</f>
        <v>#VALUE!</v>
      </c>
      <c r="B6430" s="1">
        <v>6995814</v>
      </c>
      <c r="C6430" t="s">
        <v>1573</v>
      </c>
      <c r="D6430" t="s">
        <v>6623</v>
      </c>
      <c r="E6430" t="s">
        <v>10</v>
      </c>
    </row>
    <row r="6431" spans="1:5" hidden="1" outlineLevel="2">
      <c r="A6431" s="3" t="e">
        <f>(HYPERLINK("http://www.autodoc.ru/Web/price/art/6259LCLH5FD?analog=on","6259LCLH5FD"))*1</f>
        <v>#VALUE!</v>
      </c>
      <c r="B6431" s="1">
        <v>6996201</v>
      </c>
      <c r="C6431" t="s">
        <v>1573</v>
      </c>
      <c r="D6431" t="s">
        <v>6624</v>
      </c>
      <c r="E6431" t="s">
        <v>10</v>
      </c>
    </row>
    <row r="6432" spans="1:5" hidden="1" outlineLevel="2">
      <c r="A6432" s="3" t="e">
        <f>(HYPERLINK("http://www.autodoc.ru/Web/price/art/6259LCLH5RD?analog=on","6259LCLH5RD"))*1</f>
        <v>#VALUE!</v>
      </c>
      <c r="B6432" s="1">
        <v>6996205</v>
      </c>
      <c r="C6432" t="s">
        <v>1573</v>
      </c>
      <c r="D6432" t="s">
        <v>6625</v>
      </c>
      <c r="E6432" t="s">
        <v>10</v>
      </c>
    </row>
    <row r="6433" spans="1:5" hidden="1" outlineLevel="2">
      <c r="A6433" s="3" t="e">
        <f>(HYPERLINK("http://www.autodoc.ru/Web/price/art/6259LGNH3FD?analog=on","6259LGNH3FD"))*1</f>
        <v>#VALUE!</v>
      </c>
      <c r="B6433" s="1">
        <v>6995817</v>
      </c>
      <c r="C6433" t="s">
        <v>1573</v>
      </c>
      <c r="D6433" t="s">
        <v>6626</v>
      </c>
      <c r="E6433" t="s">
        <v>10</v>
      </c>
    </row>
    <row r="6434" spans="1:5" hidden="1" outlineLevel="2">
      <c r="A6434" s="3" t="e">
        <f>(HYPERLINK("http://www.autodoc.ru/Web/price/art/6259LGNH3RQ?analog=on","6259LGNH3RQ"))*1</f>
        <v>#VALUE!</v>
      </c>
      <c r="B6434" s="1">
        <v>6994518</v>
      </c>
      <c r="C6434" t="s">
        <v>1573</v>
      </c>
      <c r="D6434" t="s">
        <v>6627</v>
      </c>
      <c r="E6434" t="s">
        <v>10</v>
      </c>
    </row>
    <row r="6435" spans="1:5" hidden="1" outlineLevel="2">
      <c r="A6435" s="3" t="e">
        <f>(HYPERLINK("http://www.autodoc.ru/Web/price/art/6259LGNH5FD?analog=on","6259LGNH5FD"))*1</f>
        <v>#VALUE!</v>
      </c>
      <c r="B6435" s="1">
        <v>6996203</v>
      </c>
      <c r="C6435" t="s">
        <v>1573</v>
      </c>
      <c r="D6435" t="s">
        <v>6628</v>
      </c>
      <c r="E6435" t="s">
        <v>10</v>
      </c>
    </row>
    <row r="6436" spans="1:5" hidden="1" outlineLevel="2">
      <c r="A6436" s="3" t="e">
        <f>(HYPERLINK("http://www.autodoc.ru/Web/price/art/6259LGNH5RD?analog=on","6259LGNH5RD"))*1</f>
        <v>#VALUE!</v>
      </c>
      <c r="B6436" s="1">
        <v>6996207</v>
      </c>
      <c r="C6436" t="s">
        <v>1573</v>
      </c>
      <c r="D6436" t="s">
        <v>6629</v>
      </c>
      <c r="E6436" t="s">
        <v>10</v>
      </c>
    </row>
    <row r="6437" spans="1:5" hidden="1" outlineLevel="2">
      <c r="A6437" s="3" t="e">
        <f>(HYPERLINK("http://www.autodoc.ru/Web/price/art/6259RCLH3FD?analog=on","6259RCLH3FD"))*1</f>
        <v>#VALUE!</v>
      </c>
      <c r="B6437" s="1">
        <v>6995815</v>
      </c>
      <c r="C6437" t="s">
        <v>1573</v>
      </c>
      <c r="D6437" t="s">
        <v>6630</v>
      </c>
      <c r="E6437" t="s">
        <v>10</v>
      </c>
    </row>
    <row r="6438" spans="1:5" hidden="1" outlineLevel="2">
      <c r="A6438" s="3" t="e">
        <f>(HYPERLINK("http://www.autodoc.ru/Web/price/art/6259RCLH3RQ?analog=on","6259RCLH3RQ"))*1</f>
        <v>#VALUE!</v>
      </c>
      <c r="B6438" s="1">
        <v>6995816</v>
      </c>
      <c r="C6438" t="s">
        <v>1573</v>
      </c>
      <c r="D6438" t="s">
        <v>6631</v>
      </c>
      <c r="E6438" t="s">
        <v>10</v>
      </c>
    </row>
    <row r="6439" spans="1:5" hidden="1" outlineLevel="2">
      <c r="A6439" s="3" t="e">
        <f>(HYPERLINK("http://www.autodoc.ru/Web/price/art/6259RCLH5FD?analog=on","6259RCLH5FD"))*1</f>
        <v>#VALUE!</v>
      </c>
      <c r="B6439" s="1">
        <v>6996200</v>
      </c>
      <c r="C6439" t="s">
        <v>1573</v>
      </c>
      <c r="D6439" t="s">
        <v>6632</v>
      </c>
      <c r="E6439" t="s">
        <v>10</v>
      </c>
    </row>
    <row r="6440" spans="1:5" hidden="1" outlineLevel="2">
      <c r="A6440" s="3" t="e">
        <f>(HYPERLINK("http://www.autodoc.ru/Web/price/art/6259RCLH5RD?analog=on","6259RCLH5RD"))*1</f>
        <v>#VALUE!</v>
      </c>
      <c r="B6440" s="1">
        <v>6996204</v>
      </c>
      <c r="C6440" t="s">
        <v>1573</v>
      </c>
      <c r="D6440" t="s">
        <v>6633</v>
      </c>
      <c r="E6440" t="s">
        <v>10</v>
      </c>
    </row>
    <row r="6441" spans="1:5" hidden="1" outlineLevel="2">
      <c r="A6441" s="3" t="e">
        <f>(HYPERLINK("http://www.autodoc.ru/Web/price/art/6259RGNH3FD?analog=on","6259RGNH3FD"))*1</f>
        <v>#VALUE!</v>
      </c>
      <c r="B6441" s="1">
        <v>6995818</v>
      </c>
      <c r="C6441" t="s">
        <v>1573</v>
      </c>
      <c r="D6441" t="s">
        <v>6634</v>
      </c>
      <c r="E6441" t="s">
        <v>10</v>
      </c>
    </row>
    <row r="6442" spans="1:5" hidden="1" outlineLevel="2">
      <c r="A6442" s="3" t="e">
        <f>(HYPERLINK("http://www.autodoc.ru/Web/price/art/6259RGNH3RQ?analog=on","6259RGNH3RQ"))*1</f>
        <v>#VALUE!</v>
      </c>
      <c r="B6442" s="1">
        <v>6994520</v>
      </c>
      <c r="C6442" t="s">
        <v>1573</v>
      </c>
      <c r="D6442" t="s">
        <v>6635</v>
      </c>
      <c r="E6442" t="s">
        <v>10</v>
      </c>
    </row>
    <row r="6443" spans="1:5" hidden="1" outlineLevel="2">
      <c r="A6443" s="3" t="e">
        <f>(HYPERLINK("http://www.autodoc.ru/Web/price/art/6259RGNH5FD?analog=on","6259RGNH5FD"))*1</f>
        <v>#VALUE!</v>
      </c>
      <c r="B6443" s="1">
        <v>6996202</v>
      </c>
      <c r="C6443" t="s">
        <v>1573</v>
      </c>
      <c r="D6443" t="s">
        <v>6636</v>
      </c>
      <c r="E6443" t="s">
        <v>10</v>
      </c>
    </row>
    <row r="6444" spans="1:5" hidden="1" outlineLevel="2">
      <c r="A6444" s="3" t="e">
        <f>(HYPERLINK("http://www.autodoc.ru/Web/price/art/6259RGNH5RD?analog=on","6259RGNH5RD"))*1</f>
        <v>#VALUE!</v>
      </c>
      <c r="B6444" s="1">
        <v>6996206</v>
      </c>
      <c r="C6444" t="s">
        <v>1573</v>
      </c>
      <c r="D6444" t="s">
        <v>6637</v>
      </c>
      <c r="E6444" t="s">
        <v>10</v>
      </c>
    </row>
    <row r="6445" spans="1:5" hidden="1" outlineLevel="1">
      <c r="A6445" s="2">
        <v>0</v>
      </c>
      <c r="B6445" s="26" t="s">
        <v>6638</v>
      </c>
      <c r="C6445" s="27">
        <v>0</v>
      </c>
      <c r="D6445" s="27">
        <v>0</v>
      </c>
      <c r="E6445" s="27">
        <v>0</v>
      </c>
    </row>
    <row r="6446" spans="1:5" hidden="1" outlineLevel="2">
      <c r="A6446" s="3" t="e">
        <f>(HYPERLINK("http://www.autodoc.ru/Web/price/art/6290AGS?analog=on","6290AGS"))*1</f>
        <v>#VALUE!</v>
      </c>
      <c r="B6446" s="1">
        <v>6960166</v>
      </c>
      <c r="C6446" t="s">
        <v>831</v>
      </c>
      <c r="D6446" t="s">
        <v>6639</v>
      </c>
      <c r="E6446" t="s">
        <v>8</v>
      </c>
    </row>
    <row r="6447" spans="1:5" hidden="1" outlineLevel="2">
      <c r="A6447" s="3" t="e">
        <f>(HYPERLINK("http://www.autodoc.ru/Web/price/art/6290AGSBL?analog=on","6290AGSBL"))*1</f>
        <v>#VALUE!</v>
      </c>
      <c r="B6447" s="1">
        <v>6961054</v>
      </c>
      <c r="C6447" t="s">
        <v>831</v>
      </c>
      <c r="D6447" t="s">
        <v>6640</v>
      </c>
      <c r="E6447" t="s">
        <v>8</v>
      </c>
    </row>
    <row r="6448" spans="1:5" hidden="1" outlineLevel="2">
      <c r="A6448" s="3" t="e">
        <f>(HYPERLINK("http://www.autodoc.ru/Web/price/art/6290AGSM1B?analog=on","6290AGSM1B"))*1</f>
        <v>#VALUE!</v>
      </c>
      <c r="B6448" s="1">
        <v>6960263</v>
      </c>
      <c r="C6448" t="s">
        <v>831</v>
      </c>
      <c r="D6448" t="s">
        <v>6641</v>
      </c>
      <c r="E6448" t="s">
        <v>8</v>
      </c>
    </row>
    <row r="6449" spans="1:5" hidden="1" outlineLevel="2">
      <c r="A6449" s="3" t="e">
        <f>(HYPERLINK("http://www.autodoc.ru/Web/price/art/6290ACCBLM1B?analog=on","6290ACCBLM1B"))*1</f>
        <v>#VALUE!</v>
      </c>
      <c r="B6449" s="1">
        <v>6961749</v>
      </c>
      <c r="C6449" t="s">
        <v>831</v>
      </c>
      <c r="D6449" t="s">
        <v>6642</v>
      </c>
      <c r="E6449" t="s">
        <v>8</v>
      </c>
    </row>
    <row r="6450" spans="1:5" hidden="1" outlineLevel="2">
      <c r="A6450" s="3" t="e">
        <f>(HYPERLINK("http://www.autodoc.ru/Web/price/art/6290AKMH?analog=on","6290AKMH"))*1</f>
        <v>#VALUE!</v>
      </c>
      <c r="B6450" s="1">
        <v>6101848</v>
      </c>
      <c r="C6450" t="s">
        <v>19</v>
      </c>
      <c r="D6450" t="s">
        <v>6643</v>
      </c>
      <c r="E6450" t="s">
        <v>21</v>
      </c>
    </row>
    <row r="6451" spans="1:5" hidden="1" outlineLevel="2">
      <c r="A6451" s="3" t="e">
        <f>(HYPERLINK("http://www.autodoc.ru/Web/price/art/6290ASGHB?analog=on","6290ASGHB"))*1</f>
        <v>#VALUE!</v>
      </c>
      <c r="B6451" s="1">
        <v>6101280</v>
      </c>
      <c r="C6451" t="s">
        <v>19</v>
      </c>
      <c r="D6451" t="s">
        <v>6644</v>
      </c>
      <c r="E6451" t="s">
        <v>21</v>
      </c>
    </row>
    <row r="6452" spans="1:5" hidden="1" outlineLevel="2">
      <c r="A6452" s="3" t="e">
        <f>(HYPERLINK("http://www.autodoc.ru/Web/price/art/6290ASMHL?analog=on","6290ASMHL"))*1</f>
        <v>#VALUE!</v>
      </c>
      <c r="B6452" s="1">
        <v>6102366</v>
      </c>
      <c r="C6452" t="s">
        <v>19</v>
      </c>
      <c r="D6452" t="s">
        <v>6645</v>
      </c>
      <c r="E6452" t="s">
        <v>21</v>
      </c>
    </row>
    <row r="6453" spans="1:5" hidden="1" outlineLevel="2">
      <c r="A6453" s="3" t="e">
        <f>(HYPERLINK("http://www.autodoc.ru/Web/price/art/6290ASMHR?analog=on","6290ASMHR"))*1</f>
        <v>#VALUE!</v>
      </c>
      <c r="B6453" s="1">
        <v>6102367</v>
      </c>
      <c r="C6453" t="s">
        <v>19</v>
      </c>
      <c r="D6453" t="s">
        <v>6646</v>
      </c>
      <c r="E6453" t="s">
        <v>21</v>
      </c>
    </row>
    <row r="6454" spans="1:5" hidden="1" outlineLevel="2">
      <c r="A6454" s="3" t="e">
        <f>(HYPERLINK("http://www.autodoc.ru/Web/price/art/6290ASMHT?analog=on","6290ASMHT"))*1</f>
        <v>#VALUE!</v>
      </c>
      <c r="B6454" s="1">
        <v>6100301</v>
      </c>
      <c r="C6454" t="s">
        <v>19</v>
      </c>
      <c r="D6454" t="s">
        <v>6647</v>
      </c>
      <c r="E6454" t="s">
        <v>21</v>
      </c>
    </row>
    <row r="6455" spans="1:5" hidden="1" outlineLevel="2">
      <c r="A6455" s="3" t="e">
        <f>(HYPERLINK("http://www.autodoc.ru/Web/price/art/6290BGSH?analog=on","6290BGSH"))*1</f>
        <v>#VALUE!</v>
      </c>
      <c r="B6455" s="1">
        <v>6992778</v>
      </c>
      <c r="C6455" t="s">
        <v>831</v>
      </c>
      <c r="D6455" t="s">
        <v>6648</v>
      </c>
      <c r="E6455" t="s">
        <v>23</v>
      </c>
    </row>
    <row r="6456" spans="1:5" hidden="1" outlineLevel="2">
      <c r="A6456" s="3" t="e">
        <f>(HYPERLINK("http://www.autodoc.ru/Web/price/art/6290LGSH3FD?analog=on","6290LGSH3FD"))*1</f>
        <v>#VALUE!</v>
      </c>
      <c r="B6456" s="1">
        <v>6991663</v>
      </c>
      <c r="C6456" t="s">
        <v>831</v>
      </c>
      <c r="D6456" t="s">
        <v>6649</v>
      </c>
      <c r="E6456" t="s">
        <v>10</v>
      </c>
    </row>
    <row r="6457" spans="1:5" hidden="1" outlineLevel="2">
      <c r="A6457" s="3" t="e">
        <f>(HYPERLINK("http://www.autodoc.ru/Web/price/art/6290LGSH3RQ?analog=on","6290LGSH3RQ"))*1</f>
        <v>#VALUE!</v>
      </c>
      <c r="B6457" s="1">
        <v>6991665</v>
      </c>
      <c r="C6457" t="s">
        <v>831</v>
      </c>
      <c r="D6457" t="s">
        <v>6650</v>
      </c>
      <c r="E6457" t="s">
        <v>10</v>
      </c>
    </row>
    <row r="6458" spans="1:5" hidden="1" outlineLevel="2">
      <c r="A6458" s="3" t="e">
        <f>(HYPERLINK("http://www.autodoc.ru/Web/price/art/6290LGSH5FD?analog=on","6290LGSH5FD"))*1</f>
        <v>#VALUE!</v>
      </c>
      <c r="B6458" s="1">
        <v>6991671</v>
      </c>
      <c r="C6458" t="s">
        <v>831</v>
      </c>
      <c r="D6458" t="s">
        <v>6651</v>
      </c>
      <c r="E6458" t="s">
        <v>10</v>
      </c>
    </row>
    <row r="6459" spans="1:5" hidden="1" outlineLevel="2">
      <c r="A6459" s="3" t="e">
        <f>(HYPERLINK("http://www.autodoc.ru/Web/price/art/6290LGSH5RD?analog=on","6290LGSH5RD"))*1</f>
        <v>#VALUE!</v>
      </c>
      <c r="B6459" s="1">
        <v>6991673</v>
      </c>
      <c r="C6459" t="s">
        <v>831</v>
      </c>
      <c r="D6459" t="s">
        <v>6652</v>
      </c>
      <c r="E6459" t="s">
        <v>10</v>
      </c>
    </row>
    <row r="6460" spans="1:5" hidden="1" outlineLevel="2">
      <c r="A6460" s="3" t="e">
        <f>(HYPERLINK("http://www.autodoc.ru/Web/price/art/6290LGSH5RQZ?analog=on","6290LGSH5RQZ"))*1</f>
        <v>#VALUE!</v>
      </c>
      <c r="B6460" s="1">
        <v>6991675</v>
      </c>
      <c r="C6460" t="s">
        <v>831</v>
      </c>
      <c r="D6460" t="s">
        <v>6653</v>
      </c>
      <c r="E6460" t="s">
        <v>10</v>
      </c>
    </row>
    <row r="6461" spans="1:5" hidden="1" outlineLevel="2">
      <c r="A6461" s="3" t="e">
        <f>(HYPERLINK("http://www.autodoc.ru/Web/price/art/6290RGSH3FD?analog=on","6290RGSH3FD"))*1</f>
        <v>#VALUE!</v>
      </c>
      <c r="B6461" s="1">
        <v>6991662</v>
      </c>
      <c r="C6461" t="s">
        <v>831</v>
      </c>
      <c r="D6461" t="s">
        <v>6654</v>
      </c>
      <c r="E6461" t="s">
        <v>10</v>
      </c>
    </row>
    <row r="6462" spans="1:5" hidden="1" outlineLevel="2">
      <c r="A6462" s="3" t="e">
        <f>(HYPERLINK("http://www.autodoc.ru/Web/price/art/6290RGSH3RQ?analog=on","6290RGSH3RQ"))*1</f>
        <v>#VALUE!</v>
      </c>
      <c r="B6462" s="1">
        <v>6991664</v>
      </c>
      <c r="C6462" t="s">
        <v>831</v>
      </c>
      <c r="D6462" t="s">
        <v>6655</v>
      </c>
      <c r="E6462" t="s">
        <v>10</v>
      </c>
    </row>
    <row r="6463" spans="1:5" hidden="1" outlineLevel="2">
      <c r="A6463" s="3" t="e">
        <f>(HYPERLINK("http://www.autodoc.ru/Web/price/art/6290RGSH5FD?analog=on","6290RGSH5FD"))*1</f>
        <v>#VALUE!</v>
      </c>
      <c r="B6463" s="1">
        <v>6991670</v>
      </c>
      <c r="C6463" t="s">
        <v>831</v>
      </c>
      <c r="D6463" t="s">
        <v>6656</v>
      </c>
      <c r="E6463" t="s">
        <v>10</v>
      </c>
    </row>
    <row r="6464" spans="1:5" hidden="1" outlineLevel="2">
      <c r="A6464" s="3" t="e">
        <f>(HYPERLINK("http://www.autodoc.ru/Web/price/art/6290RGSH5RD?analog=on","6290RGSH5RD"))*1</f>
        <v>#VALUE!</v>
      </c>
      <c r="B6464" s="1">
        <v>6991672</v>
      </c>
      <c r="C6464" t="s">
        <v>831</v>
      </c>
      <c r="D6464" t="s">
        <v>6657</v>
      </c>
      <c r="E6464" t="s">
        <v>10</v>
      </c>
    </row>
    <row r="6465" spans="1:5" hidden="1" outlineLevel="2">
      <c r="A6465" s="3" t="e">
        <f>(HYPERLINK("http://www.autodoc.ru/Web/price/art/6290RGSH5RQZ?analog=on","6290RGSH5RQZ"))*1</f>
        <v>#VALUE!</v>
      </c>
      <c r="B6465" s="1">
        <v>6991674</v>
      </c>
      <c r="C6465" t="s">
        <v>831</v>
      </c>
      <c r="D6465" t="s">
        <v>6658</v>
      </c>
      <c r="E6465" t="s">
        <v>10</v>
      </c>
    </row>
    <row r="6466" spans="1:5" hidden="1" outlineLevel="1">
      <c r="A6466" s="2">
        <v>0</v>
      </c>
      <c r="B6466" s="26" t="s">
        <v>6659</v>
      </c>
      <c r="C6466" s="27">
        <v>0</v>
      </c>
      <c r="D6466" s="27">
        <v>0</v>
      </c>
      <c r="E6466" s="27">
        <v>0</v>
      </c>
    </row>
    <row r="6467" spans="1:5" hidden="1" outlineLevel="2">
      <c r="A6467" s="3" t="e">
        <f>(HYPERLINK("http://www.autodoc.ru/Web/price/art/6312AGSMVZ1R?analog=on","6312AGSMVZ1R"))*1</f>
        <v>#VALUE!</v>
      </c>
      <c r="B6467" s="1">
        <v>6962239</v>
      </c>
      <c r="C6467" t="s">
        <v>290</v>
      </c>
      <c r="D6467" t="s">
        <v>6660</v>
      </c>
      <c r="E6467" t="s">
        <v>8</v>
      </c>
    </row>
    <row r="6468" spans="1:5" hidden="1" outlineLevel="2">
      <c r="A6468" s="3" t="e">
        <f>(HYPERLINK("http://www.autodoc.ru/Web/price/art/6312AGSMVWZ1R?analog=on","6312AGSMVWZ1R"))*1</f>
        <v>#VALUE!</v>
      </c>
      <c r="B6468" s="1">
        <v>6964678</v>
      </c>
      <c r="C6468" t="s">
        <v>290</v>
      </c>
      <c r="D6468" t="s">
        <v>6661</v>
      </c>
      <c r="E6468" t="s">
        <v>8</v>
      </c>
    </row>
    <row r="6469" spans="1:5" hidden="1" outlineLevel="2">
      <c r="A6469" s="3" t="e">
        <f>(HYPERLINK("http://www.autodoc.ru/Web/price/art/6312AGSVZ1M?analog=on","6312AGSVZ1M"))*1</f>
        <v>#VALUE!</v>
      </c>
      <c r="B6469" s="1">
        <v>6962236</v>
      </c>
      <c r="C6469" t="s">
        <v>290</v>
      </c>
      <c r="D6469" t="s">
        <v>6662</v>
      </c>
      <c r="E6469" t="s">
        <v>8</v>
      </c>
    </row>
    <row r="6470" spans="1:5" hidden="1" outlineLevel="2">
      <c r="A6470" s="3" t="e">
        <f>(HYPERLINK("http://www.autodoc.ru/Web/price/art/6312AGSVWZ1M?analog=on","6312AGSVWZ1M"))*1</f>
        <v>#VALUE!</v>
      </c>
      <c r="B6470" s="1">
        <v>6964679</v>
      </c>
      <c r="C6470" t="s">
        <v>290</v>
      </c>
      <c r="D6470" t="s">
        <v>6663</v>
      </c>
      <c r="E6470" t="s">
        <v>8</v>
      </c>
    </row>
    <row r="6471" spans="1:5" hidden="1" outlineLevel="2">
      <c r="A6471" s="3" t="e">
        <f>(HYPERLINK("http://www.autodoc.ru/Web/price/art/6312BGSH?analog=on","6312BGSH"))*1</f>
        <v>#VALUE!</v>
      </c>
      <c r="B6471" s="1">
        <v>6998100</v>
      </c>
      <c r="C6471" t="s">
        <v>290</v>
      </c>
      <c r="D6471" t="s">
        <v>6664</v>
      </c>
      <c r="E6471" t="s">
        <v>23</v>
      </c>
    </row>
    <row r="6472" spans="1:5" hidden="1" outlineLevel="2">
      <c r="A6472" s="3" t="e">
        <f>(HYPERLINK("http://www.autodoc.ru/Web/price/art/6312BGSH1J?analog=on","6312BGSH1J"))*1</f>
        <v>#VALUE!</v>
      </c>
      <c r="B6472" s="1">
        <v>6998110</v>
      </c>
      <c r="C6472" t="s">
        <v>290</v>
      </c>
      <c r="D6472" t="s">
        <v>6665</v>
      </c>
      <c r="E6472" t="s">
        <v>23</v>
      </c>
    </row>
    <row r="6473" spans="1:5" hidden="1" outlineLevel="2">
      <c r="A6473" s="3" t="e">
        <f>(HYPERLINK("http://www.autodoc.ru/Web/price/art/6312LGSH3FD?analog=on","6312LGSH3FD"))*1</f>
        <v>#VALUE!</v>
      </c>
      <c r="B6473" s="1">
        <v>6900208</v>
      </c>
      <c r="C6473" t="s">
        <v>290</v>
      </c>
      <c r="D6473" t="s">
        <v>6666</v>
      </c>
      <c r="E6473" t="s">
        <v>10</v>
      </c>
    </row>
    <row r="6474" spans="1:5" hidden="1" outlineLevel="2">
      <c r="A6474" s="3" t="e">
        <f>(HYPERLINK("http://www.autodoc.ru/Web/price/art/6312LGSH5FD?analog=on","6312LGSH5FD"))*1</f>
        <v>#VALUE!</v>
      </c>
      <c r="B6474" s="1">
        <v>6900210</v>
      </c>
      <c r="C6474" t="s">
        <v>290</v>
      </c>
      <c r="D6474" t="s">
        <v>6667</v>
      </c>
      <c r="E6474" t="s">
        <v>10</v>
      </c>
    </row>
    <row r="6475" spans="1:5" hidden="1" outlineLevel="2">
      <c r="A6475" s="3" t="e">
        <f>(HYPERLINK("http://www.autodoc.ru/Web/price/art/6312LGSH5RD?analog=on","6312LGSH5RD"))*1</f>
        <v>#VALUE!</v>
      </c>
      <c r="B6475" s="1">
        <v>6900212</v>
      </c>
      <c r="C6475" t="s">
        <v>290</v>
      </c>
      <c r="D6475" t="s">
        <v>6668</v>
      </c>
      <c r="E6475" t="s">
        <v>10</v>
      </c>
    </row>
    <row r="6476" spans="1:5" hidden="1" outlineLevel="2">
      <c r="A6476" s="3" t="e">
        <f>(HYPERLINK("http://www.autodoc.ru/Web/price/art/6312RGSH3FD?analog=on","6312RGSH3FD"))*1</f>
        <v>#VALUE!</v>
      </c>
      <c r="B6476" s="1">
        <v>6900207</v>
      </c>
      <c r="C6476" t="s">
        <v>290</v>
      </c>
      <c r="D6476" t="s">
        <v>6669</v>
      </c>
      <c r="E6476" t="s">
        <v>10</v>
      </c>
    </row>
    <row r="6477" spans="1:5" hidden="1" outlineLevel="2">
      <c r="A6477" s="3" t="e">
        <f>(HYPERLINK("http://www.autodoc.ru/Web/price/art/6312RGSH5FD?analog=on","6312RGSH5FD"))*1</f>
        <v>#VALUE!</v>
      </c>
      <c r="B6477" s="1">
        <v>6900209</v>
      </c>
      <c r="C6477" t="s">
        <v>290</v>
      </c>
      <c r="D6477" t="s">
        <v>6670</v>
      </c>
      <c r="E6477" t="s">
        <v>10</v>
      </c>
    </row>
    <row r="6478" spans="1:5" hidden="1" outlineLevel="2">
      <c r="A6478" s="3" t="e">
        <f>(HYPERLINK("http://www.autodoc.ru/Web/price/art/6312RGSH5RD?analog=on","6312RGSH5RD"))*1</f>
        <v>#VALUE!</v>
      </c>
      <c r="B6478" s="1">
        <v>6900211</v>
      </c>
      <c r="C6478" t="s">
        <v>290</v>
      </c>
      <c r="D6478" t="s">
        <v>6671</v>
      </c>
      <c r="E6478" t="s">
        <v>10</v>
      </c>
    </row>
    <row r="6479" spans="1:5" hidden="1" outlineLevel="1">
      <c r="A6479" s="2">
        <v>0</v>
      </c>
      <c r="B6479" s="26" t="s">
        <v>6672</v>
      </c>
      <c r="C6479" s="27">
        <v>0</v>
      </c>
      <c r="D6479" s="27">
        <v>0</v>
      </c>
      <c r="E6479" s="27">
        <v>0</v>
      </c>
    </row>
    <row r="6480" spans="1:5" hidden="1" outlineLevel="2">
      <c r="A6480" s="3" t="e">
        <f>(HYPERLINK("http://www.autodoc.ru/Web/price/art/6258AGN?analog=on","6258AGN"))*1</f>
        <v>#VALUE!</v>
      </c>
      <c r="B6480" s="1">
        <v>6968225</v>
      </c>
      <c r="C6480" t="s">
        <v>1215</v>
      </c>
      <c r="D6480" t="s">
        <v>6673</v>
      </c>
      <c r="E6480" t="s">
        <v>8</v>
      </c>
    </row>
    <row r="6481" spans="1:5" hidden="1" outlineLevel="2">
      <c r="A6481" s="3" t="e">
        <f>(HYPERLINK("http://www.autodoc.ru/Web/price/art/6258AGNBL?analog=on","6258AGNBL"))*1</f>
        <v>#VALUE!</v>
      </c>
      <c r="B6481" s="1">
        <v>6968227</v>
      </c>
      <c r="C6481" t="s">
        <v>1215</v>
      </c>
      <c r="D6481" t="s">
        <v>6674</v>
      </c>
      <c r="E6481" t="s">
        <v>8</v>
      </c>
    </row>
    <row r="6482" spans="1:5" hidden="1" outlineLevel="2">
      <c r="A6482" s="3" t="e">
        <f>(HYPERLINK("http://www.autodoc.ru/Web/price/art/6258AGNGN?analog=on","6258AGNGN"))*1</f>
        <v>#VALUE!</v>
      </c>
      <c r="B6482" s="1">
        <v>6968226</v>
      </c>
      <c r="C6482" t="s">
        <v>1215</v>
      </c>
      <c r="D6482" t="s">
        <v>6675</v>
      </c>
      <c r="E6482" t="s">
        <v>8</v>
      </c>
    </row>
    <row r="6483" spans="1:5" hidden="1" outlineLevel="2">
      <c r="A6483" s="3" t="e">
        <f>(HYPERLINK("http://www.autodoc.ru/Web/price/art/6258AKMR?analog=on","6258AKMR"))*1</f>
        <v>#VALUE!</v>
      </c>
      <c r="B6483" s="1">
        <v>6100508</v>
      </c>
      <c r="C6483" t="s">
        <v>19</v>
      </c>
      <c r="D6483" t="s">
        <v>6676</v>
      </c>
      <c r="E6483" t="s">
        <v>21</v>
      </c>
    </row>
    <row r="6484" spans="1:5" hidden="1" outlineLevel="2">
      <c r="A6484" s="3" t="e">
        <f>(HYPERLINK("http://www.autodoc.ru/Web/price/art/6258ASMRT?analog=on","6258ASMRT"))*1</f>
        <v>#VALUE!</v>
      </c>
      <c r="B6484" s="1">
        <v>6100158</v>
      </c>
      <c r="C6484" t="s">
        <v>19</v>
      </c>
      <c r="D6484" t="s">
        <v>6677</v>
      </c>
      <c r="E6484" t="s">
        <v>21</v>
      </c>
    </row>
    <row r="6485" spans="1:5" hidden="1" outlineLevel="2">
      <c r="A6485" s="3" t="e">
        <f>(HYPERLINK("http://www.autodoc.ru/Web/price/art/6258LGNR3FDW?analog=on","6258LGNR3FDW"))*1</f>
        <v>#VALUE!</v>
      </c>
      <c r="B6485" s="1">
        <v>6994511</v>
      </c>
      <c r="C6485" t="s">
        <v>1215</v>
      </c>
      <c r="D6485" t="s">
        <v>6678</v>
      </c>
      <c r="E6485" t="s">
        <v>10</v>
      </c>
    </row>
    <row r="6486" spans="1:5" hidden="1" outlineLevel="2">
      <c r="A6486" s="3" t="e">
        <f>(HYPERLINK("http://www.autodoc.ru/Web/price/art/6258LGNR3RQO?analog=on","6258LGNR3RQO"))*1</f>
        <v>#VALUE!</v>
      </c>
      <c r="B6486" s="1">
        <v>6994512</v>
      </c>
      <c r="C6486" t="s">
        <v>1215</v>
      </c>
      <c r="D6486" t="s">
        <v>6679</v>
      </c>
      <c r="E6486" t="s">
        <v>10</v>
      </c>
    </row>
    <row r="6487" spans="1:5" hidden="1" outlineLevel="2">
      <c r="A6487" s="3" t="e">
        <f>(HYPERLINK("http://www.autodoc.ru/Web/price/art/6258LGNR5RDW?analog=on","6258LGNR5RDW"))*1</f>
        <v>#VALUE!</v>
      </c>
      <c r="B6487" s="1">
        <v>6992963</v>
      </c>
      <c r="C6487" t="s">
        <v>1215</v>
      </c>
      <c r="D6487" t="s">
        <v>6680</v>
      </c>
      <c r="E6487" t="s">
        <v>10</v>
      </c>
    </row>
    <row r="6488" spans="1:5" hidden="1" outlineLevel="2">
      <c r="A6488" s="3" t="e">
        <f>(HYPERLINK("http://www.autodoc.ru/Web/price/art/6258RGNR3FDW?analog=on","6258RGNR3FDW"))*1</f>
        <v>#VALUE!</v>
      </c>
      <c r="B6488" s="1">
        <v>6994513</v>
      </c>
      <c r="C6488" t="s">
        <v>1215</v>
      </c>
      <c r="D6488" t="s">
        <v>6681</v>
      </c>
      <c r="E6488" t="s">
        <v>10</v>
      </c>
    </row>
    <row r="6489" spans="1:5" hidden="1" outlineLevel="2">
      <c r="A6489" s="3" t="e">
        <f>(HYPERLINK("http://www.autodoc.ru/Web/price/art/6258RGNR3RQO?analog=on","6258RGNR3RQO"))*1</f>
        <v>#VALUE!</v>
      </c>
      <c r="B6489" s="1">
        <v>6994514</v>
      </c>
      <c r="C6489" t="s">
        <v>1215</v>
      </c>
      <c r="D6489" t="s">
        <v>6682</v>
      </c>
      <c r="E6489" t="s">
        <v>10</v>
      </c>
    </row>
    <row r="6490" spans="1:5" hidden="1" outlineLevel="2">
      <c r="A6490" s="3" t="e">
        <f>(HYPERLINK("http://www.autodoc.ru/Web/price/art/6258RGNR5RDW?analog=on","6258RGNR5RDW"))*1</f>
        <v>#VALUE!</v>
      </c>
      <c r="B6490" s="1">
        <v>6992964</v>
      </c>
      <c r="C6490" t="s">
        <v>1215</v>
      </c>
      <c r="D6490" t="s">
        <v>6683</v>
      </c>
      <c r="E6490" t="s">
        <v>10</v>
      </c>
    </row>
    <row r="6491" spans="1:5" hidden="1" outlineLevel="1">
      <c r="A6491" s="2">
        <v>0</v>
      </c>
      <c r="B6491" s="26" t="s">
        <v>6684</v>
      </c>
      <c r="C6491" s="27">
        <v>0</v>
      </c>
      <c r="D6491" s="27">
        <v>0</v>
      </c>
      <c r="E6491" s="27">
        <v>0</v>
      </c>
    </row>
    <row r="6492" spans="1:5" hidden="1" outlineLevel="2">
      <c r="A6492" s="3" t="e">
        <f>(HYPERLINK("http://www.autodoc.ru/Web/price/art/6287AGNBLV?analog=on","6287AGNBLV"))*1</f>
        <v>#VALUE!</v>
      </c>
      <c r="B6492" s="1">
        <v>6962058</v>
      </c>
      <c r="C6492" t="s">
        <v>250</v>
      </c>
      <c r="D6492" t="s">
        <v>6685</v>
      </c>
      <c r="E6492" t="s">
        <v>8</v>
      </c>
    </row>
    <row r="6493" spans="1:5" hidden="1" outlineLevel="2">
      <c r="A6493" s="3" t="e">
        <f>(HYPERLINK("http://www.autodoc.ru/Web/price/art/6287AGNV?analog=on","6287AGNV"))*1</f>
        <v>#VALUE!</v>
      </c>
      <c r="B6493" s="1">
        <v>6963273</v>
      </c>
      <c r="C6493" t="s">
        <v>250</v>
      </c>
      <c r="D6493" t="s">
        <v>6686</v>
      </c>
      <c r="E6493" t="s">
        <v>8</v>
      </c>
    </row>
    <row r="6494" spans="1:5" hidden="1" outlineLevel="2">
      <c r="A6494" s="3" t="e">
        <f>(HYPERLINK("http://www.autodoc.ru/Web/price/art/6287ASMRT?analog=on","6287ASMRT"))*1</f>
        <v>#VALUE!</v>
      </c>
      <c r="B6494" s="1">
        <v>6100624</v>
      </c>
      <c r="C6494" t="s">
        <v>19</v>
      </c>
      <c r="D6494" t="s">
        <v>6687</v>
      </c>
      <c r="E6494" t="s">
        <v>21</v>
      </c>
    </row>
    <row r="6495" spans="1:5" hidden="1" outlineLevel="2">
      <c r="A6495" s="3" t="e">
        <f>(HYPERLINK("http://www.autodoc.ru/Web/price/art/6287LGNR3FDW?analog=on","6287LGNR3FDW"))*1</f>
        <v>#VALUE!</v>
      </c>
      <c r="B6495" s="1">
        <v>6999992</v>
      </c>
      <c r="C6495" t="s">
        <v>250</v>
      </c>
      <c r="D6495" t="s">
        <v>6688</v>
      </c>
      <c r="E6495" t="s">
        <v>10</v>
      </c>
    </row>
    <row r="6496" spans="1:5" hidden="1" outlineLevel="2">
      <c r="A6496" s="3" t="e">
        <f>(HYPERLINK("http://www.autodoc.ru/Web/price/art/6287LGNR5RDW?analog=on","6287LGNR5RDW"))*1</f>
        <v>#VALUE!</v>
      </c>
      <c r="B6496" s="1">
        <v>6900183</v>
      </c>
      <c r="C6496" t="s">
        <v>250</v>
      </c>
      <c r="D6496" t="s">
        <v>6689</v>
      </c>
      <c r="E6496" t="s">
        <v>10</v>
      </c>
    </row>
    <row r="6497" spans="1:5" hidden="1" outlineLevel="2">
      <c r="A6497" s="3" t="e">
        <f>(HYPERLINK("http://www.autodoc.ru/Web/price/art/6287RGNR3FDW?analog=on","6287RGNR3FDW"))*1</f>
        <v>#VALUE!</v>
      </c>
      <c r="B6497" s="1">
        <v>6996290</v>
      </c>
      <c r="C6497" t="s">
        <v>250</v>
      </c>
      <c r="D6497" t="s">
        <v>6690</v>
      </c>
      <c r="E6497" t="s">
        <v>10</v>
      </c>
    </row>
    <row r="6498" spans="1:5" hidden="1" outlineLevel="2">
      <c r="A6498" s="3" t="e">
        <f>(HYPERLINK("http://www.autodoc.ru/Web/price/art/6287RGNR5RDW?analog=on","6287RGNR5RDW"))*1</f>
        <v>#VALUE!</v>
      </c>
      <c r="B6498" s="1">
        <v>6900265</v>
      </c>
      <c r="C6498" t="s">
        <v>250</v>
      </c>
      <c r="D6498" t="s">
        <v>6691</v>
      </c>
      <c r="E6498" t="s">
        <v>10</v>
      </c>
    </row>
    <row r="6499" spans="1:5" hidden="1" outlineLevel="1">
      <c r="A6499" s="2">
        <v>0</v>
      </c>
      <c r="B6499" s="26" t="s">
        <v>6692</v>
      </c>
      <c r="C6499" s="27">
        <v>0</v>
      </c>
      <c r="D6499" s="27">
        <v>0</v>
      </c>
      <c r="E6499" s="27">
        <v>0</v>
      </c>
    </row>
    <row r="6500" spans="1:5" hidden="1" outlineLevel="2">
      <c r="A6500" s="3" t="e">
        <f>(HYPERLINK("http://www.autodoc.ru/Web/price/art/6293ACCCMVWZ2R?analog=on","6293ACCCMVWZ2R"))*1</f>
        <v>#VALUE!</v>
      </c>
      <c r="B6500" s="1">
        <v>6961884</v>
      </c>
      <c r="C6500" t="s">
        <v>366</v>
      </c>
      <c r="D6500" t="s">
        <v>6693</v>
      </c>
      <c r="E6500" t="s">
        <v>8</v>
      </c>
    </row>
    <row r="6501" spans="1:5" hidden="1" outlineLevel="2">
      <c r="A6501" s="3" t="e">
        <f>(HYPERLINK("http://www.autodoc.ru/Web/price/art/6293AGNMVWZ1R?analog=on","6293AGNMVWZ1R"))*1</f>
        <v>#VALUE!</v>
      </c>
      <c r="B6501" s="1">
        <v>6962793</v>
      </c>
      <c r="C6501" t="s">
        <v>366</v>
      </c>
      <c r="D6501" t="s">
        <v>6694</v>
      </c>
      <c r="E6501" t="s">
        <v>8</v>
      </c>
    </row>
    <row r="6502" spans="1:5" hidden="1" outlineLevel="2">
      <c r="A6502" s="3" t="e">
        <f>(HYPERLINK("http://www.autodoc.ru/Web/price/art/6293BGNHAJ?analog=on","6293BGNHAJ"))*1</f>
        <v>#VALUE!</v>
      </c>
      <c r="B6502" s="1">
        <v>6997680</v>
      </c>
      <c r="C6502" t="s">
        <v>366</v>
      </c>
      <c r="D6502" t="s">
        <v>6695</v>
      </c>
      <c r="E6502" t="s">
        <v>23</v>
      </c>
    </row>
    <row r="6503" spans="1:5" hidden="1" outlineLevel="2">
      <c r="A6503" s="3" t="e">
        <f>(HYPERLINK("http://www.autodoc.ru/Web/price/art/6293BGDEWZ?analog=on","6293BGDEWZ"))*1</f>
        <v>#VALUE!</v>
      </c>
      <c r="B6503" s="1">
        <v>6997682</v>
      </c>
      <c r="C6503" t="s">
        <v>366</v>
      </c>
      <c r="D6503" t="s">
        <v>6696</v>
      </c>
      <c r="E6503" t="s">
        <v>23</v>
      </c>
    </row>
    <row r="6504" spans="1:5" hidden="1" outlineLevel="2">
      <c r="A6504" s="3" t="e">
        <f>(HYPERLINK("http://www.autodoc.ru/Web/price/art/6293BGNEWZ?analog=on","6293BGNEWZ"))*1</f>
        <v>#VALUE!</v>
      </c>
      <c r="B6504" s="1">
        <v>6997679</v>
      </c>
      <c r="C6504" t="s">
        <v>366</v>
      </c>
      <c r="D6504" t="s">
        <v>6697</v>
      </c>
      <c r="E6504" t="s">
        <v>23</v>
      </c>
    </row>
    <row r="6505" spans="1:5" hidden="1" outlineLevel="1">
      <c r="A6505" s="2">
        <v>0</v>
      </c>
      <c r="B6505" s="26" t="s">
        <v>6698</v>
      </c>
      <c r="C6505" s="27">
        <v>0</v>
      </c>
      <c r="D6505" s="27">
        <v>0</v>
      </c>
      <c r="E6505" s="27">
        <v>0</v>
      </c>
    </row>
    <row r="6506" spans="1:5" hidden="1" outlineLevel="2">
      <c r="A6506" s="3" t="e">
        <f>(HYPERLINK("http://www.autodoc.ru/Web/price/art/6243ABZBL?analog=on","6243ABZBL"))*1</f>
        <v>#VALUE!</v>
      </c>
      <c r="B6506" s="1">
        <v>6968203</v>
      </c>
      <c r="C6506" t="s">
        <v>6699</v>
      </c>
      <c r="D6506" t="s">
        <v>6700</v>
      </c>
      <c r="E6506" t="s">
        <v>8</v>
      </c>
    </row>
    <row r="6507" spans="1:5" hidden="1" outlineLevel="2">
      <c r="A6507" s="3" t="e">
        <f>(HYPERLINK("http://www.autodoc.ru/Web/price/art/6243ACL?analog=on","6243ACL"))*1</f>
        <v>#VALUE!</v>
      </c>
      <c r="B6507" s="1">
        <v>6968212</v>
      </c>
      <c r="C6507" t="s">
        <v>6699</v>
      </c>
      <c r="D6507" t="s">
        <v>6701</v>
      </c>
      <c r="E6507" t="s">
        <v>8</v>
      </c>
    </row>
    <row r="6508" spans="1:5" hidden="1" outlineLevel="2">
      <c r="A6508" s="3" t="e">
        <f>(HYPERLINK("http://www.autodoc.ru/Web/price/art/6243AGNBL?analog=on","6243AGNBL"))*1</f>
        <v>#VALUE!</v>
      </c>
      <c r="B6508" s="1">
        <v>6968231</v>
      </c>
      <c r="C6508" t="s">
        <v>6699</v>
      </c>
      <c r="D6508" t="s">
        <v>6702</v>
      </c>
      <c r="E6508" t="s">
        <v>8</v>
      </c>
    </row>
    <row r="6509" spans="1:5" hidden="1" outlineLevel="2">
      <c r="A6509" s="3" t="e">
        <f>(HYPERLINK("http://www.autodoc.ru/Web/price/art/6243ASRH?analog=on","6243ASRH"))*1</f>
        <v>#VALUE!</v>
      </c>
      <c r="B6509" s="1">
        <v>6100387</v>
      </c>
      <c r="C6509" t="s">
        <v>19</v>
      </c>
      <c r="D6509" t="s">
        <v>6703</v>
      </c>
      <c r="E6509" t="s">
        <v>21</v>
      </c>
    </row>
    <row r="6510" spans="1:5" hidden="1" outlineLevel="1">
      <c r="A6510" s="2">
        <v>0</v>
      </c>
      <c r="B6510" s="26" t="s">
        <v>6704</v>
      </c>
      <c r="C6510" s="27">
        <v>0</v>
      </c>
      <c r="D6510" s="27">
        <v>0</v>
      </c>
      <c r="E6510" s="27">
        <v>0</v>
      </c>
    </row>
    <row r="6511" spans="1:5" hidden="1" outlineLevel="2">
      <c r="A6511" s="3" t="e">
        <f>(HYPERLINK("http://www.autodoc.ru/Web/price/art/6247ABZBL?analog=on","6247ABZBL"))*1</f>
        <v>#VALUE!</v>
      </c>
      <c r="B6511" s="1">
        <v>6968196</v>
      </c>
      <c r="C6511" t="s">
        <v>180</v>
      </c>
      <c r="D6511" t="s">
        <v>6705</v>
      </c>
      <c r="E6511" t="s">
        <v>8</v>
      </c>
    </row>
    <row r="6512" spans="1:5" hidden="1" outlineLevel="2">
      <c r="A6512" s="3" t="e">
        <f>(HYPERLINK("http://www.autodoc.ru/Web/price/art/6247ACL?analog=on","6247ACL"))*1</f>
        <v>#VALUE!</v>
      </c>
      <c r="B6512" s="1">
        <v>6968198</v>
      </c>
      <c r="C6512" t="s">
        <v>180</v>
      </c>
      <c r="D6512" t="s">
        <v>6706</v>
      </c>
      <c r="E6512" t="s">
        <v>8</v>
      </c>
    </row>
    <row r="6513" spans="1:5" hidden="1" outlineLevel="2">
      <c r="A6513" s="3" t="e">
        <f>(HYPERLINK("http://www.autodoc.ru/Web/price/art/6247AGNBL?analog=on","6247AGNBL"))*1</f>
        <v>#VALUE!</v>
      </c>
      <c r="B6513" s="1">
        <v>6968199</v>
      </c>
      <c r="C6513" t="s">
        <v>180</v>
      </c>
      <c r="D6513" t="s">
        <v>6707</v>
      </c>
      <c r="E6513" t="s">
        <v>8</v>
      </c>
    </row>
    <row r="6514" spans="1:5" hidden="1" outlineLevel="2">
      <c r="A6514" s="3" t="e">
        <f>(HYPERLINK("http://www.autodoc.ru/Web/price/art/6247ASMH?analog=on","6247ASMH"))*1</f>
        <v>#VALUE!</v>
      </c>
      <c r="B6514" s="1">
        <v>6100145</v>
      </c>
      <c r="C6514" t="s">
        <v>19</v>
      </c>
      <c r="D6514" t="s">
        <v>6708</v>
      </c>
      <c r="E6514" t="s">
        <v>21</v>
      </c>
    </row>
    <row r="6515" spans="1:5" hidden="1" outlineLevel="2">
      <c r="A6515" s="3" t="e">
        <f>(HYPERLINK("http://www.autodoc.ru/Web/price/art/6247BBZH?analog=on","6247BBZH"))*1</f>
        <v>#VALUE!</v>
      </c>
      <c r="B6515" s="1">
        <v>6998906</v>
      </c>
      <c r="C6515" t="s">
        <v>180</v>
      </c>
      <c r="D6515" t="s">
        <v>6709</v>
      </c>
      <c r="E6515" t="s">
        <v>23</v>
      </c>
    </row>
    <row r="6516" spans="1:5" hidden="1" outlineLevel="2">
      <c r="A6516" s="3" t="e">
        <f>(HYPERLINK("http://www.autodoc.ru/Web/price/art/6247BCLE?analog=on","6247BCLE"))*1</f>
        <v>#VALUE!</v>
      </c>
      <c r="B6516" s="1">
        <v>6995068</v>
      </c>
      <c r="C6516" t="s">
        <v>180</v>
      </c>
      <c r="D6516" t="s">
        <v>6710</v>
      </c>
      <c r="E6516" t="s">
        <v>23</v>
      </c>
    </row>
    <row r="6517" spans="1:5" hidden="1" outlineLevel="2">
      <c r="A6517" s="3" t="e">
        <f>(HYPERLINK("http://www.autodoc.ru/Web/price/art/6247BCLH?analog=on","6247BCLH"))*1</f>
        <v>#VALUE!</v>
      </c>
      <c r="B6517" s="1">
        <v>6998907</v>
      </c>
      <c r="C6517" t="s">
        <v>180</v>
      </c>
      <c r="D6517" t="s">
        <v>6711</v>
      </c>
      <c r="E6517" t="s">
        <v>23</v>
      </c>
    </row>
    <row r="6518" spans="1:5" hidden="1" outlineLevel="2">
      <c r="A6518" s="3" t="e">
        <f>(HYPERLINK("http://www.autodoc.ru/Web/price/art/6247BCLH1H?analog=on","6247BCLH1H"))*1</f>
        <v>#VALUE!</v>
      </c>
      <c r="B6518" s="1">
        <v>6998970</v>
      </c>
      <c r="C6518" t="s">
        <v>180</v>
      </c>
      <c r="D6518" t="s">
        <v>6712</v>
      </c>
      <c r="E6518" t="s">
        <v>23</v>
      </c>
    </row>
    <row r="6519" spans="1:5" hidden="1" outlineLevel="2">
      <c r="A6519" s="3" t="e">
        <f>(HYPERLINK("http://www.autodoc.ru/Web/price/art/6247BCLS?analog=on","6247BCLS"))*1</f>
        <v>#VALUE!</v>
      </c>
      <c r="B6519" s="1">
        <v>6998774</v>
      </c>
      <c r="C6519" t="s">
        <v>180</v>
      </c>
      <c r="D6519" t="s">
        <v>6713</v>
      </c>
      <c r="E6519" t="s">
        <v>23</v>
      </c>
    </row>
    <row r="6520" spans="1:5" hidden="1" outlineLevel="2">
      <c r="A6520" s="3" t="e">
        <f>(HYPERLINK("http://www.autodoc.ru/Web/price/art/6247BGNE?analog=on","6247BGNE"))*1</f>
        <v>#VALUE!</v>
      </c>
      <c r="B6520" s="1">
        <v>6995069</v>
      </c>
      <c r="C6520" t="s">
        <v>180</v>
      </c>
      <c r="D6520" t="s">
        <v>6714</v>
      </c>
      <c r="E6520" t="s">
        <v>23</v>
      </c>
    </row>
    <row r="6521" spans="1:5" hidden="1" outlineLevel="2">
      <c r="A6521" s="3" t="e">
        <f>(HYPERLINK("http://www.autodoc.ru/Web/price/art/6247BGNH?analog=on","6247BGNH"))*1</f>
        <v>#VALUE!</v>
      </c>
      <c r="B6521" s="1">
        <v>6998971</v>
      </c>
      <c r="C6521" t="s">
        <v>180</v>
      </c>
      <c r="D6521" t="s">
        <v>6715</v>
      </c>
      <c r="E6521" t="s">
        <v>23</v>
      </c>
    </row>
    <row r="6522" spans="1:5" hidden="1" outlineLevel="2">
      <c r="A6522" s="3" t="e">
        <f>(HYPERLINK("http://www.autodoc.ru/Web/price/art/6247BGNH1H?analog=on","6247BGNH1H"))*1</f>
        <v>#VALUE!</v>
      </c>
      <c r="B6522" s="1">
        <v>6998908</v>
      </c>
      <c r="C6522" t="s">
        <v>180</v>
      </c>
      <c r="D6522" t="s">
        <v>6716</v>
      </c>
      <c r="E6522" t="s">
        <v>23</v>
      </c>
    </row>
    <row r="6523" spans="1:5" hidden="1" outlineLevel="2">
      <c r="A6523" s="3" t="e">
        <f>(HYPERLINK("http://www.autodoc.ru/Web/price/art/6247BGNS?analog=on","6247BGNS"))*1</f>
        <v>#VALUE!</v>
      </c>
      <c r="B6523" s="1">
        <v>6998972</v>
      </c>
      <c r="C6523" t="s">
        <v>180</v>
      </c>
      <c r="D6523" t="s">
        <v>6717</v>
      </c>
      <c r="E6523" t="s">
        <v>23</v>
      </c>
    </row>
    <row r="6524" spans="1:5" hidden="1" outlineLevel="2">
      <c r="A6524" s="3" t="e">
        <f>(HYPERLINK("http://www.autodoc.ru/Web/price/art/6247BSME?analog=on","6247BSME"))*1</f>
        <v>#VALUE!</v>
      </c>
      <c r="B6524" s="1">
        <v>6100146</v>
      </c>
      <c r="C6524" t="s">
        <v>19</v>
      </c>
      <c r="D6524" t="s">
        <v>6718</v>
      </c>
      <c r="E6524" t="s">
        <v>21</v>
      </c>
    </row>
    <row r="6525" spans="1:5" hidden="1" outlineLevel="2">
      <c r="A6525" s="3" t="e">
        <f>(HYPERLINK("http://www.autodoc.ru/Web/price/art/6247BSMH?analog=on","6247BSMH"))*1</f>
        <v>#VALUE!</v>
      </c>
      <c r="B6525" s="1">
        <v>6100147</v>
      </c>
      <c r="C6525" t="s">
        <v>19</v>
      </c>
      <c r="D6525" t="s">
        <v>6719</v>
      </c>
      <c r="E6525" t="s">
        <v>21</v>
      </c>
    </row>
    <row r="6526" spans="1:5" hidden="1" outlineLevel="2">
      <c r="A6526" s="3" t="e">
        <f>(HYPERLINK("http://www.autodoc.ru/Web/price/art/6247LCLE3RQ?analog=on","6247LCLE3RQ"))*1</f>
        <v>#VALUE!</v>
      </c>
      <c r="B6526" s="1">
        <v>6994054</v>
      </c>
      <c r="C6526" t="s">
        <v>180</v>
      </c>
      <c r="D6526" t="s">
        <v>6720</v>
      </c>
      <c r="E6526" t="s">
        <v>10</v>
      </c>
    </row>
    <row r="6527" spans="1:5" hidden="1" outlineLevel="2">
      <c r="A6527" s="3" t="e">
        <f>(HYPERLINK("http://www.autodoc.ru/Web/price/art/6247LCLH3FD?analog=on","6247LCLH3FD"))*1</f>
        <v>#VALUE!</v>
      </c>
      <c r="B6527" s="1">
        <v>6994097</v>
      </c>
      <c r="C6527" t="s">
        <v>180</v>
      </c>
      <c r="D6527" t="s">
        <v>6721</v>
      </c>
      <c r="E6527" t="s">
        <v>10</v>
      </c>
    </row>
    <row r="6528" spans="1:5" hidden="1" outlineLevel="2">
      <c r="A6528" s="3" t="e">
        <f>(HYPERLINK("http://www.autodoc.ru/Web/price/art/6247LCLH3RQ?analog=on","6247LCLH3RQ"))*1</f>
        <v>#VALUE!</v>
      </c>
      <c r="B6528" s="1">
        <v>6995797</v>
      </c>
      <c r="C6528" t="s">
        <v>180</v>
      </c>
      <c r="D6528" t="s">
        <v>6722</v>
      </c>
      <c r="E6528" t="s">
        <v>10</v>
      </c>
    </row>
    <row r="6529" spans="1:5" hidden="1" outlineLevel="2">
      <c r="A6529" s="3" t="e">
        <f>(HYPERLINK("http://www.autodoc.ru/Web/price/art/6247LCLH5FD?analog=on","6247LCLH5FD"))*1</f>
        <v>#VALUE!</v>
      </c>
      <c r="B6529" s="1">
        <v>6995061</v>
      </c>
      <c r="C6529" t="s">
        <v>180</v>
      </c>
      <c r="D6529" t="s">
        <v>6723</v>
      </c>
      <c r="E6529" t="s">
        <v>10</v>
      </c>
    </row>
    <row r="6530" spans="1:5" hidden="1" outlineLevel="2">
      <c r="A6530" s="3" t="e">
        <f>(HYPERLINK("http://www.autodoc.ru/Web/price/art/6247LCLH5RD?analog=on","6247LCLH5RD"))*1</f>
        <v>#VALUE!</v>
      </c>
      <c r="B6530" s="1">
        <v>6995798</v>
      </c>
      <c r="C6530" t="s">
        <v>180</v>
      </c>
      <c r="D6530" t="s">
        <v>6724</v>
      </c>
      <c r="E6530" t="s">
        <v>10</v>
      </c>
    </row>
    <row r="6531" spans="1:5" hidden="1" outlineLevel="2">
      <c r="A6531" s="3" t="e">
        <f>(HYPERLINK("http://www.autodoc.ru/Web/price/art/6247LCLH5RV?analog=on","6247LCLH5RV"))*1</f>
        <v>#VALUE!</v>
      </c>
      <c r="B6531" s="1">
        <v>6996231</v>
      </c>
      <c r="C6531" t="s">
        <v>180</v>
      </c>
      <c r="D6531" t="s">
        <v>6725</v>
      </c>
      <c r="E6531" t="s">
        <v>10</v>
      </c>
    </row>
    <row r="6532" spans="1:5" hidden="1" outlineLevel="2">
      <c r="A6532" s="3" t="e">
        <f>(HYPERLINK("http://www.autodoc.ru/Web/price/art/6247LCLS4RV?analog=on","6247LCLS4RV"))*1</f>
        <v>#VALUE!</v>
      </c>
      <c r="B6532" s="1">
        <v>6996829</v>
      </c>
      <c r="C6532" t="s">
        <v>180</v>
      </c>
      <c r="D6532" t="s">
        <v>6726</v>
      </c>
      <c r="E6532" t="s">
        <v>10</v>
      </c>
    </row>
    <row r="6533" spans="1:5" hidden="1" outlineLevel="2">
      <c r="A6533" s="3" t="e">
        <f>(HYPERLINK("http://www.autodoc.ru/Web/price/art/6247LGNE5RD?analog=on","6247LGNE5RD"))*1</f>
        <v>#VALUE!</v>
      </c>
      <c r="B6533" s="1">
        <v>6996836</v>
      </c>
      <c r="C6533" t="s">
        <v>180</v>
      </c>
      <c r="D6533" t="s">
        <v>6727</v>
      </c>
      <c r="E6533" t="s">
        <v>10</v>
      </c>
    </row>
    <row r="6534" spans="1:5" hidden="1" outlineLevel="2">
      <c r="A6534" s="3" t="e">
        <f>(HYPERLINK("http://www.autodoc.ru/Web/price/art/6247LGNH3FD?analog=on","6247LGNH3FD"))*1</f>
        <v>#VALUE!</v>
      </c>
      <c r="B6534" s="1">
        <v>6995044</v>
      </c>
      <c r="C6534" t="s">
        <v>180</v>
      </c>
      <c r="D6534" t="s">
        <v>6728</v>
      </c>
      <c r="E6534" t="s">
        <v>10</v>
      </c>
    </row>
    <row r="6535" spans="1:5" hidden="1" outlineLevel="2">
      <c r="A6535" s="3" t="e">
        <f>(HYPERLINK("http://www.autodoc.ru/Web/price/art/6247LGNH3RQ?analog=on","6247LGNH3RQ"))*1</f>
        <v>#VALUE!</v>
      </c>
      <c r="B6535" s="1">
        <v>6995801</v>
      </c>
      <c r="C6535" t="s">
        <v>180</v>
      </c>
      <c r="D6535" t="s">
        <v>6729</v>
      </c>
      <c r="E6535" t="s">
        <v>10</v>
      </c>
    </row>
    <row r="6536" spans="1:5" hidden="1" outlineLevel="2">
      <c r="A6536" s="3" t="e">
        <f>(HYPERLINK("http://www.autodoc.ru/Web/price/art/6247LGNH5FD?analog=on","6247LGNH5FD"))*1</f>
        <v>#VALUE!</v>
      </c>
      <c r="B6536" s="1">
        <v>6995066</v>
      </c>
      <c r="C6536" t="s">
        <v>180</v>
      </c>
      <c r="D6536" t="s">
        <v>6730</v>
      </c>
      <c r="E6536" t="s">
        <v>10</v>
      </c>
    </row>
    <row r="6537" spans="1:5" hidden="1" outlineLevel="2">
      <c r="A6537" s="3" t="e">
        <f>(HYPERLINK("http://www.autodoc.ru/Web/price/art/6247LGNH5RD?analog=on","6247LGNH5RD"))*1</f>
        <v>#VALUE!</v>
      </c>
      <c r="B6537" s="1">
        <v>6996839</v>
      </c>
      <c r="C6537" t="s">
        <v>180</v>
      </c>
      <c r="D6537" t="s">
        <v>6731</v>
      </c>
      <c r="E6537" t="s">
        <v>10</v>
      </c>
    </row>
    <row r="6538" spans="1:5" hidden="1" outlineLevel="2">
      <c r="A6538" s="3" t="e">
        <f>(HYPERLINK("http://www.autodoc.ru/Web/price/art/6247LGNH5RV?analog=on","6247LGNH5RV"))*1</f>
        <v>#VALUE!</v>
      </c>
      <c r="B6538" s="1">
        <v>6996233</v>
      </c>
      <c r="C6538" t="s">
        <v>180</v>
      </c>
      <c r="D6538" t="s">
        <v>6732</v>
      </c>
      <c r="E6538" t="s">
        <v>10</v>
      </c>
    </row>
    <row r="6539" spans="1:5" hidden="1" outlineLevel="2">
      <c r="A6539" s="3" t="e">
        <f>(HYPERLINK("http://www.autodoc.ru/Web/price/art/6247LGNS4RD?analog=on","6247LGNS4RD"))*1</f>
        <v>#VALUE!</v>
      </c>
      <c r="B6539" s="1">
        <v>6996840</v>
      </c>
      <c r="C6539" t="s">
        <v>180</v>
      </c>
      <c r="D6539" t="s">
        <v>6733</v>
      </c>
      <c r="E6539" t="s">
        <v>10</v>
      </c>
    </row>
    <row r="6540" spans="1:5" hidden="1" outlineLevel="2">
      <c r="A6540" s="3" t="e">
        <f>(HYPERLINK("http://www.autodoc.ru/Web/price/art/6247LGNS4RV?analog=on","6247LGNS4RV"))*1</f>
        <v>#VALUE!</v>
      </c>
      <c r="B6540" s="1">
        <v>6996841</v>
      </c>
      <c r="C6540" t="s">
        <v>180</v>
      </c>
      <c r="D6540" t="s">
        <v>6734</v>
      </c>
      <c r="E6540" t="s">
        <v>10</v>
      </c>
    </row>
    <row r="6541" spans="1:5" hidden="1" outlineLevel="2">
      <c r="A6541" s="3" t="e">
        <f>(HYPERLINK("http://www.autodoc.ru/Web/price/art/6247RCLE3RQ?analog=on","6247RCLE3RQ"))*1</f>
        <v>#VALUE!</v>
      </c>
      <c r="B6541" s="1">
        <v>6996830</v>
      </c>
      <c r="C6541" t="s">
        <v>180</v>
      </c>
      <c r="D6541" t="s">
        <v>6735</v>
      </c>
      <c r="E6541" t="s">
        <v>10</v>
      </c>
    </row>
    <row r="6542" spans="1:5" hidden="1" outlineLevel="2">
      <c r="A6542" s="3" t="e">
        <f>(HYPERLINK("http://www.autodoc.ru/Web/price/art/6247RCLE5RV?analog=on","6247RCLE5RV"))*1</f>
        <v>#VALUE!</v>
      </c>
      <c r="B6542" s="1">
        <v>6996832</v>
      </c>
      <c r="C6542" t="s">
        <v>180</v>
      </c>
      <c r="D6542" t="s">
        <v>6736</v>
      </c>
      <c r="E6542" t="s">
        <v>10</v>
      </c>
    </row>
    <row r="6543" spans="1:5" hidden="1" outlineLevel="2">
      <c r="A6543" s="3" t="e">
        <f>(HYPERLINK("http://www.autodoc.ru/Web/price/art/6247RCLH3FD?analog=on","6247RCLH3FD"))*1</f>
        <v>#VALUE!</v>
      </c>
      <c r="B6543" s="1">
        <v>6994098</v>
      </c>
      <c r="C6543" t="s">
        <v>180</v>
      </c>
      <c r="D6543" t="s">
        <v>6737</v>
      </c>
      <c r="E6543" t="s">
        <v>10</v>
      </c>
    </row>
    <row r="6544" spans="1:5" hidden="1" outlineLevel="2">
      <c r="A6544" s="3" t="e">
        <f>(HYPERLINK("http://www.autodoc.ru/Web/price/art/6247RCLH3RQ?analog=on","6247RCLH3RQ"))*1</f>
        <v>#VALUE!</v>
      </c>
      <c r="B6544" s="1">
        <v>6995799</v>
      </c>
      <c r="C6544" t="s">
        <v>180</v>
      </c>
      <c r="D6544" t="s">
        <v>6738</v>
      </c>
      <c r="E6544" t="s">
        <v>10</v>
      </c>
    </row>
    <row r="6545" spans="1:5" hidden="1" outlineLevel="2">
      <c r="A6545" s="3" t="e">
        <f>(HYPERLINK("http://www.autodoc.ru/Web/price/art/6247RCLH5FD?analog=on","6247RCLH5FD"))*1</f>
        <v>#VALUE!</v>
      </c>
      <c r="B6545" s="1">
        <v>6995062</v>
      </c>
      <c r="C6545" t="s">
        <v>180</v>
      </c>
      <c r="D6545" t="s">
        <v>6739</v>
      </c>
      <c r="E6545" t="s">
        <v>10</v>
      </c>
    </row>
    <row r="6546" spans="1:5" hidden="1" outlineLevel="2">
      <c r="A6546" s="3" t="e">
        <f>(HYPERLINK("http://www.autodoc.ru/Web/price/art/6247RCLH5RD?analog=on","6247RCLH5RD"))*1</f>
        <v>#VALUE!</v>
      </c>
      <c r="B6546" s="1">
        <v>6995800</v>
      </c>
      <c r="C6546" t="s">
        <v>180</v>
      </c>
      <c r="D6546" t="s">
        <v>6740</v>
      </c>
      <c r="E6546" t="s">
        <v>10</v>
      </c>
    </row>
    <row r="6547" spans="1:5" hidden="1" outlineLevel="2">
      <c r="A6547" s="3" t="e">
        <f>(HYPERLINK("http://www.autodoc.ru/Web/price/art/6247RCLH5RV?analog=on","6247RCLH5RV"))*1</f>
        <v>#VALUE!</v>
      </c>
      <c r="B6547" s="1">
        <v>6996232</v>
      </c>
      <c r="C6547" t="s">
        <v>180</v>
      </c>
      <c r="D6547" t="s">
        <v>6741</v>
      </c>
      <c r="E6547" t="s">
        <v>10</v>
      </c>
    </row>
    <row r="6548" spans="1:5" hidden="1" outlineLevel="2">
      <c r="A6548" s="3" t="e">
        <f>(HYPERLINK("http://www.autodoc.ru/Web/price/art/6247RCLS4RV?analog=on","6247RCLS4RV"))*1</f>
        <v>#VALUE!</v>
      </c>
      <c r="B6548" s="1">
        <v>6996834</v>
      </c>
      <c r="C6548" t="s">
        <v>180</v>
      </c>
      <c r="D6548" t="s">
        <v>6742</v>
      </c>
      <c r="E6548" t="s">
        <v>10</v>
      </c>
    </row>
    <row r="6549" spans="1:5" hidden="1" outlineLevel="2">
      <c r="A6549" s="3" t="e">
        <f>(HYPERLINK("http://www.autodoc.ru/Web/price/art/6247RGNE5RD?analog=on","6247RGNE5RD"))*1</f>
        <v>#VALUE!</v>
      </c>
      <c r="B6549" s="1">
        <v>6996843</v>
      </c>
      <c r="C6549" t="s">
        <v>180</v>
      </c>
      <c r="D6549" t="s">
        <v>6743</v>
      </c>
      <c r="E6549" t="s">
        <v>10</v>
      </c>
    </row>
    <row r="6550" spans="1:5" hidden="1" outlineLevel="2">
      <c r="A6550" s="3" t="e">
        <f>(HYPERLINK("http://www.autodoc.ru/Web/price/art/6247RGNE5RV?analog=on","6247RGNE5RV"))*1</f>
        <v>#VALUE!</v>
      </c>
      <c r="B6550" s="1">
        <v>6996844</v>
      </c>
      <c r="C6550" t="s">
        <v>180</v>
      </c>
      <c r="D6550" t="s">
        <v>6744</v>
      </c>
      <c r="E6550" t="s">
        <v>10</v>
      </c>
    </row>
    <row r="6551" spans="1:5" hidden="1" outlineLevel="2">
      <c r="A6551" s="3" t="e">
        <f>(HYPERLINK("http://www.autodoc.ru/Web/price/art/6247RGNH3FD?analog=on","6247RGNH3FD"))*1</f>
        <v>#VALUE!</v>
      </c>
      <c r="B6551" s="1">
        <v>6995045</v>
      </c>
      <c r="C6551" t="s">
        <v>180</v>
      </c>
      <c r="D6551" t="s">
        <v>6745</v>
      </c>
      <c r="E6551" t="s">
        <v>10</v>
      </c>
    </row>
    <row r="6552" spans="1:5" hidden="1" outlineLevel="2">
      <c r="A6552" s="3" t="e">
        <f>(HYPERLINK("http://www.autodoc.ru/Web/price/art/6247RGNH3RQ?analog=on","6247RGNH3RQ"))*1</f>
        <v>#VALUE!</v>
      </c>
      <c r="B6552" s="1">
        <v>6995805</v>
      </c>
      <c r="C6552" t="s">
        <v>180</v>
      </c>
      <c r="D6552" t="s">
        <v>6746</v>
      </c>
      <c r="E6552" t="s">
        <v>10</v>
      </c>
    </row>
    <row r="6553" spans="1:5" hidden="1" outlineLevel="2">
      <c r="A6553" s="3" t="e">
        <f>(HYPERLINK("http://www.autodoc.ru/Web/price/art/6247RGNH5FD?analog=on","6247RGNH5FD"))*1</f>
        <v>#VALUE!</v>
      </c>
      <c r="B6553" s="1">
        <v>6995067</v>
      </c>
      <c r="C6553" t="s">
        <v>180</v>
      </c>
      <c r="D6553" t="s">
        <v>6747</v>
      </c>
      <c r="E6553" t="s">
        <v>10</v>
      </c>
    </row>
    <row r="6554" spans="1:5" hidden="1" outlineLevel="2">
      <c r="A6554" s="3" t="e">
        <f>(HYPERLINK("http://www.autodoc.ru/Web/price/art/6247RGNH5RD?analog=on","6247RGNH5RD"))*1</f>
        <v>#VALUE!</v>
      </c>
      <c r="B6554" s="1">
        <v>6996846</v>
      </c>
      <c r="C6554" t="s">
        <v>180</v>
      </c>
      <c r="D6554" t="s">
        <v>6748</v>
      </c>
      <c r="E6554" t="s">
        <v>10</v>
      </c>
    </row>
    <row r="6555" spans="1:5" hidden="1" outlineLevel="2">
      <c r="A6555" s="3" t="e">
        <f>(HYPERLINK("http://www.autodoc.ru/Web/price/art/6247RGNH5RV?analog=on","6247RGNH5RV"))*1</f>
        <v>#VALUE!</v>
      </c>
      <c r="B6555" s="1">
        <v>6996234</v>
      </c>
      <c r="C6555" t="s">
        <v>180</v>
      </c>
      <c r="D6555" t="s">
        <v>6749</v>
      </c>
      <c r="E6555" t="s">
        <v>10</v>
      </c>
    </row>
    <row r="6556" spans="1:5" hidden="1" outlineLevel="2">
      <c r="A6556" s="3" t="e">
        <f>(HYPERLINK("http://www.autodoc.ru/Web/price/art/6247RGNS4RD?analog=on","6247RGNS4RD"))*1</f>
        <v>#VALUE!</v>
      </c>
      <c r="B6556" s="1">
        <v>6996847</v>
      </c>
      <c r="C6556" t="s">
        <v>180</v>
      </c>
      <c r="D6556" t="s">
        <v>6750</v>
      </c>
      <c r="E6556" t="s">
        <v>10</v>
      </c>
    </row>
    <row r="6557" spans="1:5" hidden="1" outlineLevel="2">
      <c r="A6557" s="3" t="e">
        <f>(HYPERLINK("http://www.autodoc.ru/Web/price/art/6247RGNS4RV?analog=on","6247RGNS4RV"))*1</f>
        <v>#VALUE!</v>
      </c>
      <c r="B6557" s="1">
        <v>6996848</v>
      </c>
      <c r="C6557" t="s">
        <v>180</v>
      </c>
      <c r="D6557" t="s">
        <v>6751</v>
      </c>
      <c r="E6557" t="s">
        <v>10</v>
      </c>
    </row>
    <row r="6558" spans="1:5" hidden="1" outlineLevel="1">
      <c r="A6558" s="2">
        <v>0</v>
      </c>
      <c r="B6558" s="26" t="s">
        <v>6752</v>
      </c>
      <c r="C6558" s="27">
        <v>0</v>
      </c>
      <c r="D6558" s="27">
        <v>0</v>
      </c>
      <c r="E6558" s="27">
        <v>0</v>
      </c>
    </row>
    <row r="6559" spans="1:5" hidden="1" outlineLevel="2">
      <c r="A6559" s="3" t="e">
        <f>(HYPERLINK("http://www.autodoc.ru/Web/price/art/6288AGSBLV?analog=on","6288AGSBLV"))*1</f>
        <v>#VALUE!</v>
      </c>
      <c r="B6559" s="1">
        <v>6960962</v>
      </c>
      <c r="C6559" t="s">
        <v>670</v>
      </c>
      <c r="D6559" t="s">
        <v>6753</v>
      </c>
      <c r="E6559" t="s">
        <v>8</v>
      </c>
    </row>
    <row r="6560" spans="1:5" hidden="1" outlineLevel="2">
      <c r="A6560" s="3" t="e">
        <f>(HYPERLINK("http://www.autodoc.ru/Web/price/art/6288AGSV?analog=on","6288AGSV"))*1</f>
        <v>#VALUE!</v>
      </c>
      <c r="B6560" s="1">
        <v>6960961</v>
      </c>
      <c r="C6560" t="s">
        <v>670</v>
      </c>
      <c r="D6560" t="s">
        <v>6754</v>
      </c>
      <c r="E6560" t="s">
        <v>8</v>
      </c>
    </row>
    <row r="6561" spans="1:5" hidden="1" outlineLevel="2">
      <c r="A6561" s="3" t="e">
        <f>(HYPERLINK("http://www.autodoc.ru/Web/price/art/6288ASMVT?analog=on","6288ASMVT"))*1</f>
        <v>#VALUE!</v>
      </c>
      <c r="B6561" s="1">
        <v>6101557</v>
      </c>
      <c r="C6561" t="s">
        <v>19</v>
      </c>
      <c r="D6561" t="s">
        <v>6755</v>
      </c>
      <c r="E6561" t="s">
        <v>21</v>
      </c>
    </row>
    <row r="6562" spans="1:5" hidden="1" outlineLevel="2">
      <c r="A6562" s="3" t="e">
        <f>(HYPERLINK("http://www.autodoc.ru/Web/price/art/6288BGDV?analog=on","6288BGDV"))*1</f>
        <v>#VALUE!</v>
      </c>
      <c r="B6562" s="1">
        <v>6997794</v>
      </c>
      <c r="C6562" t="s">
        <v>670</v>
      </c>
      <c r="D6562" t="s">
        <v>6756</v>
      </c>
      <c r="E6562" t="s">
        <v>23</v>
      </c>
    </row>
    <row r="6563" spans="1:5" hidden="1" outlineLevel="2">
      <c r="A6563" s="3" t="e">
        <f>(HYPERLINK("http://www.autodoc.ru/Web/price/art/6288BGSV?analog=on","6288BGSV"))*1</f>
        <v>#VALUE!</v>
      </c>
      <c r="B6563" s="1">
        <v>6996553</v>
      </c>
      <c r="C6563" t="s">
        <v>670</v>
      </c>
      <c r="D6563" t="s">
        <v>6757</v>
      </c>
      <c r="E6563" t="s">
        <v>23</v>
      </c>
    </row>
    <row r="6564" spans="1:5" hidden="1" outlineLevel="2">
      <c r="A6564" s="3" t="e">
        <f>(HYPERLINK("http://www.autodoc.ru/Web/price/art/6288LGDV5RDW?analog=on","6288LGDV5RDW"))*1</f>
        <v>#VALUE!</v>
      </c>
      <c r="B6564" s="1">
        <v>6997349</v>
      </c>
      <c r="C6564" t="s">
        <v>670</v>
      </c>
      <c r="D6564" t="s">
        <v>6758</v>
      </c>
      <c r="E6564" t="s">
        <v>10</v>
      </c>
    </row>
    <row r="6565" spans="1:5" hidden="1" outlineLevel="2">
      <c r="A6565" s="3" t="e">
        <f>(HYPERLINK("http://www.autodoc.ru/Web/price/art/6288LGSV5FDW?analog=on","6288LGSV5FDW"))*1</f>
        <v>#VALUE!</v>
      </c>
      <c r="B6565" s="1">
        <v>6996268</v>
      </c>
      <c r="C6565" t="s">
        <v>670</v>
      </c>
      <c r="D6565" t="s">
        <v>6759</v>
      </c>
      <c r="E6565" t="s">
        <v>10</v>
      </c>
    </row>
    <row r="6566" spans="1:5" hidden="1" outlineLevel="2">
      <c r="A6566" s="3" t="e">
        <f>(HYPERLINK("http://www.autodoc.ru/Web/price/art/6288LGSV5RDW?analog=on","6288LGSV5RDW"))*1</f>
        <v>#VALUE!</v>
      </c>
      <c r="B6566" s="1">
        <v>6997353</v>
      </c>
      <c r="C6566" t="s">
        <v>670</v>
      </c>
      <c r="D6566" t="s">
        <v>6760</v>
      </c>
      <c r="E6566" t="s">
        <v>10</v>
      </c>
    </row>
    <row r="6567" spans="1:5" hidden="1" outlineLevel="2">
      <c r="A6567" s="3" t="e">
        <f>(HYPERLINK("http://www.autodoc.ru/Web/price/art/6288RGDV5RDW?analog=on","6288RGDV5RDW"))*1</f>
        <v>#VALUE!</v>
      </c>
      <c r="B6567" s="1">
        <v>6997350</v>
      </c>
      <c r="C6567" t="s">
        <v>670</v>
      </c>
      <c r="D6567" t="s">
        <v>6761</v>
      </c>
      <c r="E6567" t="s">
        <v>10</v>
      </c>
    </row>
    <row r="6568" spans="1:5" hidden="1" outlineLevel="2">
      <c r="A6568" s="3" t="e">
        <f>(HYPERLINK("http://www.autodoc.ru/Web/price/art/6288RGSV5FDW?analog=on","6288RGSV5FDW"))*1</f>
        <v>#VALUE!</v>
      </c>
      <c r="B6568" s="1">
        <v>6996096</v>
      </c>
      <c r="C6568" t="s">
        <v>670</v>
      </c>
      <c r="D6568" t="s">
        <v>6762</v>
      </c>
      <c r="E6568" t="s">
        <v>10</v>
      </c>
    </row>
    <row r="6569" spans="1:5" hidden="1" outlineLevel="2">
      <c r="A6569" s="3" t="e">
        <f>(HYPERLINK("http://www.autodoc.ru/Web/price/art/6288RGSV5RDW?analog=on","6288RGSV5RDW"))*1</f>
        <v>#VALUE!</v>
      </c>
      <c r="B6569" s="1">
        <v>6997357</v>
      </c>
      <c r="C6569" t="s">
        <v>670</v>
      </c>
      <c r="D6569" t="s">
        <v>6763</v>
      </c>
      <c r="E6569" t="s">
        <v>10</v>
      </c>
    </row>
    <row r="6570" spans="1:5" hidden="1" outlineLevel="1">
      <c r="A6570" s="2">
        <v>0</v>
      </c>
      <c r="B6570" s="26" t="s">
        <v>6764</v>
      </c>
      <c r="C6570" s="27">
        <v>0</v>
      </c>
      <c r="D6570" s="27">
        <v>0</v>
      </c>
      <c r="E6570" s="27">
        <v>0</v>
      </c>
    </row>
    <row r="6571" spans="1:5" hidden="1" outlineLevel="2">
      <c r="A6571" s="3" t="e">
        <f>(HYPERLINK("http://www.autodoc.ru/Web/price/art/6325AGSMVWZ1P?analog=on","6325AGSMVWZ1P"))*1</f>
        <v>#VALUE!</v>
      </c>
      <c r="B6571" s="1">
        <v>6965273</v>
      </c>
      <c r="C6571" t="s">
        <v>211</v>
      </c>
      <c r="D6571" t="s">
        <v>6765</v>
      </c>
      <c r="E6571" t="s">
        <v>8</v>
      </c>
    </row>
    <row r="6572" spans="1:5" hidden="1" outlineLevel="2">
      <c r="A6572" s="3" t="e">
        <f>(HYPERLINK("http://www.autodoc.ru/Web/price/art/6325AGSVWZ?analog=on","6325AGSVWZ"))*1</f>
        <v>#VALUE!</v>
      </c>
      <c r="B6572" s="1">
        <v>6965212</v>
      </c>
      <c r="C6572" t="s">
        <v>211</v>
      </c>
      <c r="D6572" t="s">
        <v>6766</v>
      </c>
      <c r="E6572" t="s">
        <v>8</v>
      </c>
    </row>
    <row r="6573" spans="1:5" hidden="1" outlineLevel="1">
      <c r="A6573" s="2">
        <v>0</v>
      </c>
      <c r="B6573" s="26" t="s">
        <v>6767</v>
      </c>
      <c r="C6573" s="27">
        <v>0</v>
      </c>
      <c r="D6573" s="27">
        <v>0</v>
      </c>
      <c r="E6573" s="27">
        <v>0</v>
      </c>
    </row>
    <row r="6574" spans="1:5" hidden="1" outlineLevel="2">
      <c r="A6574" s="3" t="e">
        <f>(HYPERLINK("http://www.autodoc.ru/Web/price/art/6262ABL?analog=on","6262ABL"))*1</f>
        <v>#VALUE!</v>
      </c>
      <c r="B6574" s="1">
        <v>6963801</v>
      </c>
      <c r="C6574" t="s">
        <v>968</v>
      </c>
      <c r="D6574" t="s">
        <v>6768</v>
      </c>
      <c r="E6574" t="s">
        <v>8</v>
      </c>
    </row>
    <row r="6575" spans="1:5" hidden="1" outlineLevel="2">
      <c r="A6575" s="3" t="e">
        <f>(HYPERLINK("http://www.autodoc.ru/Web/price/art/6262ABZ?analog=on","6262ABZ"))*1</f>
        <v>#VALUE!</v>
      </c>
      <c r="B6575" s="1">
        <v>6969238</v>
      </c>
      <c r="C6575" t="s">
        <v>968</v>
      </c>
      <c r="D6575" t="s">
        <v>6769</v>
      </c>
      <c r="E6575" t="s">
        <v>8</v>
      </c>
    </row>
    <row r="6576" spans="1:5" hidden="1" outlineLevel="2">
      <c r="A6576" s="3" t="e">
        <f>(HYPERLINK("http://www.autodoc.ru/Web/price/art/6262AGN?analog=on","6262AGN"))*1</f>
        <v>#VALUE!</v>
      </c>
      <c r="B6576" s="1">
        <v>6969240</v>
      </c>
      <c r="C6576" t="s">
        <v>968</v>
      </c>
      <c r="D6576" t="s">
        <v>6770</v>
      </c>
      <c r="E6576" t="s">
        <v>8</v>
      </c>
    </row>
    <row r="6577" spans="1:5" hidden="1" outlineLevel="2">
      <c r="A6577" s="3" t="e">
        <f>(HYPERLINK("http://www.autodoc.ru/Web/price/art/6262AGNBL?analog=on","6262AGNBL"))*1</f>
        <v>#VALUE!</v>
      </c>
      <c r="B6577" s="1">
        <v>6969242</v>
      </c>
      <c r="C6577" t="s">
        <v>968</v>
      </c>
      <c r="D6577" t="s">
        <v>6771</v>
      </c>
      <c r="E6577" t="s">
        <v>8</v>
      </c>
    </row>
    <row r="6578" spans="1:5" hidden="1" outlineLevel="2">
      <c r="A6578" s="3" t="e">
        <f>(HYPERLINK("http://www.autodoc.ru/Web/price/art/6262ASCV?analog=on","6262ASCV"))*1</f>
        <v>#VALUE!</v>
      </c>
      <c r="B6578" s="1">
        <v>6102369</v>
      </c>
      <c r="C6578" t="s">
        <v>19</v>
      </c>
      <c r="D6578" t="s">
        <v>6772</v>
      </c>
      <c r="E6578" t="s">
        <v>21</v>
      </c>
    </row>
    <row r="6579" spans="1:5" hidden="1" outlineLevel="2">
      <c r="A6579" s="3" t="e">
        <f>(HYPERLINK("http://www.autodoc.ru/Web/price/art/6262ASMRT?analog=on","6262ASMRT"))*1</f>
        <v>#VALUE!</v>
      </c>
      <c r="B6579" s="1">
        <v>6101204</v>
      </c>
      <c r="C6579" t="s">
        <v>19</v>
      </c>
      <c r="D6579" t="s">
        <v>6773</v>
      </c>
      <c r="E6579" t="s">
        <v>21</v>
      </c>
    </row>
    <row r="6580" spans="1:5" hidden="1" outlineLevel="2">
      <c r="A6580" s="3" t="e">
        <f>(HYPERLINK("http://www.autodoc.ru/Web/price/art/6262LBZR5RV?analog=on","6262LBZR5RV"))*1</f>
        <v>#VALUE!</v>
      </c>
      <c r="B6580" s="1">
        <v>6995819</v>
      </c>
      <c r="C6580" t="s">
        <v>968</v>
      </c>
      <c r="D6580" t="s">
        <v>6774</v>
      </c>
      <c r="E6580" t="s">
        <v>10</v>
      </c>
    </row>
    <row r="6581" spans="1:5" hidden="1" outlineLevel="1">
      <c r="A6581" s="2">
        <v>0</v>
      </c>
      <c r="B6581" s="26" t="s">
        <v>6775</v>
      </c>
      <c r="C6581" s="27">
        <v>0</v>
      </c>
      <c r="D6581" s="27">
        <v>0</v>
      </c>
      <c r="E6581" s="27">
        <v>0</v>
      </c>
    </row>
    <row r="6582" spans="1:5" hidden="1" outlineLevel="2">
      <c r="A6582" s="3" t="e">
        <f>(HYPERLINK("http://www.autodoc.ru/Web/price/art/6296ACC?analog=on","6296ACC"))*1</f>
        <v>#VALUE!</v>
      </c>
      <c r="B6582" s="1">
        <v>6190736</v>
      </c>
      <c r="C6582" t="s">
        <v>4807</v>
      </c>
      <c r="D6582" t="s">
        <v>6776</v>
      </c>
      <c r="E6582" t="s">
        <v>8</v>
      </c>
    </row>
    <row r="6583" spans="1:5" hidden="1" outlineLevel="2">
      <c r="A6583" s="3" t="e">
        <f>(HYPERLINK("http://www.autodoc.ru/Web/price/art/6296AGN?analog=on","6296AGN"))*1</f>
        <v>#VALUE!</v>
      </c>
      <c r="B6583" s="1">
        <v>6190713</v>
      </c>
      <c r="C6583" t="s">
        <v>1721</v>
      </c>
      <c r="D6583" t="s">
        <v>6777</v>
      </c>
      <c r="E6583" t="s">
        <v>8</v>
      </c>
    </row>
    <row r="6584" spans="1:5" hidden="1" outlineLevel="1">
      <c r="A6584" s="2">
        <v>0</v>
      </c>
      <c r="B6584" s="26" t="s">
        <v>6778</v>
      </c>
      <c r="C6584" s="27">
        <v>0</v>
      </c>
      <c r="D6584" s="27">
        <v>0</v>
      </c>
      <c r="E6584" s="27">
        <v>0</v>
      </c>
    </row>
    <row r="6585" spans="1:5" hidden="1" outlineLevel="2">
      <c r="A6585" s="3" t="e">
        <f>(HYPERLINK("http://www.autodoc.ru/Web/price/art/6252ACL?analog=on","6252ACL"))*1</f>
        <v>#VALUE!</v>
      </c>
      <c r="B6585" s="1">
        <v>6968194</v>
      </c>
      <c r="C6585" t="s">
        <v>152</v>
      </c>
      <c r="D6585" t="s">
        <v>6779</v>
      </c>
      <c r="E6585" t="s">
        <v>8</v>
      </c>
    </row>
    <row r="6586" spans="1:5" hidden="1" outlineLevel="2">
      <c r="A6586" s="3" t="e">
        <f>(HYPERLINK("http://www.autodoc.ru/Web/price/art/6252ACLA?analog=on","6252ACLA"))*1</f>
        <v>#VALUE!</v>
      </c>
      <c r="B6586" s="1">
        <v>6968192</v>
      </c>
      <c r="C6586" t="s">
        <v>152</v>
      </c>
      <c r="D6586" t="s">
        <v>6780</v>
      </c>
      <c r="E6586" t="s">
        <v>8</v>
      </c>
    </row>
    <row r="6587" spans="1:5" hidden="1" outlineLevel="2">
      <c r="A6587" s="3" t="e">
        <f>(HYPERLINK("http://www.autodoc.ru/Web/price/art/6252AGNBL?analog=on","6252AGNBL"))*1</f>
        <v>#VALUE!</v>
      </c>
      <c r="B6587" s="1">
        <v>6968195</v>
      </c>
      <c r="C6587" t="s">
        <v>152</v>
      </c>
      <c r="D6587" t="s">
        <v>6781</v>
      </c>
      <c r="E6587" t="s">
        <v>8</v>
      </c>
    </row>
    <row r="6588" spans="1:5" hidden="1" outlineLevel="2">
      <c r="A6588" s="3" t="e">
        <f>(HYPERLINK("http://www.autodoc.ru/Web/price/art/6252AGNBLA?analog=on","6252AGNBLA"))*1</f>
        <v>#VALUE!</v>
      </c>
      <c r="B6588" s="1">
        <v>6968193</v>
      </c>
      <c r="C6588" t="s">
        <v>152</v>
      </c>
      <c r="D6588" t="s">
        <v>6782</v>
      </c>
      <c r="E6588" t="s">
        <v>8</v>
      </c>
    </row>
    <row r="6589" spans="1:5" hidden="1" outlineLevel="2">
      <c r="A6589" s="3" t="e">
        <f>(HYPERLINK("http://www.autodoc.ru/Web/price/art/6252ASMS?analog=on","6252ASMS"))*1</f>
        <v>#VALUE!</v>
      </c>
      <c r="B6589" s="1">
        <v>6100149</v>
      </c>
      <c r="C6589" t="s">
        <v>19</v>
      </c>
      <c r="D6589" t="s">
        <v>6783</v>
      </c>
      <c r="E6589" t="s">
        <v>21</v>
      </c>
    </row>
    <row r="6590" spans="1:5" hidden="1" outlineLevel="2">
      <c r="A6590" s="3" t="e">
        <f>(HYPERLINK("http://www.autodoc.ru/Web/price/art/6252BCLE?analog=on","6252BCLE"))*1</f>
        <v>#VALUE!</v>
      </c>
      <c r="B6590" s="1">
        <v>6998663</v>
      </c>
      <c r="C6590" t="s">
        <v>152</v>
      </c>
      <c r="D6590" t="s">
        <v>6784</v>
      </c>
      <c r="E6590" t="s">
        <v>23</v>
      </c>
    </row>
    <row r="6591" spans="1:5" hidden="1" outlineLevel="2">
      <c r="A6591" s="3" t="e">
        <f>(HYPERLINK("http://www.autodoc.ru/Web/price/art/6252BCLS?analog=on","6252BCLS"))*1</f>
        <v>#VALUE!</v>
      </c>
      <c r="B6591" s="1">
        <v>6998974</v>
      </c>
      <c r="C6591" t="s">
        <v>152</v>
      </c>
      <c r="D6591" t="s">
        <v>6785</v>
      </c>
      <c r="E6591" t="s">
        <v>23</v>
      </c>
    </row>
    <row r="6592" spans="1:5" hidden="1" outlineLevel="2">
      <c r="A6592" s="3" t="e">
        <f>(HYPERLINK("http://www.autodoc.ru/Web/price/art/6252BGNE?analog=on","6252BGNE"))*1</f>
        <v>#VALUE!</v>
      </c>
      <c r="B6592" s="1">
        <v>6998664</v>
      </c>
      <c r="C6592" t="s">
        <v>152</v>
      </c>
      <c r="D6592" t="s">
        <v>6786</v>
      </c>
      <c r="E6592" t="s">
        <v>23</v>
      </c>
    </row>
    <row r="6593" spans="1:5" hidden="1" outlineLevel="2">
      <c r="A6593" s="3" t="e">
        <f>(HYPERLINK("http://www.autodoc.ru/Web/price/art/6252BGNS?analog=on","6252BGNS"))*1</f>
        <v>#VALUE!</v>
      </c>
      <c r="B6593" s="1">
        <v>6998775</v>
      </c>
      <c r="C6593" t="s">
        <v>152</v>
      </c>
      <c r="D6593" t="s">
        <v>6787</v>
      </c>
      <c r="E6593" t="s">
        <v>23</v>
      </c>
    </row>
    <row r="6594" spans="1:5" hidden="1" outlineLevel="2">
      <c r="A6594" s="3" t="e">
        <f>(HYPERLINK("http://www.autodoc.ru/Web/price/art/6252BSMS?analog=on","6252BSMS"))*1</f>
        <v>#VALUE!</v>
      </c>
      <c r="B6594" s="1">
        <v>6100151</v>
      </c>
      <c r="C6594" t="s">
        <v>19</v>
      </c>
      <c r="D6594" t="s">
        <v>6788</v>
      </c>
      <c r="E6594" t="s">
        <v>21</v>
      </c>
    </row>
    <row r="6595" spans="1:5" hidden="1" outlineLevel="2">
      <c r="A6595" s="3" t="e">
        <f>(HYPERLINK("http://www.autodoc.ru/Web/price/art/6252LGNS4FD?analog=on","6252LGNS4FD"))*1</f>
        <v>#VALUE!</v>
      </c>
      <c r="B6595" s="1">
        <v>6995440</v>
      </c>
      <c r="C6595" t="s">
        <v>152</v>
      </c>
      <c r="D6595" t="s">
        <v>6789</v>
      </c>
      <c r="E6595" t="s">
        <v>10</v>
      </c>
    </row>
    <row r="6596" spans="1:5" hidden="1" outlineLevel="1">
      <c r="A6596" s="2">
        <v>0</v>
      </c>
      <c r="B6596" s="26" t="s">
        <v>6790</v>
      </c>
      <c r="C6596" s="27">
        <v>0</v>
      </c>
      <c r="D6596" s="27">
        <v>0</v>
      </c>
      <c r="E6596" s="27">
        <v>0</v>
      </c>
    </row>
    <row r="6597" spans="1:5" hidden="1" outlineLevel="2">
      <c r="A6597" s="3" t="e">
        <f>(HYPERLINK("http://www.autodoc.ru/Web/price/art/6261ACCBL1B?analog=on","6261ACCBL1B"))*1</f>
        <v>#VALUE!</v>
      </c>
      <c r="B6597" s="1">
        <v>6960150</v>
      </c>
      <c r="C6597" t="s">
        <v>5213</v>
      </c>
      <c r="D6597" t="s">
        <v>6791</v>
      </c>
      <c r="E6597" t="s">
        <v>8</v>
      </c>
    </row>
    <row r="6598" spans="1:5" hidden="1" outlineLevel="2">
      <c r="A6598" s="3" t="e">
        <f>(HYPERLINK("http://www.autodoc.ru/Web/price/art/6261ACCBLM1B?analog=on","6261ACCBLM1B"))*1</f>
        <v>#VALUE!</v>
      </c>
      <c r="B6598" s="1">
        <v>6960382</v>
      </c>
      <c r="C6598" t="s">
        <v>5213</v>
      </c>
      <c r="D6598" t="s">
        <v>6792</v>
      </c>
      <c r="E6598" t="s">
        <v>8</v>
      </c>
    </row>
    <row r="6599" spans="1:5" hidden="1" outlineLevel="2">
      <c r="A6599" s="3" t="e">
        <f>(HYPERLINK("http://www.autodoc.ru/Web/price/art/6261ACL?analog=on","6261ACL"))*1</f>
        <v>#VALUE!</v>
      </c>
      <c r="B6599" s="1">
        <v>6968233</v>
      </c>
      <c r="C6599" t="s">
        <v>6793</v>
      </c>
      <c r="D6599" t="s">
        <v>6794</v>
      </c>
      <c r="E6599" t="s">
        <v>8</v>
      </c>
    </row>
    <row r="6600" spans="1:5" hidden="1" outlineLevel="2">
      <c r="A6600" s="3" t="e">
        <f>(HYPERLINK("http://www.autodoc.ru/Web/price/art/6261AGNBL1B?analog=on","6261AGNBL1B"))*1</f>
        <v>#VALUE!</v>
      </c>
      <c r="B6600" s="1">
        <v>6968242</v>
      </c>
      <c r="C6600" t="s">
        <v>5213</v>
      </c>
      <c r="D6600" t="s">
        <v>6795</v>
      </c>
      <c r="E6600" t="s">
        <v>8</v>
      </c>
    </row>
    <row r="6601" spans="1:5" hidden="1" outlineLevel="2">
      <c r="A6601" s="3" t="e">
        <f>(HYPERLINK("http://www.autodoc.ru/Web/price/art/6261AGSBLM1B?analog=on","6261AGSBLM1B"))*1</f>
        <v>#VALUE!</v>
      </c>
      <c r="B6601" s="1">
        <v>6960264</v>
      </c>
      <c r="C6601" t="s">
        <v>5213</v>
      </c>
      <c r="D6601" t="s">
        <v>6796</v>
      </c>
      <c r="E6601" t="s">
        <v>8</v>
      </c>
    </row>
    <row r="6602" spans="1:5" hidden="1" outlineLevel="2">
      <c r="A6602" s="3" t="e">
        <f>(HYPERLINK("http://www.autodoc.ru/Web/price/art/6261AKMS?analog=on","6261AKMS"))*1</f>
        <v>#VALUE!</v>
      </c>
      <c r="B6602" s="1">
        <v>6100162</v>
      </c>
      <c r="C6602" t="s">
        <v>19</v>
      </c>
      <c r="D6602" t="s">
        <v>6797</v>
      </c>
      <c r="E6602" t="s">
        <v>21</v>
      </c>
    </row>
    <row r="6603" spans="1:5" hidden="1" outlineLevel="2">
      <c r="A6603" s="3" t="e">
        <f>(HYPERLINK("http://www.autodoc.ru/Web/price/art/6261AKMSO?analog=on","6261AKMSO"))*1</f>
        <v>#VALUE!</v>
      </c>
      <c r="B6603" s="1">
        <v>6101276</v>
      </c>
      <c r="C6603" t="s">
        <v>19</v>
      </c>
      <c r="D6603" t="s">
        <v>6798</v>
      </c>
      <c r="E6603" t="s">
        <v>21</v>
      </c>
    </row>
    <row r="6604" spans="1:5" hidden="1" outlineLevel="2">
      <c r="A6604" s="3" t="e">
        <f>(HYPERLINK("http://www.autodoc.ru/Web/price/art/6261AKMH6A?analog=on","6261AKMH6A"))*1</f>
        <v>#VALUE!</v>
      </c>
      <c r="B6604" s="1">
        <v>6101847</v>
      </c>
      <c r="C6604" t="s">
        <v>19</v>
      </c>
      <c r="D6604" t="s">
        <v>6799</v>
      </c>
      <c r="E6604" t="s">
        <v>21</v>
      </c>
    </row>
    <row r="6605" spans="1:5" hidden="1" outlineLevel="2">
      <c r="A6605" s="3" t="e">
        <f>(HYPERLINK("http://www.autodoc.ru/Web/price/art/6261ASMS?analog=on","6261ASMS"))*1</f>
        <v>#VALUE!</v>
      </c>
      <c r="B6605" s="1">
        <v>6100163</v>
      </c>
      <c r="C6605" t="s">
        <v>19</v>
      </c>
      <c r="D6605" t="s">
        <v>6800</v>
      </c>
      <c r="E6605" t="s">
        <v>21</v>
      </c>
    </row>
    <row r="6606" spans="1:5" hidden="1" outlineLevel="2">
      <c r="A6606" s="3" t="e">
        <f>(HYPERLINK("http://www.autodoc.ru/Web/price/art/6261ASMSB?analog=on","6261ASMSB"))*1</f>
        <v>#VALUE!</v>
      </c>
      <c r="B6606" s="1">
        <v>6100164</v>
      </c>
      <c r="C6606" t="s">
        <v>19</v>
      </c>
      <c r="D6606" t="s">
        <v>6801</v>
      </c>
      <c r="E6606" t="s">
        <v>21</v>
      </c>
    </row>
    <row r="6607" spans="1:5" hidden="1" outlineLevel="2">
      <c r="A6607" s="3" t="e">
        <f>(HYPERLINK("http://www.autodoc.ru/Web/price/art/6261BCLE?analog=on","6261BCLE"))*1</f>
        <v>#VALUE!</v>
      </c>
      <c r="B6607" s="1">
        <v>6999913</v>
      </c>
      <c r="C6607" t="s">
        <v>6793</v>
      </c>
      <c r="D6607" t="s">
        <v>6802</v>
      </c>
      <c r="E6607" t="s">
        <v>23</v>
      </c>
    </row>
    <row r="6608" spans="1:5" hidden="1" outlineLevel="2">
      <c r="A6608" s="3" t="e">
        <f>(HYPERLINK("http://www.autodoc.ru/Web/price/art/6261BGNSA?analog=on","6261BGNSA"))*1</f>
        <v>#VALUE!</v>
      </c>
      <c r="B6608" s="1">
        <v>6998783</v>
      </c>
      <c r="C6608" t="s">
        <v>6793</v>
      </c>
      <c r="D6608" t="s">
        <v>6803</v>
      </c>
      <c r="E6608" t="s">
        <v>23</v>
      </c>
    </row>
    <row r="6609" spans="1:5" hidden="1" outlineLevel="2">
      <c r="A6609" s="3" t="e">
        <f>(HYPERLINK("http://www.autodoc.ru/Web/price/art/6261BGSE?analog=on","6261BGSE"))*1</f>
        <v>#VALUE!</v>
      </c>
      <c r="B6609" s="1">
        <v>6993684</v>
      </c>
      <c r="C6609" t="s">
        <v>6793</v>
      </c>
      <c r="D6609" t="s">
        <v>6804</v>
      </c>
      <c r="E6609" t="s">
        <v>23</v>
      </c>
    </row>
    <row r="6610" spans="1:5" hidden="1" outlineLevel="2">
      <c r="A6610" s="3" t="e">
        <f>(HYPERLINK("http://www.autodoc.ru/Web/price/art/6261LGNS4FDW?analog=on","6261LGNS4FDW"))*1</f>
        <v>#VALUE!</v>
      </c>
      <c r="B6610" s="1">
        <v>6994522</v>
      </c>
      <c r="C6610" t="s">
        <v>6793</v>
      </c>
      <c r="D6610" t="s">
        <v>6805</v>
      </c>
      <c r="E6610" t="s">
        <v>10</v>
      </c>
    </row>
    <row r="6611" spans="1:5" hidden="1" outlineLevel="2">
      <c r="A6611" s="3" t="e">
        <f>(HYPERLINK("http://www.autodoc.ru/Web/price/art/6261LGNS4RVZ?analog=on","6261LGNS4RVZ"))*1</f>
        <v>#VALUE!</v>
      </c>
      <c r="B6611" s="1">
        <v>6994523</v>
      </c>
      <c r="C6611" t="s">
        <v>6793</v>
      </c>
      <c r="D6611" t="s">
        <v>6806</v>
      </c>
      <c r="E6611" t="s">
        <v>10</v>
      </c>
    </row>
    <row r="6612" spans="1:5" hidden="1" outlineLevel="2">
      <c r="A6612" s="3" t="e">
        <f>(HYPERLINK("http://www.autodoc.ru/Web/price/art/6261RGNS4FDW?analog=on","6261RGNS4FDW"))*1</f>
        <v>#VALUE!</v>
      </c>
      <c r="B6612" s="1">
        <v>6994524</v>
      </c>
      <c r="C6612" t="s">
        <v>6793</v>
      </c>
      <c r="D6612" t="s">
        <v>6807</v>
      </c>
      <c r="E6612" t="s">
        <v>10</v>
      </c>
    </row>
    <row r="6613" spans="1:5" hidden="1" outlineLevel="2">
      <c r="A6613" s="3" t="e">
        <f>(HYPERLINK("http://www.autodoc.ru/Web/price/art/6261RGNS4RVZ?analog=on","6261RGNS4RVZ"))*1</f>
        <v>#VALUE!</v>
      </c>
      <c r="B6613" s="1">
        <v>6994525</v>
      </c>
      <c r="C6613" t="s">
        <v>6793</v>
      </c>
      <c r="D6613" t="s">
        <v>6808</v>
      </c>
      <c r="E6613" t="s">
        <v>10</v>
      </c>
    </row>
    <row r="6614" spans="1:5" hidden="1" outlineLevel="1">
      <c r="A6614" s="2">
        <v>0</v>
      </c>
      <c r="B6614" s="26" t="s">
        <v>417</v>
      </c>
      <c r="C6614" s="27">
        <v>0</v>
      </c>
      <c r="D6614" s="27">
        <v>0</v>
      </c>
      <c r="E6614" s="27">
        <v>0</v>
      </c>
    </row>
    <row r="6615" spans="1:5" hidden="1" outlineLevel="2">
      <c r="A6615" s="3" t="e">
        <f>(HYPERLINK("http://www.autodoc.ru/Web/price/art/6251ACL?analog=on","6251ACL"))*1</f>
        <v>#VALUE!</v>
      </c>
      <c r="B6615" s="1">
        <v>6190007</v>
      </c>
      <c r="C6615" t="s">
        <v>418</v>
      </c>
      <c r="D6615" t="s">
        <v>6809</v>
      </c>
      <c r="E6615" t="s">
        <v>8</v>
      </c>
    </row>
    <row r="6616" spans="1:5" hidden="1" outlineLevel="1">
      <c r="A6616" s="2">
        <v>0</v>
      </c>
      <c r="B6616" s="26" t="s">
        <v>6810</v>
      </c>
      <c r="C6616" s="27">
        <v>0</v>
      </c>
      <c r="D6616" s="27">
        <v>0</v>
      </c>
      <c r="E6616" s="27">
        <v>0</v>
      </c>
    </row>
    <row r="6617" spans="1:5" hidden="1" outlineLevel="2">
      <c r="A6617" s="3" t="e">
        <f>(HYPERLINK("http://www.autodoc.ru/Web/price/art/6241ACL?analog=on","6241ACL"))*1</f>
        <v>#VALUE!</v>
      </c>
      <c r="B6617" s="1">
        <v>6963654</v>
      </c>
      <c r="C6617" t="s">
        <v>6811</v>
      </c>
      <c r="D6617" t="s">
        <v>6812</v>
      </c>
      <c r="E6617" t="s">
        <v>8</v>
      </c>
    </row>
    <row r="6618" spans="1:5" hidden="1" outlineLevel="1">
      <c r="A6618" s="2">
        <v>0</v>
      </c>
      <c r="B6618" s="26" t="s">
        <v>6813</v>
      </c>
      <c r="C6618" s="27">
        <v>0</v>
      </c>
      <c r="D6618" s="27">
        <v>0</v>
      </c>
      <c r="E6618" s="27">
        <v>0</v>
      </c>
    </row>
    <row r="6619" spans="1:5" hidden="1" outlineLevel="2">
      <c r="A6619" s="3" t="e">
        <f>(HYPERLINK("http://www.autodoc.ru/Web/price/art/6246ABZBL?analog=on","6246ABZBL"))*1</f>
        <v>#VALUE!</v>
      </c>
      <c r="B6619" s="1">
        <v>6963498</v>
      </c>
      <c r="C6619" t="s">
        <v>2978</v>
      </c>
      <c r="D6619" t="s">
        <v>6814</v>
      </c>
      <c r="E6619" t="s">
        <v>8</v>
      </c>
    </row>
    <row r="6620" spans="1:5" hidden="1" outlineLevel="1">
      <c r="A6620" s="2">
        <v>0</v>
      </c>
      <c r="B6620" s="26" t="s">
        <v>6815</v>
      </c>
      <c r="C6620" s="27">
        <v>0</v>
      </c>
      <c r="D6620" s="27">
        <v>0</v>
      </c>
      <c r="E6620" s="27">
        <v>0</v>
      </c>
    </row>
    <row r="6621" spans="1:5" hidden="1" outlineLevel="2">
      <c r="A6621" s="3" t="e">
        <f>(HYPERLINK("http://www.autodoc.ru/Web/price/art/6281ACCBLAV?analog=on","6281ACCBLAV"))*1</f>
        <v>#VALUE!</v>
      </c>
      <c r="B6621" s="1">
        <v>6968229</v>
      </c>
      <c r="C6621" t="s">
        <v>3612</v>
      </c>
      <c r="D6621" t="s">
        <v>6816</v>
      </c>
      <c r="E6621" t="s">
        <v>8</v>
      </c>
    </row>
    <row r="6622" spans="1:5" hidden="1" outlineLevel="2">
      <c r="A6622" s="3" t="e">
        <f>(HYPERLINK("http://www.autodoc.ru/Web/price/art/6281ASMV?analog=on","6281ASMV"))*1</f>
        <v>#VALUE!</v>
      </c>
      <c r="B6622" s="1">
        <v>6100167</v>
      </c>
      <c r="C6622" t="s">
        <v>19</v>
      </c>
      <c r="D6622" t="s">
        <v>6817</v>
      </c>
      <c r="E6622" t="s">
        <v>21</v>
      </c>
    </row>
    <row r="6623" spans="1:5" hidden="1" outlineLevel="2">
      <c r="A6623" s="3" t="e">
        <f>(HYPERLINK("http://www.autodoc.ru/Web/price/art/6281BGNV?analog=on","6281BGNV"))*1</f>
        <v>#VALUE!</v>
      </c>
      <c r="B6623" s="1">
        <v>6995230</v>
      </c>
      <c r="C6623" t="s">
        <v>3612</v>
      </c>
      <c r="D6623" t="s">
        <v>6818</v>
      </c>
      <c r="E6623" t="s">
        <v>23</v>
      </c>
    </row>
    <row r="6624" spans="1:5" hidden="1" outlineLevel="2">
      <c r="A6624" s="3" t="e">
        <f>(HYPERLINK("http://www.autodoc.ru/Web/price/art/6281BYPV?analog=on","6281BYPV"))*1</f>
        <v>#VALUE!</v>
      </c>
      <c r="B6624" s="1">
        <v>6995231</v>
      </c>
      <c r="C6624" t="s">
        <v>3612</v>
      </c>
      <c r="D6624" t="s">
        <v>6819</v>
      </c>
      <c r="E6624" t="s">
        <v>23</v>
      </c>
    </row>
    <row r="6625" spans="1:5" hidden="1" outlineLevel="2">
      <c r="A6625" s="3" t="e">
        <f>(HYPERLINK("http://www.autodoc.ru/Web/price/art/6281LGNV5FD?analog=on","6281LGNV5FD"))*1</f>
        <v>#VALUE!</v>
      </c>
      <c r="B6625" s="1">
        <v>6995221</v>
      </c>
      <c r="C6625" t="s">
        <v>3612</v>
      </c>
      <c r="D6625" t="s">
        <v>6820</v>
      </c>
      <c r="E6625" t="s">
        <v>10</v>
      </c>
    </row>
    <row r="6626" spans="1:5" hidden="1" outlineLevel="2">
      <c r="A6626" s="3" t="e">
        <f>(HYPERLINK("http://www.autodoc.ru/Web/price/art/6281RGNV5FD?analog=on","6281RGNV5FD"))*1</f>
        <v>#VALUE!</v>
      </c>
      <c r="B6626" s="1">
        <v>6995220</v>
      </c>
      <c r="C6626" t="s">
        <v>3612</v>
      </c>
      <c r="D6626" t="s">
        <v>6821</v>
      </c>
      <c r="E6626" t="s">
        <v>10</v>
      </c>
    </row>
    <row r="6627" spans="1:5" hidden="1" outlineLevel="2">
      <c r="A6627" s="3" t="e">
        <f>(HYPERLINK("http://www.autodoc.ru/Web/price/art/6281RGNV5RDW?analog=on","6281RGNV5RDW"))*1</f>
        <v>#VALUE!</v>
      </c>
      <c r="B6627" s="1">
        <v>6995222</v>
      </c>
      <c r="C6627" t="s">
        <v>3612</v>
      </c>
      <c r="D6627" t="s">
        <v>6822</v>
      </c>
      <c r="E6627" t="s">
        <v>10</v>
      </c>
    </row>
    <row r="6628" spans="1:5" hidden="1" outlineLevel="2">
      <c r="A6628" s="3" t="e">
        <f>(HYPERLINK("http://www.autodoc.ru/Web/price/art/6281RYSV5RQOW1L?analog=on","6281RYSV5RQOW1L"))*1</f>
        <v>#VALUE!</v>
      </c>
      <c r="B6628" s="1">
        <v>6995228</v>
      </c>
      <c r="C6628" t="s">
        <v>3612</v>
      </c>
      <c r="D6628" t="s">
        <v>6823</v>
      </c>
      <c r="E6628" t="s">
        <v>10</v>
      </c>
    </row>
    <row r="6629" spans="1:5" hidden="1" outlineLevel="1">
      <c r="A6629" s="2">
        <v>0</v>
      </c>
      <c r="B6629" s="26" t="s">
        <v>6824</v>
      </c>
      <c r="C6629" s="27">
        <v>0</v>
      </c>
      <c r="D6629" s="27">
        <v>0</v>
      </c>
      <c r="E6629" s="27">
        <v>0</v>
      </c>
    </row>
    <row r="6630" spans="1:5" hidden="1" outlineLevel="2">
      <c r="A6630" s="3" t="e">
        <f>(HYPERLINK("http://www.autodoc.ru/Web/price/art/6263AGNBL?analog=on","6263AGNBL"))*1</f>
        <v>#VALUE!</v>
      </c>
      <c r="B6630" s="1">
        <v>6968420</v>
      </c>
      <c r="C6630" t="s">
        <v>1491</v>
      </c>
      <c r="D6630" t="s">
        <v>6825</v>
      </c>
      <c r="E6630" t="s">
        <v>8</v>
      </c>
    </row>
    <row r="6631" spans="1:5" hidden="1" outlineLevel="2">
      <c r="A6631" s="3" t="e">
        <f>(HYPERLINK("http://www.autodoc.ru/Web/price/art/6263AKMC?analog=on","6263AKMC"))*1</f>
        <v>#VALUE!</v>
      </c>
      <c r="B6631" s="1">
        <v>6100165</v>
      </c>
      <c r="C6631" t="s">
        <v>19</v>
      </c>
      <c r="D6631" t="s">
        <v>6826</v>
      </c>
      <c r="E6631" t="s">
        <v>21</v>
      </c>
    </row>
    <row r="6632" spans="1:5" hidden="1" outlineLevel="2">
      <c r="A6632" s="3" t="e">
        <f>(HYPERLINK("http://www.autodoc.ru/Web/price/art/6263LGNC2FD?analog=on","6263LGNC2FD"))*1</f>
        <v>#VALUE!</v>
      </c>
      <c r="B6632" s="1">
        <v>6995442</v>
      </c>
      <c r="C6632" t="s">
        <v>1491</v>
      </c>
      <c r="D6632" t="s">
        <v>6827</v>
      </c>
      <c r="E6632" t="s">
        <v>10</v>
      </c>
    </row>
    <row r="6633" spans="1:5" hidden="1" outlineLevel="2">
      <c r="A6633" s="3" t="e">
        <f>(HYPERLINK("http://www.autodoc.ru/Web/price/art/6263LGNC2FV?analog=on","6263LGNC2FV"))*1</f>
        <v>#VALUE!</v>
      </c>
      <c r="B6633" s="1">
        <v>6995443</v>
      </c>
      <c r="C6633" t="s">
        <v>1491</v>
      </c>
      <c r="D6633" t="s">
        <v>6828</v>
      </c>
      <c r="E6633" t="s">
        <v>10</v>
      </c>
    </row>
    <row r="6634" spans="1:5" hidden="1" outlineLevel="2">
      <c r="A6634" s="3" t="e">
        <f>(HYPERLINK("http://www.autodoc.ru/Web/price/art/6263RGNC2FD?analog=on","6263RGNC2FD"))*1</f>
        <v>#VALUE!</v>
      </c>
      <c r="B6634" s="1">
        <v>6995444</v>
      </c>
      <c r="C6634" t="s">
        <v>1491</v>
      </c>
      <c r="D6634" t="s">
        <v>6829</v>
      </c>
      <c r="E6634" t="s">
        <v>10</v>
      </c>
    </row>
    <row r="6635" spans="1:5" hidden="1" outlineLevel="2">
      <c r="A6635" s="3" t="e">
        <f>(HYPERLINK("http://www.autodoc.ru/Web/price/art/6263RGNC2FV?analog=on","6263RGNC2FV"))*1</f>
        <v>#VALUE!</v>
      </c>
      <c r="B6635" s="1">
        <v>6995445</v>
      </c>
      <c r="C6635" t="s">
        <v>1491</v>
      </c>
      <c r="D6635" t="s">
        <v>6830</v>
      </c>
      <c r="E6635" t="s">
        <v>10</v>
      </c>
    </row>
    <row r="6636" spans="1:5" hidden="1" outlineLevel="1">
      <c r="A6636" s="2">
        <v>0</v>
      </c>
      <c r="B6636" s="26" t="s">
        <v>6831</v>
      </c>
      <c r="C6636" s="27">
        <v>0</v>
      </c>
      <c r="D6636" s="27">
        <v>0</v>
      </c>
      <c r="E6636" s="27">
        <v>0</v>
      </c>
    </row>
    <row r="6637" spans="1:5" hidden="1" outlineLevel="2">
      <c r="A6637" s="3" t="e">
        <f>(HYPERLINK("http://www.autodoc.ru/Web/price/art/6303AGS?analog=on","6303AGS"))*1</f>
        <v>#VALUE!</v>
      </c>
      <c r="B6637" s="1">
        <v>6961338</v>
      </c>
      <c r="C6637" t="s">
        <v>3411</v>
      </c>
      <c r="D6637" t="s">
        <v>6832</v>
      </c>
      <c r="E6637" t="s">
        <v>8</v>
      </c>
    </row>
    <row r="6638" spans="1:5" hidden="1" outlineLevel="2">
      <c r="A6638" s="3" t="e">
        <f>(HYPERLINK("http://www.autodoc.ru/Web/price/art/6303RGST2FD?analog=on","6303RGST2FD"))*1</f>
        <v>#VALUE!</v>
      </c>
      <c r="B6638" s="1">
        <v>6993884</v>
      </c>
      <c r="C6638" t="s">
        <v>3411</v>
      </c>
      <c r="D6638" t="s">
        <v>6833</v>
      </c>
      <c r="E6638" t="s">
        <v>10</v>
      </c>
    </row>
    <row r="6639" spans="1:5" hidden="1" outlineLevel="1">
      <c r="A6639" s="2">
        <v>0</v>
      </c>
      <c r="B6639" s="26" t="s">
        <v>6834</v>
      </c>
      <c r="C6639" s="27">
        <v>0</v>
      </c>
      <c r="D6639" s="27">
        <v>0</v>
      </c>
      <c r="E6639" s="27">
        <v>0</v>
      </c>
    </row>
    <row r="6640" spans="1:5" hidden="1" outlineLevel="2">
      <c r="A6640" s="3" t="e">
        <f>(HYPERLINK("http://www.autodoc.ru/Web/price/art/6253ACL?analog=on","6253ACL"))*1</f>
        <v>#VALUE!</v>
      </c>
      <c r="B6640" s="1">
        <v>6960089</v>
      </c>
      <c r="C6640" t="s">
        <v>6835</v>
      </c>
      <c r="D6640" t="s">
        <v>6836</v>
      </c>
      <c r="E6640" t="s">
        <v>8</v>
      </c>
    </row>
    <row r="6641" spans="1:5" hidden="1" outlineLevel="2">
      <c r="A6641" s="3" t="e">
        <f>(HYPERLINK("http://www.autodoc.ru/Web/price/art/6253AGNBL?analog=on","6253AGNBL"))*1</f>
        <v>#VALUE!</v>
      </c>
      <c r="B6641" s="1">
        <v>6960090</v>
      </c>
      <c r="C6641" t="s">
        <v>6835</v>
      </c>
      <c r="D6641" t="s">
        <v>6837</v>
      </c>
      <c r="E6641" t="s">
        <v>8</v>
      </c>
    </row>
    <row r="6642" spans="1:5" hidden="1" outlineLevel="2">
      <c r="A6642" s="3" t="e">
        <f>(HYPERLINK("http://www.autodoc.ru/Web/price/art/6253ASMH?analog=on","6253ASMH"))*1</f>
        <v>#VALUE!</v>
      </c>
      <c r="B6642" s="1">
        <v>6100152</v>
      </c>
      <c r="C6642" t="s">
        <v>19</v>
      </c>
      <c r="D6642" t="s">
        <v>6838</v>
      </c>
      <c r="E6642" t="s">
        <v>21</v>
      </c>
    </row>
    <row r="6643" spans="1:5" hidden="1" outlineLevel="2">
      <c r="A6643" s="3" t="e">
        <f>(HYPERLINK("http://www.autodoc.ru/Web/price/art/6253BCLS?analog=on","6253BCLS"))*1</f>
        <v>#VALUE!</v>
      </c>
      <c r="B6643" s="1">
        <v>6994076</v>
      </c>
      <c r="C6643" t="s">
        <v>6835</v>
      </c>
      <c r="D6643" t="s">
        <v>6839</v>
      </c>
      <c r="E6643" t="s">
        <v>23</v>
      </c>
    </row>
    <row r="6644" spans="1:5" hidden="1" outlineLevel="2">
      <c r="A6644" s="3" t="e">
        <f>(HYPERLINK("http://www.autodoc.ru/Web/price/art/6253BGNHZ?analog=on","6253BGNHZ"))*1</f>
        <v>#VALUE!</v>
      </c>
      <c r="B6644" s="1">
        <v>6998776</v>
      </c>
      <c r="C6644" t="s">
        <v>6835</v>
      </c>
      <c r="D6644" t="s">
        <v>6840</v>
      </c>
      <c r="E6644" t="s">
        <v>23</v>
      </c>
    </row>
    <row r="6645" spans="1:5" hidden="1" outlineLevel="2">
      <c r="A6645" s="3" t="e">
        <f>(HYPERLINK("http://www.autodoc.ru/Web/price/art/6253BGNS?analog=on","6253BGNS"))*1</f>
        <v>#VALUE!</v>
      </c>
      <c r="B6645" s="1">
        <v>6994077</v>
      </c>
      <c r="C6645" t="s">
        <v>6835</v>
      </c>
      <c r="D6645" t="s">
        <v>6841</v>
      </c>
      <c r="E6645" t="s">
        <v>23</v>
      </c>
    </row>
    <row r="6646" spans="1:5" hidden="1" outlineLevel="2">
      <c r="A6646" s="3" t="e">
        <f>(HYPERLINK("http://www.autodoc.ru/Web/price/art/6253BSMS?analog=on","6253BSMS"))*1</f>
        <v>#VALUE!</v>
      </c>
      <c r="B6646" s="1">
        <v>6100153</v>
      </c>
      <c r="C6646" t="s">
        <v>19</v>
      </c>
      <c r="D6646" t="s">
        <v>6842</v>
      </c>
      <c r="E6646" t="s">
        <v>21</v>
      </c>
    </row>
    <row r="6647" spans="1:5" hidden="1" outlineLevel="2">
      <c r="A6647" s="3" t="e">
        <f>(HYPERLINK("http://www.autodoc.ru/Web/price/art/6253LCLH5FD?analog=on","6253LCLH5FD"))*1</f>
        <v>#VALUE!</v>
      </c>
      <c r="B6647" s="1">
        <v>6995081</v>
      </c>
      <c r="C6647" t="s">
        <v>6835</v>
      </c>
      <c r="D6647" t="s">
        <v>6843</v>
      </c>
      <c r="E6647" t="s">
        <v>10</v>
      </c>
    </row>
    <row r="6648" spans="1:5" hidden="1" outlineLevel="2">
      <c r="A6648" s="3" t="e">
        <f>(HYPERLINK("http://www.autodoc.ru/Web/price/art/6253LCLH5RD?analog=on","6253LCLH5RD"))*1</f>
        <v>#VALUE!</v>
      </c>
      <c r="B6648" s="1">
        <v>6995086</v>
      </c>
      <c r="C6648" t="s">
        <v>6835</v>
      </c>
      <c r="D6648" t="s">
        <v>6844</v>
      </c>
      <c r="E6648" t="s">
        <v>10</v>
      </c>
    </row>
    <row r="6649" spans="1:5" hidden="1" outlineLevel="2">
      <c r="A6649" s="3" t="e">
        <f>(HYPERLINK("http://www.autodoc.ru/Web/price/art/6253LGNH5FD?analog=on","6253LGNH5FD"))*1</f>
        <v>#VALUE!</v>
      </c>
      <c r="B6649" s="1">
        <v>6995083</v>
      </c>
      <c r="C6649" t="s">
        <v>6835</v>
      </c>
      <c r="D6649" t="s">
        <v>6845</v>
      </c>
      <c r="E6649" t="s">
        <v>10</v>
      </c>
    </row>
    <row r="6650" spans="1:5" hidden="1" outlineLevel="2">
      <c r="A6650" s="3" t="e">
        <f>(HYPERLINK("http://www.autodoc.ru/Web/price/art/6253LGNH5RD?analog=on","6253LGNH5RD"))*1</f>
        <v>#VALUE!</v>
      </c>
      <c r="B6650" s="1">
        <v>6995088</v>
      </c>
      <c r="C6650" t="s">
        <v>6835</v>
      </c>
      <c r="D6650" t="s">
        <v>6846</v>
      </c>
      <c r="E6650" t="s">
        <v>10</v>
      </c>
    </row>
    <row r="6651" spans="1:5" hidden="1" outlineLevel="2">
      <c r="A6651" s="3" t="e">
        <f>(HYPERLINK("http://www.autodoc.ru/Web/price/art/6253RCLH5FD?analog=on","6253RCLH5FD"))*1</f>
        <v>#VALUE!</v>
      </c>
      <c r="B6651" s="1">
        <v>6995082</v>
      </c>
      <c r="C6651" t="s">
        <v>6835</v>
      </c>
      <c r="D6651" t="s">
        <v>6847</v>
      </c>
      <c r="E6651" t="s">
        <v>10</v>
      </c>
    </row>
    <row r="6652" spans="1:5" hidden="1" outlineLevel="2">
      <c r="A6652" s="3" t="e">
        <f>(HYPERLINK("http://www.autodoc.ru/Web/price/art/6253RCLH5RD?analog=on","6253RCLH5RD"))*1</f>
        <v>#VALUE!</v>
      </c>
      <c r="B6652" s="1">
        <v>6995087</v>
      </c>
      <c r="C6652" t="s">
        <v>6835</v>
      </c>
      <c r="D6652" t="s">
        <v>6848</v>
      </c>
      <c r="E6652" t="s">
        <v>10</v>
      </c>
    </row>
    <row r="6653" spans="1:5" hidden="1" outlineLevel="2">
      <c r="A6653" s="3" t="e">
        <f>(HYPERLINK("http://www.autodoc.ru/Web/price/art/6253RGNH5FD?analog=on","6253RGNH5FD"))*1</f>
        <v>#VALUE!</v>
      </c>
      <c r="B6653" s="1">
        <v>6995084</v>
      </c>
      <c r="C6653" t="s">
        <v>6835</v>
      </c>
      <c r="D6653" t="s">
        <v>6849</v>
      </c>
      <c r="E6653" t="s">
        <v>10</v>
      </c>
    </row>
    <row r="6654" spans="1:5" hidden="1" outlineLevel="2">
      <c r="A6654" s="3" t="e">
        <f>(HYPERLINK("http://www.autodoc.ru/Web/price/art/6253RGNH5RD?analog=on","6253RGNH5RD"))*1</f>
        <v>#VALUE!</v>
      </c>
      <c r="B6654" s="1">
        <v>6995089</v>
      </c>
      <c r="C6654" t="s">
        <v>6835</v>
      </c>
      <c r="D6654" t="s">
        <v>6850</v>
      </c>
      <c r="E6654" t="s">
        <v>10</v>
      </c>
    </row>
    <row r="6655" spans="1:5" hidden="1" outlineLevel="1">
      <c r="A6655" s="2">
        <v>0</v>
      </c>
      <c r="B6655" s="26" t="s">
        <v>6851</v>
      </c>
      <c r="C6655" s="27">
        <v>0</v>
      </c>
      <c r="D6655" s="27">
        <v>0</v>
      </c>
      <c r="E6655" s="27">
        <v>0</v>
      </c>
    </row>
    <row r="6656" spans="1:5" hidden="1" outlineLevel="2">
      <c r="A6656" s="3" t="e">
        <f>(HYPERLINK("http://www.autodoc.ru/Web/price/art/6277ACCBL1B?analog=on","6277ACCBL1B"))*1</f>
        <v>#VALUE!</v>
      </c>
      <c r="B6656" s="1">
        <v>6960237</v>
      </c>
      <c r="C6656" t="s">
        <v>2598</v>
      </c>
      <c r="D6656" t="s">
        <v>6852</v>
      </c>
      <c r="E6656" t="s">
        <v>8</v>
      </c>
    </row>
    <row r="6657" spans="1:5" hidden="1" outlineLevel="2">
      <c r="A6657" s="3" t="e">
        <f>(HYPERLINK("http://www.autodoc.ru/Web/price/art/6277ACL?analog=on","6277ACL"))*1</f>
        <v>#VALUE!</v>
      </c>
      <c r="B6657" s="1">
        <v>6968411</v>
      </c>
      <c r="C6657" t="s">
        <v>901</v>
      </c>
      <c r="D6657" t="s">
        <v>6853</v>
      </c>
      <c r="E6657" t="s">
        <v>8</v>
      </c>
    </row>
    <row r="6658" spans="1:5" hidden="1" outlineLevel="2">
      <c r="A6658" s="3" t="e">
        <f>(HYPERLINK("http://www.autodoc.ru/Web/price/art/6277AGN?analog=on","6277AGN"))*1</f>
        <v>#VALUE!</v>
      </c>
      <c r="B6658" s="1">
        <v>6968415</v>
      </c>
      <c r="C6658" t="s">
        <v>3841</v>
      </c>
      <c r="D6658" t="s">
        <v>6854</v>
      </c>
      <c r="E6658" t="s">
        <v>8</v>
      </c>
    </row>
    <row r="6659" spans="1:5" hidden="1" outlineLevel="2">
      <c r="A6659" s="3" t="e">
        <f>(HYPERLINK("http://www.autodoc.ru/Web/price/art/6277AGNBL?analog=on","6277AGNBL"))*1</f>
        <v>#VALUE!</v>
      </c>
      <c r="B6659" s="1">
        <v>6968410</v>
      </c>
      <c r="C6659" t="s">
        <v>901</v>
      </c>
      <c r="D6659" t="s">
        <v>6855</v>
      </c>
      <c r="E6659" t="s">
        <v>8</v>
      </c>
    </row>
    <row r="6660" spans="1:5" hidden="1" outlineLevel="2">
      <c r="A6660" s="3" t="e">
        <f>(HYPERLINK("http://www.autodoc.ru/Web/price/art/6277AKMH?analog=on","6277AKMH"))*1</f>
        <v>#VALUE!</v>
      </c>
      <c r="B6660" s="1">
        <v>6100166</v>
      </c>
      <c r="C6660" t="s">
        <v>19</v>
      </c>
      <c r="D6660" t="s">
        <v>6856</v>
      </c>
      <c r="E6660" t="s">
        <v>21</v>
      </c>
    </row>
    <row r="6661" spans="1:5" hidden="1" outlineLevel="2">
      <c r="A6661" s="3" t="e">
        <f>(HYPERLINK("http://www.autodoc.ru/Web/price/art/6277AKMH1G?analog=on","6277AKMH1G"))*1</f>
        <v>#VALUE!</v>
      </c>
      <c r="B6661" s="1">
        <v>6101285</v>
      </c>
      <c r="C6661" t="s">
        <v>19</v>
      </c>
      <c r="D6661" t="s">
        <v>6856</v>
      </c>
      <c r="E6661" t="s">
        <v>21</v>
      </c>
    </row>
    <row r="6662" spans="1:5" hidden="1" outlineLevel="2">
      <c r="A6662" s="3" t="e">
        <f>(HYPERLINK("http://www.autodoc.ru/Web/price/art/6277AKMH2F?analog=on","6277AKMH2F"))*1</f>
        <v>#VALUE!</v>
      </c>
      <c r="B6662" s="1">
        <v>6102371</v>
      </c>
      <c r="C6662" t="s">
        <v>19</v>
      </c>
      <c r="D6662" t="s">
        <v>6857</v>
      </c>
      <c r="E6662" t="s">
        <v>21</v>
      </c>
    </row>
    <row r="6663" spans="1:5" hidden="1" outlineLevel="2">
      <c r="A6663" s="3" t="e">
        <f>(HYPERLINK("http://www.autodoc.ru/Web/price/art/6277ASMHT?analog=on","6277ASMHT"))*1</f>
        <v>#VALUE!</v>
      </c>
      <c r="B6663" s="1">
        <v>6101800</v>
      </c>
      <c r="C6663" t="s">
        <v>19</v>
      </c>
      <c r="D6663" t="s">
        <v>6858</v>
      </c>
      <c r="E6663" t="s">
        <v>21</v>
      </c>
    </row>
    <row r="6664" spans="1:5" hidden="1" outlineLevel="2">
      <c r="A6664" s="3" t="e">
        <f>(HYPERLINK("http://www.autodoc.ru/Web/price/art/6277ASGHB?analog=on","6277ASGHB"))*1</f>
        <v>#VALUE!</v>
      </c>
      <c r="B6664" s="1">
        <v>6102480</v>
      </c>
      <c r="C6664" t="s">
        <v>19</v>
      </c>
      <c r="D6664" t="s">
        <v>6859</v>
      </c>
      <c r="E6664" t="s">
        <v>21</v>
      </c>
    </row>
    <row r="6665" spans="1:5" hidden="1" outlineLevel="2">
      <c r="A6665" s="3" t="e">
        <f>(HYPERLINK("http://www.autodoc.ru/Web/price/art/6277BGNEB?analog=on","6277BGNEB"))*1</f>
        <v>#VALUE!</v>
      </c>
      <c r="B6665" s="1">
        <v>6998784</v>
      </c>
      <c r="C6665" t="s">
        <v>901</v>
      </c>
      <c r="D6665" t="s">
        <v>6860</v>
      </c>
      <c r="E6665" t="s">
        <v>23</v>
      </c>
    </row>
    <row r="6666" spans="1:5" hidden="1" outlineLevel="2">
      <c r="A6666" s="3" t="e">
        <f>(HYPERLINK("http://www.autodoc.ru/Web/price/art/6277BGNHBZ?analog=on","6277BGNHBZ"))*1</f>
        <v>#VALUE!</v>
      </c>
      <c r="B6666" s="1">
        <v>6995094</v>
      </c>
      <c r="C6666" t="s">
        <v>901</v>
      </c>
      <c r="D6666" t="s">
        <v>6861</v>
      </c>
      <c r="E6666" t="s">
        <v>23</v>
      </c>
    </row>
    <row r="6667" spans="1:5" hidden="1" outlineLevel="2">
      <c r="A6667" s="3" t="e">
        <f>(HYPERLINK("http://www.autodoc.ru/Web/price/art/6277BGNHZ?analog=on","6277BGNHZ"))*1</f>
        <v>#VALUE!</v>
      </c>
      <c r="B6667" s="1">
        <v>6991082</v>
      </c>
      <c r="C6667" t="s">
        <v>901</v>
      </c>
      <c r="D6667" t="s">
        <v>6862</v>
      </c>
      <c r="E6667" t="s">
        <v>23</v>
      </c>
    </row>
    <row r="6668" spans="1:5" hidden="1" outlineLevel="2">
      <c r="A6668" s="3" t="e">
        <f>(HYPERLINK("http://www.autodoc.ru/Web/price/art/6277BGNSA?analog=on","6277BGNSA"))*1</f>
        <v>#VALUE!</v>
      </c>
      <c r="B6668" s="1">
        <v>6994785</v>
      </c>
      <c r="C6668" t="s">
        <v>901</v>
      </c>
      <c r="D6668" t="s">
        <v>6863</v>
      </c>
      <c r="E6668" t="s">
        <v>23</v>
      </c>
    </row>
    <row r="6669" spans="1:5" hidden="1" outlineLevel="2">
      <c r="A6669" s="3" t="e">
        <f>(HYPERLINK("http://www.autodoc.ru/Web/price/art/6277BGNSABI?analog=on","6277BGNSABI"))*1</f>
        <v>#VALUE!</v>
      </c>
      <c r="B6669" s="1">
        <v>6995095</v>
      </c>
      <c r="C6669" t="s">
        <v>901</v>
      </c>
      <c r="D6669" t="s">
        <v>6864</v>
      </c>
      <c r="E6669" t="s">
        <v>23</v>
      </c>
    </row>
    <row r="6670" spans="1:5" hidden="1" outlineLevel="2">
      <c r="A6670" s="3" t="e">
        <f>(HYPERLINK("http://www.autodoc.ru/Web/price/art/6277BSME?analog=on","6277BSME"))*1</f>
        <v>#VALUE!</v>
      </c>
      <c r="B6670" s="1">
        <v>6100299</v>
      </c>
      <c r="C6670" t="s">
        <v>19</v>
      </c>
      <c r="D6670" t="s">
        <v>6865</v>
      </c>
      <c r="E6670" t="s">
        <v>21</v>
      </c>
    </row>
    <row r="6671" spans="1:5" hidden="1" outlineLevel="2">
      <c r="A6671" s="3" t="e">
        <f>(HYPERLINK("http://www.autodoc.ru/Web/price/art/6277BSMS?analog=on","6277BSMS"))*1</f>
        <v>#VALUE!</v>
      </c>
      <c r="B6671" s="1">
        <v>6100300</v>
      </c>
      <c r="C6671" t="s">
        <v>19</v>
      </c>
      <c r="D6671" t="s">
        <v>6865</v>
      </c>
      <c r="E6671" t="s">
        <v>21</v>
      </c>
    </row>
    <row r="6672" spans="1:5" hidden="1" outlineLevel="2">
      <c r="A6672" s="3" t="e">
        <f>(HYPERLINK("http://www.autodoc.ru/Web/price/art/6277LCLE5RD?analog=on","6277LCLE5RD"))*1</f>
        <v>#VALUE!</v>
      </c>
      <c r="B6672" s="1">
        <v>6994786</v>
      </c>
      <c r="C6672" t="s">
        <v>901</v>
      </c>
      <c r="D6672" t="s">
        <v>6866</v>
      </c>
      <c r="E6672" t="s">
        <v>10</v>
      </c>
    </row>
    <row r="6673" spans="1:5" hidden="1" outlineLevel="2">
      <c r="A6673" s="3" t="e">
        <f>(HYPERLINK("http://www.autodoc.ru/Web/price/art/6277LGNE5RD?analog=on","6277LGNE5RD"))*1</f>
        <v>#VALUE!</v>
      </c>
      <c r="B6673" s="1">
        <v>6994787</v>
      </c>
      <c r="C6673" t="s">
        <v>901</v>
      </c>
      <c r="D6673" t="s">
        <v>6867</v>
      </c>
      <c r="E6673" t="s">
        <v>10</v>
      </c>
    </row>
    <row r="6674" spans="1:5" hidden="1" outlineLevel="2">
      <c r="A6674" s="3" t="e">
        <f>(HYPERLINK("http://www.autodoc.ru/Web/price/art/6277LGNE5RQXZ?analog=on","6277LGNE5RQXZ"))*1</f>
        <v>#VALUE!</v>
      </c>
      <c r="B6674" s="1">
        <v>6994788</v>
      </c>
      <c r="C6674" t="s">
        <v>901</v>
      </c>
      <c r="D6674" t="s">
        <v>6868</v>
      </c>
      <c r="E6674" t="s">
        <v>10</v>
      </c>
    </row>
    <row r="6675" spans="1:5" hidden="1" outlineLevel="2">
      <c r="A6675" s="3" t="e">
        <f>(HYPERLINK("http://www.autodoc.ru/Web/price/art/6277LGNE5RQZ?analog=on","6277LGNE5RQZ"))*1</f>
        <v>#VALUE!</v>
      </c>
      <c r="B6675" s="1">
        <v>6994789</v>
      </c>
      <c r="C6675" t="s">
        <v>901</v>
      </c>
      <c r="D6675" t="s">
        <v>6869</v>
      </c>
      <c r="E6675" t="s">
        <v>10</v>
      </c>
    </row>
    <row r="6676" spans="1:5" hidden="1" outlineLevel="2">
      <c r="A6676" s="3" t="e">
        <f>(HYPERLINK("http://www.autodoc.ru/Web/price/art/6277LGNH5FDW?analog=on","6277LGNH5FDW"))*1</f>
        <v>#VALUE!</v>
      </c>
      <c r="B6676" s="1">
        <v>6994528</v>
      </c>
      <c r="C6676" t="s">
        <v>901</v>
      </c>
      <c r="D6676" t="s">
        <v>6870</v>
      </c>
      <c r="E6676" t="s">
        <v>10</v>
      </c>
    </row>
    <row r="6677" spans="1:5" hidden="1" outlineLevel="2">
      <c r="A6677" s="3" t="e">
        <f>(HYPERLINK("http://www.autodoc.ru/Web/price/art/6277LGNH5RDW?analog=on","6277LGNH5RDW"))*1</f>
        <v>#VALUE!</v>
      </c>
      <c r="B6677" s="1">
        <v>6994529</v>
      </c>
      <c r="C6677" t="s">
        <v>901</v>
      </c>
      <c r="D6677" t="s">
        <v>6871</v>
      </c>
      <c r="E6677" t="s">
        <v>10</v>
      </c>
    </row>
    <row r="6678" spans="1:5" hidden="1" outlineLevel="2">
      <c r="A6678" s="3" t="e">
        <f>(HYPERLINK("http://www.autodoc.ru/Web/price/art/6277LGNH5RQZ?analog=on","6277LGNH5RQZ"))*1</f>
        <v>#VALUE!</v>
      </c>
      <c r="B6678" s="1">
        <v>6999872</v>
      </c>
      <c r="C6678" t="s">
        <v>901</v>
      </c>
      <c r="D6678" t="s">
        <v>6872</v>
      </c>
      <c r="E6678" t="s">
        <v>10</v>
      </c>
    </row>
    <row r="6679" spans="1:5" hidden="1" outlineLevel="2">
      <c r="A6679" s="3" t="e">
        <f>(HYPERLINK("http://www.autodoc.ru/Web/price/art/6277LGNS4RQZ?analog=on","6277LGNS4RQZ"))*1</f>
        <v>#VALUE!</v>
      </c>
      <c r="B6679" s="1">
        <v>6994795</v>
      </c>
      <c r="C6679" t="s">
        <v>901</v>
      </c>
      <c r="D6679" t="s">
        <v>6873</v>
      </c>
      <c r="E6679" t="s">
        <v>10</v>
      </c>
    </row>
    <row r="6680" spans="1:5" hidden="1" outlineLevel="2">
      <c r="A6680" s="3" t="e">
        <f>(HYPERLINK("http://www.autodoc.ru/Web/price/art/6277RGNE5RD?analog=on","6277RGNE5RD"))*1</f>
        <v>#VALUE!</v>
      </c>
      <c r="B6680" s="1">
        <v>6994792</v>
      </c>
      <c r="C6680" t="s">
        <v>901</v>
      </c>
      <c r="D6680" t="s">
        <v>6874</v>
      </c>
      <c r="E6680" t="s">
        <v>10</v>
      </c>
    </row>
    <row r="6681" spans="1:5" hidden="1" outlineLevel="2">
      <c r="A6681" s="3" t="e">
        <f>(HYPERLINK("http://www.autodoc.ru/Web/price/art/6277RGNE5RQXZ?analog=on","6277RGNE5RQXZ"))*1</f>
        <v>#VALUE!</v>
      </c>
      <c r="B6681" s="1">
        <v>6990393</v>
      </c>
      <c r="C6681" t="s">
        <v>901</v>
      </c>
      <c r="D6681" t="s">
        <v>6875</v>
      </c>
      <c r="E6681" t="s">
        <v>10</v>
      </c>
    </row>
    <row r="6682" spans="1:5" hidden="1" outlineLevel="2">
      <c r="A6682" s="3" t="e">
        <f>(HYPERLINK("http://www.autodoc.ru/Web/price/art/6277RGNE5RQZ?analog=on","6277RGNE5RQZ"))*1</f>
        <v>#VALUE!</v>
      </c>
      <c r="B6682" s="1">
        <v>6994794</v>
      </c>
      <c r="C6682" t="s">
        <v>901</v>
      </c>
      <c r="D6682" t="s">
        <v>6876</v>
      </c>
      <c r="E6682" t="s">
        <v>10</v>
      </c>
    </row>
    <row r="6683" spans="1:5" hidden="1" outlineLevel="2">
      <c r="A6683" s="3" t="e">
        <f>(HYPERLINK("http://www.autodoc.ru/Web/price/art/6277RGNH5FDW?analog=on","6277RGNH5FDW"))*1</f>
        <v>#VALUE!</v>
      </c>
      <c r="B6683" s="1">
        <v>6994530</v>
      </c>
      <c r="C6683" t="s">
        <v>901</v>
      </c>
      <c r="D6683" t="s">
        <v>6877</v>
      </c>
      <c r="E6683" t="s">
        <v>10</v>
      </c>
    </row>
    <row r="6684" spans="1:5" hidden="1" outlineLevel="2">
      <c r="A6684" s="3" t="e">
        <f>(HYPERLINK("http://www.autodoc.ru/Web/price/art/6277RGNH5RDW?analog=on","6277RGNH5RDW"))*1</f>
        <v>#VALUE!</v>
      </c>
      <c r="B6684" s="1">
        <v>6994531</v>
      </c>
      <c r="C6684" t="s">
        <v>901</v>
      </c>
      <c r="D6684" t="s">
        <v>6878</v>
      </c>
      <c r="E6684" t="s">
        <v>10</v>
      </c>
    </row>
    <row r="6685" spans="1:5" hidden="1" outlineLevel="2">
      <c r="A6685" s="3" t="e">
        <f>(HYPERLINK("http://www.autodoc.ru/Web/price/art/6277RGNS4RQZ?analog=on","6277RGNS4RQZ"))*1</f>
        <v>#VALUE!</v>
      </c>
      <c r="B6685" s="1">
        <v>6994790</v>
      </c>
      <c r="C6685" t="s">
        <v>901</v>
      </c>
      <c r="D6685" t="s">
        <v>6879</v>
      </c>
      <c r="E6685" t="s">
        <v>10</v>
      </c>
    </row>
    <row r="6686" spans="1:5" hidden="1" outlineLevel="1">
      <c r="A6686" s="2">
        <v>0</v>
      </c>
      <c r="B6686" s="26" t="s">
        <v>6880</v>
      </c>
      <c r="C6686" s="27">
        <v>0</v>
      </c>
      <c r="D6686" s="27">
        <v>0</v>
      </c>
      <c r="E6686" s="27">
        <v>0</v>
      </c>
    </row>
    <row r="6687" spans="1:5" hidden="1" outlineLevel="2">
      <c r="A6687" s="3" t="e">
        <f>(HYPERLINK("http://www.autodoc.ru/Web/price/art/6294ACCBLMVW2B?analog=on","6294ACCBLMVW2B"))*1</f>
        <v>#VALUE!</v>
      </c>
      <c r="B6687" s="1">
        <v>6960035</v>
      </c>
      <c r="C6687" t="s">
        <v>2633</v>
      </c>
      <c r="D6687" t="s">
        <v>6881</v>
      </c>
      <c r="E6687" t="s">
        <v>8</v>
      </c>
    </row>
    <row r="6688" spans="1:5" hidden="1" outlineLevel="2">
      <c r="A6688" s="3" t="e">
        <f>(HYPERLINK("http://www.autodoc.ru/Web/price/art/6294ACCBLMW2B?analog=on","6294ACCBLMW2B"))*1</f>
        <v>#VALUE!</v>
      </c>
      <c r="B6688" s="1">
        <v>6960235</v>
      </c>
      <c r="C6688" t="s">
        <v>2633</v>
      </c>
      <c r="D6688" t="s">
        <v>6882</v>
      </c>
      <c r="E6688" t="s">
        <v>8</v>
      </c>
    </row>
    <row r="6689" spans="1:5" hidden="1" outlineLevel="2">
      <c r="A6689" s="3" t="e">
        <f>(HYPERLINK("http://www.autodoc.ru/Web/price/art/6294ACCBLVW?analog=on","6294ACCBLVW"))*1</f>
        <v>#VALUE!</v>
      </c>
      <c r="B6689" s="1">
        <v>6960031</v>
      </c>
      <c r="C6689" t="s">
        <v>2633</v>
      </c>
      <c r="D6689" t="s">
        <v>6883</v>
      </c>
      <c r="E6689" t="s">
        <v>8</v>
      </c>
    </row>
    <row r="6690" spans="1:5" hidden="1" outlineLevel="2">
      <c r="A6690" s="3" t="e">
        <f>(HYPERLINK("http://www.autodoc.ru/Web/price/art/6294ACCBLW?analog=on","6294ACCBLW"))*1</f>
        <v>#VALUE!</v>
      </c>
      <c r="B6690" s="1">
        <v>6960233</v>
      </c>
      <c r="C6690" t="s">
        <v>2633</v>
      </c>
      <c r="D6690" t="s">
        <v>6884</v>
      </c>
      <c r="E6690" t="s">
        <v>8</v>
      </c>
    </row>
    <row r="6691" spans="1:5" hidden="1" outlineLevel="2">
      <c r="A6691" s="3" t="e">
        <f>(HYPERLINK("http://www.autodoc.ru/Web/price/art/6294AGSBLMVW2B?analog=on","6294AGSBLMVW2B"))*1</f>
        <v>#VALUE!</v>
      </c>
      <c r="B6691" s="1">
        <v>6960360</v>
      </c>
      <c r="C6691" t="s">
        <v>2633</v>
      </c>
      <c r="D6691" t="s">
        <v>6885</v>
      </c>
      <c r="E6691" t="s">
        <v>8</v>
      </c>
    </row>
    <row r="6692" spans="1:5" hidden="1" outlineLevel="2">
      <c r="A6692" s="3" t="e">
        <f>(HYPERLINK("http://www.autodoc.ru/Web/price/art/6294AGSBLMW1B?analog=on","6294AGSBLMW1B"))*1</f>
        <v>#VALUE!</v>
      </c>
      <c r="B6692" s="1">
        <v>6960215</v>
      </c>
      <c r="C6692" t="s">
        <v>2633</v>
      </c>
      <c r="D6692" t="s">
        <v>6886</v>
      </c>
      <c r="E6692" t="s">
        <v>8</v>
      </c>
    </row>
    <row r="6693" spans="1:5" hidden="1" outlineLevel="2">
      <c r="A6693" s="3" t="e">
        <f>(HYPERLINK("http://www.autodoc.ru/Web/price/art/6294AGSBLVW?analog=on","6294AGSBLVW"))*1</f>
        <v>#VALUE!</v>
      </c>
      <c r="B6693" s="1">
        <v>6960033</v>
      </c>
      <c r="C6693" t="s">
        <v>2633</v>
      </c>
      <c r="D6693" t="s">
        <v>6887</v>
      </c>
      <c r="E6693" t="s">
        <v>8</v>
      </c>
    </row>
    <row r="6694" spans="1:5" hidden="1" outlineLevel="2">
      <c r="A6694" s="3" t="e">
        <f>(HYPERLINK("http://www.autodoc.ru/Web/price/art/6294AGSBLW?analog=on","6294AGSBLW"))*1</f>
        <v>#VALUE!</v>
      </c>
      <c r="B6694" s="1">
        <v>6967029</v>
      </c>
      <c r="C6694" t="s">
        <v>2633</v>
      </c>
      <c r="D6694" t="s">
        <v>6888</v>
      </c>
      <c r="E6694" t="s">
        <v>8</v>
      </c>
    </row>
    <row r="6695" spans="1:5" hidden="1" outlineLevel="2">
      <c r="A6695" s="3" t="e">
        <f>(HYPERLINK("http://www.autodoc.ru/Web/price/art/6294AGSMVW2B?analog=on","6294AGSMVW2B"))*1</f>
        <v>#VALUE!</v>
      </c>
      <c r="B6695" s="1">
        <v>6960785</v>
      </c>
      <c r="C6695" t="s">
        <v>2633</v>
      </c>
      <c r="D6695" t="s">
        <v>6889</v>
      </c>
      <c r="E6695" t="s">
        <v>8</v>
      </c>
    </row>
    <row r="6696" spans="1:5" hidden="1" outlineLevel="2">
      <c r="A6696" s="3" t="e">
        <f>(HYPERLINK("http://www.autodoc.ru/Web/price/art/6294AGSMW2B?analog=on","6294AGSMW2B"))*1</f>
        <v>#VALUE!</v>
      </c>
      <c r="B6696" s="1">
        <v>6960783</v>
      </c>
      <c r="C6696" t="s">
        <v>755</v>
      </c>
      <c r="D6696" t="s">
        <v>6890</v>
      </c>
      <c r="E6696" t="s">
        <v>8</v>
      </c>
    </row>
    <row r="6697" spans="1:5" hidden="1" outlineLevel="2">
      <c r="A6697" s="3" t="e">
        <f>(HYPERLINK("http://www.autodoc.ru/Web/price/art/6294AGSVW?analog=on","6294AGSVW"))*1</f>
        <v>#VALUE!</v>
      </c>
      <c r="B6697" s="1">
        <v>6960782</v>
      </c>
      <c r="C6697" t="s">
        <v>755</v>
      </c>
      <c r="D6697" t="s">
        <v>6891</v>
      </c>
      <c r="E6697" t="s">
        <v>8</v>
      </c>
    </row>
    <row r="6698" spans="1:5" hidden="1" outlineLevel="2">
      <c r="A6698" s="3" t="e">
        <f>(HYPERLINK("http://www.autodoc.ru/Web/price/art/6294AGSW?analog=on","6294AGSW"))*1</f>
        <v>#VALUE!</v>
      </c>
      <c r="B6698" s="1">
        <v>6960781</v>
      </c>
      <c r="C6698" t="s">
        <v>755</v>
      </c>
      <c r="D6698" t="s">
        <v>6892</v>
      </c>
      <c r="E6698" t="s">
        <v>8</v>
      </c>
    </row>
    <row r="6699" spans="1:5" hidden="1" outlineLevel="2">
      <c r="A6699" s="3" t="e">
        <f>(HYPERLINK("http://www.autodoc.ru/Web/price/art/6294BGDEBZ?analog=on","6294BGDEBZ"))*1</f>
        <v>#VALUE!</v>
      </c>
      <c r="B6699" s="1">
        <v>6992145</v>
      </c>
      <c r="C6699" t="s">
        <v>755</v>
      </c>
      <c r="D6699" t="s">
        <v>6893</v>
      </c>
      <c r="E6699" t="s">
        <v>23</v>
      </c>
    </row>
    <row r="6700" spans="1:5" hidden="1" outlineLevel="2">
      <c r="A6700" s="3" t="e">
        <f>(HYPERLINK("http://www.autodoc.ru/Web/price/art/6294BGDVZ?analog=on","6294BGDVZ"))*1</f>
        <v>#VALUE!</v>
      </c>
      <c r="B6700" s="1">
        <v>6996551</v>
      </c>
      <c r="C6700" t="s">
        <v>755</v>
      </c>
      <c r="D6700" t="s">
        <v>6894</v>
      </c>
      <c r="E6700" t="s">
        <v>23</v>
      </c>
    </row>
    <row r="6701" spans="1:5" hidden="1" outlineLevel="2">
      <c r="A6701" s="3" t="e">
        <f>(HYPERLINK("http://www.autodoc.ru/Web/price/art/6294BGSHZ?analog=on","6294BGSHZ"))*1</f>
        <v>#VALUE!</v>
      </c>
      <c r="B6701" s="1">
        <v>6990901</v>
      </c>
      <c r="C6701" t="s">
        <v>2633</v>
      </c>
      <c r="D6701" t="s">
        <v>6895</v>
      </c>
      <c r="E6701" t="s">
        <v>23</v>
      </c>
    </row>
    <row r="6702" spans="1:5" hidden="1" outlineLevel="2">
      <c r="A6702" s="3" t="e">
        <f>(HYPERLINK("http://www.autodoc.ru/Web/price/art/6294BGSHZ1E?analog=on","6294BGSHZ1E"))*1</f>
        <v>#VALUE!</v>
      </c>
      <c r="B6702" s="1">
        <v>6992399</v>
      </c>
      <c r="C6702" t="s">
        <v>2633</v>
      </c>
      <c r="D6702" t="s">
        <v>6896</v>
      </c>
      <c r="E6702" t="s">
        <v>23</v>
      </c>
    </row>
    <row r="6703" spans="1:5" hidden="1" outlineLevel="2">
      <c r="A6703" s="3" t="e">
        <f>(HYPERLINK("http://www.autodoc.ru/Web/price/art/6294BGSSW?analog=on","6294BGSSW"))*1</f>
        <v>#VALUE!</v>
      </c>
      <c r="B6703" s="1">
        <v>6999912</v>
      </c>
      <c r="C6703" t="s">
        <v>2633</v>
      </c>
      <c r="D6703" t="s">
        <v>6897</v>
      </c>
      <c r="E6703" t="s">
        <v>23</v>
      </c>
    </row>
    <row r="6704" spans="1:5" hidden="1" outlineLevel="2">
      <c r="A6704" s="3" t="e">
        <f>(HYPERLINK("http://www.autodoc.ru/Web/price/art/6294BGSVZ?analog=on","6294BGSVZ"))*1</f>
        <v>#VALUE!</v>
      </c>
      <c r="B6704" s="1">
        <v>6996552</v>
      </c>
      <c r="C6704" t="s">
        <v>755</v>
      </c>
      <c r="D6704" t="s">
        <v>6898</v>
      </c>
      <c r="E6704" t="s">
        <v>23</v>
      </c>
    </row>
    <row r="6705" spans="1:5" hidden="1" outlineLevel="2">
      <c r="A6705" s="3" t="e">
        <f>(HYPERLINK("http://www.autodoc.ru/Web/price/art/6294BGSEBZ?analog=on","6294BGSEBZ"))*1</f>
        <v>#VALUE!</v>
      </c>
      <c r="B6705" s="1">
        <v>6996097</v>
      </c>
      <c r="C6705" t="s">
        <v>755</v>
      </c>
      <c r="D6705" t="s">
        <v>6899</v>
      </c>
      <c r="E6705" t="s">
        <v>23</v>
      </c>
    </row>
    <row r="6706" spans="1:5" hidden="1" outlineLevel="2">
      <c r="A6706" s="3" t="e">
        <f>(HYPERLINK("http://www.autodoc.ru/Web/price/art/6294LGSH5FDW?analog=on","6294LGSH5FDW"))*1</f>
        <v>#VALUE!</v>
      </c>
      <c r="B6706" s="1">
        <v>6996267</v>
      </c>
      <c r="C6706" t="s">
        <v>2633</v>
      </c>
      <c r="D6706" t="s">
        <v>6900</v>
      </c>
      <c r="E6706" t="s">
        <v>10</v>
      </c>
    </row>
    <row r="6707" spans="1:5" hidden="1" outlineLevel="2">
      <c r="A6707" s="3" t="e">
        <f>(HYPERLINK("http://www.autodoc.ru/Web/price/art/6294LGSH5RD?analog=on","6294LGSH5RD"))*1</f>
        <v>#VALUE!</v>
      </c>
      <c r="B6707" s="1">
        <v>6900184</v>
      </c>
      <c r="C6707" t="s">
        <v>2633</v>
      </c>
      <c r="D6707" t="s">
        <v>6901</v>
      </c>
      <c r="E6707" t="s">
        <v>10</v>
      </c>
    </row>
    <row r="6708" spans="1:5" hidden="1" outlineLevel="2">
      <c r="A6708" s="3" t="e">
        <f>(HYPERLINK("http://www.autodoc.ru/Web/price/art/6294LGSH5RQZ?analog=on","6294LGSH5RQZ"))*1</f>
        <v>#VALUE!</v>
      </c>
      <c r="B6708" s="1">
        <v>6990365</v>
      </c>
      <c r="C6708" t="s">
        <v>2633</v>
      </c>
      <c r="D6708" t="s">
        <v>6902</v>
      </c>
      <c r="E6708" t="s">
        <v>10</v>
      </c>
    </row>
    <row r="6709" spans="1:5" hidden="1" outlineLevel="2">
      <c r="A6709" s="3" t="e">
        <f>(HYPERLINK("http://www.autodoc.ru/Web/price/art/6294LGSH5RQZ1D?analog=on","6294LGSH5RQZ1D"))*1</f>
        <v>#VALUE!</v>
      </c>
      <c r="B6709" s="1">
        <v>6991827</v>
      </c>
      <c r="C6709" t="s">
        <v>2633</v>
      </c>
      <c r="D6709" t="s">
        <v>6903</v>
      </c>
      <c r="E6709" t="s">
        <v>10</v>
      </c>
    </row>
    <row r="6710" spans="1:5" hidden="1" outlineLevel="2">
      <c r="A6710" s="3" t="e">
        <f>(HYPERLINK("http://www.autodoc.ru/Web/price/art/6294LGSS4RDW?analog=on","6294LGSS4RDW"))*1</f>
        <v>#VALUE!</v>
      </c>
      <c r="B6710" s="1">
        <v>6900150</v>
      </c>
      <c r="C6710" t="s">
        <v>2633</v>
      </c>
      <c r="D6710" t="s">
        <v>6904</v>
      </c>
      <c r="E6710" t="s">
        <v>10</v>
      </c>
    </row>
    <row r="6711" spans="1:5" hidden="1" outlineLevel="2">
      <c r="A6711" s="3" t="e">
        <f>(HYPERLINK("http://www.autodoc.ru/Web/price/art/6294LGSV5RDW?analog=on","6294LGSV5RDW"))*1</f>
        <v>#VALUE!</v>
      </c>
      <c r="B6711" s="1">
        <v>6997225</v>
      </c>
      <c r="C6711" t="s">
        <v>755</v>
      </c>
      <c r="D6711" t="s">
        <v>6905</v>
      </c>
      <c r="E6711" t="s">
        <v>10</v>
      </c>
    </row>
    <row r="6712" spans="1:5" hidden="1" outlineLevel="2">
      <c r="A6712" s="3" t="e">
        <f>(HYPERLINK("http://www.autodoc.ru/Web/price/art/6294RGSH5FDW?analog=on","6294RGSH5FDW"))*1</f>
        <v>#VALUE!</v>
      </c>
      <c r="B6712" s="1">
        <v>6996098</v>
      </c>
      <c r="C6712" t="s">
        <v>2633</v>
      </c>
      <c r="D6712" t="s">
        <v>6906</v>
      </c>
      <c r="E6712" t="s">
        <v>10</v>
      </c>
    </row>
    <row r="6713" spans="1:5" hidden="1" outlineLevel="2">
      <c r="A6713" s="3" t="e">
        <f>(HYPERLINK("http://www.autodoc.ru/Web/price/art/6294RGSH5RD?analog=on","6294RGSH5RD"))*1</f>
        <v>#VALUE!</v>
      </c>
      <c r="B6713" s="1">
        <v>6900267</v>
      </c>
      <c r="C6713" t="s">
        <v>2633</v>
      </c>
      <c r="D6713" t="s">
        <v>6907</v>
      </c>
      <c r="E6713" t="s">
        <v>10</v>
      </c>
    </row>
    <row r="6714" spans="1:5" hidden="1" outlineLevel="2">
      <c r="A6714" s="3" t="e">
        <f>(HYPERLINK("http://www.autodoc.ru/Web/price/art/6294RGSH5RQZ?analog=on","6294RGSH5RQZ"))*1</f>
        <v>#VALUE!</v>
      </c>
      <c r="B6714" s="1">
        <v>6990364</v>
      </c>
      <c r="C6714" t="s">
        <v>2633</v>
      </c>
      <c r="D6714" t="s">
        <v>6908</v>
      </c>
      <c r="E6714" t="s">
        <v>10</v>
      </c>
    </row>
    <row r="6715" spans="1:5" hidden="1" outlineLevel="2">
      <c r="A6715" s="3" t="e">
        <f>(HYPERLINK("http://www.autodoc.ru/Web/price/art/6294RGSH5RQZ1D?analog=on","6294RGSH5RQZ1D"))*1</f>
        <v>#VALUE!</v>
      </c>
      <c r="B6715" s="1">
        <v>6991826</v>
      </c>
      <c r="C6715" t="s">
        <v>2633</v>
      </c>
      <c r="D6715" t="s">
        <v>6909</v>
      </c>
      <c r="E6715" t="s">
        <v>10</v>
      </c>
    </row>
    <row r="6716" spans="1:5" hidden="1" outlineLevel="2">
      <c r="A6716" s="3" t="e">
        <f>(HYPERLINK("http://www.autodoc.ru/Web/price/art/6294RGSS4RD?analog=on","6294RGSS4RD"))*1</f>
        <v>#VALUE!</v>
      </c>
      <c r="B6716" s="1">
        <v>6900266</v>
      </c>
      <c r="C6716" t="s">
        <v>2633</v>
      </c>
      <c r="D6716" t="s">
        <v>6910</v>
      </c>
      <c r="E6716" t="s">
        <v>10</v>
      </c>
    </row>
    <row r="6717" spans="1:5" hidden="1" outlineLevel="2">
      <c r="A6717" s="3" t="e">
        <f>(HYPERLINK("http://www.autodoc.ru/Web/price/art/6294RGSV5RDW?analog=on","6294RGSV5RDW"))*1</f>
        <v>#VALUE!</v>
      </c>
      <c r="B6717" s="1">
        <v>6997226</v>
      </c>
      <c r="C6717" t="s">
        <v>755</v>
      </c>
      <c r="D6717" t="s">
        <v>6911</v>
      </c>
      <c r="E6717" t="s">
        <v>10</v>
      </c>
    </row>
    <row r="6718" spans="1:5" hidden="1" outlineLevel="1">
      <c r="A6718" s="2">
        <v>0</v>
      </c>
      <c r="B6718" s="26" t="s">
        <v>6912</v>
      </c>
      <c r="C6718" s="27">
        <v>0</v>
      </c>
      <c r="D6718" s="27">
        <v>0</v>
      </c>
      <c r="E6718" s="27">
        <v>0</v>
      </c>
    </row>
    <row r="6719" spans="1:5" hidden="1" outlineLevel="2">
      <c r="A6719" s="3" t="e">
        <f>(HYPERLINK("http://www.autodoc.ru/Web/price/art/6300ACCV?analog=on","6300ACCV"))*1</f>
        <v>#VALUE!</v>
      </c>
      <c r="B6719" s="1">
        <v>6190457</v>
      </c>
      <c r="C6719" t="s">
        <v>790</v>
      </c>
      <c r="D6719" t="s">
        <v>6913</v>
      </c>
      <c r="E6719" t="s">
        <v>8</v>
      </c>
    </row>
    <row r="6720" spans="1:5" hidden="1" outlineLevel="2">
      <c r="A6720" s="3" t="e">
        <f>(HYPERLINK("http://www.autodoc.ru/Web/price/art/6300ACCV1H?analog=on","6300ACCV1H"))*1</f>
        <v>#VALUE!</v>
      </c>
      <c r="B6720" s="1">
        <v>6190870</v>
      </c>
      <c r="C6720" t="s">
        <v>790</v>
      </c>
      <c r="D6720" t="s">
        <v>6914</v>
      </c>
      <c r="E6720" t="s">
        <v>8</v>
      </c>
    </row>
    <row r="6721" spans="1:5" hidden="1" outlineLevel="2">
      <c r="A6721" s="3" t="e">
        <f>(HYPERLINK("http://www.autodoc.ru/Web/price/art/6300AGSV1C?analog=on","6300AGSV1C"))*1</f>
        <v>#VALUE!</v>
      </c>
      <c r="B6721" s="1">
        <v>6190460</v>
      </c>
      <c r="C6721" t="s">
        <v>790</v>
      </c>
      <c r="D6721" t="s">
        <v>6915</v>
      </c>
      <c r="E6721" t="s">
        <v>8</v>
      </c>
    </row>
    <row r="6722" spans="1:5" hidden="1" outlineLevel="2">
      <c r="A6722" s="3" t="e">
        <f>(HYPERLINK("http://www.autodoc.ru/Web/price/art/6300AGSV1H?analog=on","6300AGSV1H"))*1</f>
        <v>#VALUE!</v>
      </c>
      <c r="B6722" s="1">
        <v>6190803</v>
      </c>
      <c r="C6722" t="s">
        <v>790</v>
      </c>
      <c r="D6722" t="s">
        <v>6916</v>
      </c>
      <c r="E6722" t="s">
        <v>8</v>
      </c>
    </row>
    <row r="6723" spans="1:5" hidden="1" outlineLevel="2">
      <c r="A6723" s="3" t="e">
        <f>(HYPERLINK("http://www.autodoc.ru/Web/price/art/OLD-6300ASMVT?analog=on","OLD-6300ASMVT"))*1</f>
        <v>#VALUE!</v>
      </c>
      <c r="B6723" s="1">
        <v>6101430</v>
      </c>
      <c r="C6723" t="s">
        <v>19</v>
      </c>
      <c r="D6723" t="s">
        <v>6917</v>
      </c>
      <c r="E6723" t="s">
        <v>21</v>
      </c>
    </row>
    <row r="6724" spans="1:5" hidden="1" outlineLevel="2">
      <c r="A6724" s="3" t="e">
        <f>(HYPERLINK("http://www.autodoc.ru/Web/price/art/6300BGSV?analog=on","6300BGSV"))*1</f>
        <v>#VALUE!</v>
      </c>
      <c r="B6724" s="1">
        <v>6190462</v>
      </c>
      <c r="C6724" t="s">
        <v>790</v>
      </c>
      <c r="D6724" t="s">
        <v>6918</v>
      </c>
      <c r="E6724" t="s">
        <v>23</v>
      </c>
    </row>
    <row r="6725" spans="1:5" hidden="1" outlineLevel="2">
      <c r="A6725" s="3" t="e">
        <f>(HYPERLINK("http://www.autodoc.ru/Web/price/art/6300BGSVL?analog=on","6300BGSVL"))*1</f>
        <v>#VALUE!</v>
      </c>
      <c r="B6725" s="1">
        <v>6190463</v>
      </c>
      <c r="C6725" t="s">
        <v>790</v>
      </c>
      <c r="D6725" t="s">
        <v>6919</v>
      </c>
      <c r="E6725" t="s">
        <v>23</v>
      </c>
    </row>
    <row r="6726" spans="1:5" hidden="1" outlineLevel="2">
      <c r="A6726" s="3" t="e">
        <f>(HYPERLINK("http://www.autodoc.ru/Web/price/art/6300BGSVLU?analog=on","6300BGSVLU"))*1</f>
        <v>#VALUE!</v>
      </c>
      <c r="B6726" s="1">
        <v>6190464</v>
      </c>
      <c r="C6726" t="s">
        <v>790</v>
      </c>
      <c r="D6726" t="s">
        <v>6920</v>
      </c>
      <c r="E6726" t="s">
        <v>23</v>
      </c>
    </row>
    <row r="6727" spans="1:5" hidden="1" outlineLevel="2">
      <c r="A6727" s="3" t="e">
        <f>(HYPERLINK("http://www.autodoc.ru/Web/price/art/6300BGSVR?analog=on","6300BGSVR"))*1</f>
        <v>#VALUE!</v>
      </c>
      <c r="B6727" s="1">
        <v>6190465</v>
      </c>
      <c r="C6727" t="s">
        <v>790</v>
      </c>
      <c r="D6727" t="s">
        <v>6921</v>
      </c>
      <c r="E6727" t="s">
        <v>23</v>
      </c>
    </row>
    <row r="6728" spans="1:5" hidden="1" outlineLevel="2">
      <c r="A6728" s="3" t="e">
        <f>(HYPERLINK("http://www.autodoc.ru/Web/price/art/6300BGSVRU?analog=on","6300BGSVRU"))*1</f>
        <v>#VALUE!</v>
      </c>
      <c r="B6728" s="1">
        <v>6190466</v>
      </c>
      <c r="C6728" t="s">
        <v>790</v>
      </c>
      <c r="D6728" t="s">
        <v>6922</v>
      </c>
      <c r="E6728" t="s">
        <v>23</v>
      </c>
    </row>
    <row r="6729" spans="1:5" hidden="1" outlineLevel="2">
      <c r="A6729" s="3" t="e">
        <f>(HYPERLINK("http://www.autodoc.ru/Web/price/art/6300LGSV2FD?analog=on","6300LGSV2FD"))*1</f>
        <v>#VALUE!</v>
      </c>
      <c r="B6729" s="1">
        <v>6190467</v>
      </c>
      <c r="C6729" t="s">
        <v>790</v>
      </c>
      <c r="D6729" t="s">
        <v>6923</v>
      </c>
      <c r="E6729" t="s">
        <v>10</v>
      </c>
    </row>
    <row r="6730" spans="1:5" hidden="1" outlineLevel="2">
      <c r="A6730" s="3" t="e">
        <f>(HYPERLINK("http://www.autodoc.ru/Web/price/art/6300LGSV2FV?analog=on","6300LGSV2FV"))*1</f>
        <v>#VALUE!</v>
      </c>
      <c r="B6730" s="1">
        <v>6190468</v>
      </c>
      <c r="C6730" t="s">
        <v>790</v>
      </c>
      <c r="D6730" t="s">
        <v>6924</v>
      </c>
      <c r="E6730" t="s">
        <v>10</v>
      </c>
    </row>
    <row r="6731" spans="1:5" hidden="1" outlineLevel="2">
      <c r="A6731" s="3" t="e">
        <f>(HYPERLINK("http://www.autodoc.ru/Web/price/art/6300LGSV2RQ?analog=on","6300LGSV2RQ"))*1</f>
        <v>#VALUE!</v>
      </c>
      <c r="B6731" s="1">
        <v>6190762</v>
      </c>
      <c r="C6731" t="s">
        <v>790</v>
      </c>
      <c r="D6731" t="s">
        <v>6925</v>
      </c>
      <c r="E6731" t="s">
        <v>10</v>
      </c>
    </row>
    <row r="6732" spans="1:5" hidden="1" outlineLevel="2">
      <c r="A6732" s="3" t="e">
        <f>(HYPERLINK("http://www.autodoc.ru/Web/price/art/6300LGSV3MQ?analog=on","6300LGSV3MQ"))*1</f>
        <v>#VALUE!</v>
      </c>
      <c r="B6732" s="1">
        <v>6190469</v>
      </c>
      <c r="C6732" t="s">
        <v>790</v>
      </c>
      <c r="D6732" t="s">
        <v>6926</v>
      </c>
      <c r="E6732" t="s">
        <v>10</v>
      </c>
    </row>
    <row r="6733" spans="1:5" hidden="1" outlineLevel="2">
      <c r="A6733" s="3" t="e">
        <f>(HYPERLINK("http://www.autodoc.ru/Web/price/art/6300LGSV4RD?analog=on","6300LGSV4RD"))*1</f>
        <v>#VALUE!</v>
      </c>
      <c r="B6733" s="1">
        <v>6190470</v>
      </c>
      <c r="C6733" t="s">
        <v>790</v>
      </c>
      <c r="D6733" t="s">
        <v>6927</v>
      </c>
      <c r="E6733" t="s">
        <v>10</v>
      </c>
    </row>
    <row r="6734" spans="1:5" hidden="1" outlineLevel="2">
      <c r="A6734" s="3" t="e">
        <f>(HYPERLINK("http://www.autodoc.ru/Web/price/art/6300LGSV4RQ1J?analog=on","6300LGSV4RQ1J"))*1</f>
        <v>#VALUE!</v>
      </c>
      <c r="B6734" s="1">
        <v>6190471</v>
      </c>
      <c r="C6734" t="s">
        <v>790</v>
      </c>
      <c r="D6734" t="s">
        <v>6928</v>
      </c>
      <c r="E6734" t="s">
        <v>10</v>
      </c>
    </row>
    <row r="6735" spans="1:5" hidden="1" outlineLevel="2">
      <c r="A6735" s="3" t="e">
        <f>(HYPERLINK("http://www.autodoc.ru/Web/price/art/6300RGSV2FD?analog=on","6300RGSV2FD"))*1</f>
        <v>#VALUE!</v>
      </c>
      <c r="B6735" s="1">
        <v>6190472</v>
      </c>
      <c r="C6735" t="s">
        <v>790</v>
      </c>
      <c r="D6735" t="s">
        <v>6929</v>
      </c>
      <c r="E6735" t="s">
        <v>10</v>
      </c>
    </row>
    <row r="6736" spans="1:5" hidden="1" outlineLevel="2">
      <c r="A6736" s="3" t="e">
        <f>(HYPERLINK("http://www.autodoc.ru/Web/price/art/6300RGSV2FV?analog=on","6300RGSV2FV"))*1</f>
        <v>#VALUE!</v>
      </c>
      <c r="B6736" s="1">
        <v>6190473</v>
      </c>
      <c r="C6736" t="s">
        <v>790</v>
      </c>
      <c r="D6736" t="s">
        <v>6930</v>
      </c>
      <c r="E6736" t="s">
        <v>10</v>
      </c>
    </row>
    <row r="6737" spans="1:5" hidden="1" outlineLevel="2">
      <c r="A6737" s="3" t="e">
        <f>(HYPERLINK("http://www.autodoc.ru/Web/price/art/6300RGSV2RQ?analog=on","6300RGSV2RQ"))*1</f>
        <v>#VALUE!</v>
      </c>
      <c r="B6737" s="1">
        <v>6190763</v>
      </c>
      <c r="C6737" t="s">
        <v>790</v>
      </c>
      <c r="D6737" t="s">
        <v>6931</v>
      </c>
      <c r="E6737" t="s">
        <v>10</v>
      </c>
    </row>
    <row r="6738" spans="1:5" hidden="1" outlineLevel="2">
      <c r="A6738" s="3" t="e">
        <f>(HYPERLINK("http://www.autodoc.ru/Web/price/art/6300RGSV4RD?analog=on","6300RGSV4RD"))*1</f>
        <v>#VALUE!</v>
      </c>
      <c r="B6738" s="1">
        <v>6190474</v>
      </c>
      <c r="C6738" t="s">
        <v>790</v>
      </c>
      <c r="D6738" t="s">
        <v>6932</v>
      </c>
      <c r="E6738" t="s">
        <v>10</v>
      </c>
    </row>
    <row r="6739" spans="1:5" hidden="1" outlineLevel="2">
      <c r="A6739" s="3" t="e">
        <f>(HYPERLINK("http://www.autodoc.ru/Web/price/art/6300RGSV4RQ1J?analog=on","6300RGSV4RQ1J"))*1</f>
        <v>#VALUE!</v>
      </c>
      <c r="B6739" s="1">
        <v>6190475</v>
      </c>
      <c r="C6739" t="s">
        <v>790</v>
      </c>
      <c r="D6739" t="s">
        <v>6933</v>
      </c>
      <c r="E6739" t="s">
        <v>10</v>
      </c>
    </row>
    <row r="6740" spans="1:5" hidden="1" outlineLevel="1">
      <c r="A6740" s="2">
        <v>0</v>
      </c>
      <c r="B6740" s="26" t="s">
        <v>6934</v>
      </c>
      <c r="C6740" s="27">
        <v>0</v>
      </c>
      <c r="D6740" s="27">
        <v>0</v>
      </c>
      <c r="E6740" s="27">
        <v>0</v>
      </c>
    </row>
    <row r="6741" spans="1:5" hidden="1" outlineLevel="2">
      <c r="A6741" s="3" t="e">
        <f>(HYPERLINK("http://www.autodoc.ru/Web/price/art/6283ACCBL?analog=on","6283ACCBL"))*1</f>
        <v>#VALUE!</v>
      </c>
      <c r="B6741" s="1">
        <v>6960528</v>
      </c>
      <c r="C6741" t="s">
        <v>552</v>
      </c>
      <c r="D6741" t="s">
        <v>6935</v>
      </c>
      <c r="E6741" t="s">
        <v>8</v>
      </c>
    </row>
    <row r="6742" spans="1:5" hidden="1" outlineLevel="2">
      <c r="A6742" s="3" t="e">
        <f>(HYPERLINK("http://www.autodoc.ru/Web/price/art/6283ACCBLV?analog=on","6283ACCBLV"))*1</f>
        <v>#VALUE!</v>
      </c>
      <c r="B6742" s="1">
        <v>6960529</v>
      </c>
      <c r="C6742" t="s">
        <v>552</v>
      </c>
      <c r="D6742" t="s">
        <v>6936</v>
      </c>
      <c r="E6742" t="s">
        <v>8</v>
      </c>
    </row>
    <row r="6743" spans="1:5" hidden="1" outlineLevel="2">
      <c r="A6743" s="3" t="e">
        <f>(HYPERLINK("http://www.autodoc.ru/Web/price/art/6283AGS?analog=on","6283AGS"))*1</f>
        <v>#VALUE!</v>
      </c>
      <c r="B6743" s="1">
        <v>6963200</v>
      </c>
      <c r="C6743" t="s">
        <v>552</v>
      </c>
      <c r="D6743" t="s">
        <v>6937</v>
      </c>
      <c r="E6743" t="s">
        <v>8</v>
      </c>
    </row>
    <row r="6744" spans="1:5" hidden="1" outlineLevel="2">
      <c r="A6744" s="3" t="e">
        <f>(HYPERLINK("http://www.autodoc.ru/Web/price/art/6283AGSBL?analog=on","6283AGSBL"))*1</f>
        <v>#VALUE!</v>
      </c>
      <c r="B6744" s="1">
        <v>6961149</v>
      </c>
      <c r="C6744" t="s">
        <v>552</v>
      </c>
      <c r="D6744" t="s">
        <v>6938</v>
      </c>
      <c r="E6744" t="s">
        <v>8</v>
      </c>
    </row>
    <row r="6745" spans="1:5" hidden="1" outlineLevel="2">
      <c r="A6745" s="3" t="e">
        <f>(HYPERLINK("http://www.autodoc.ru/Web/price/art/6283AGSBLV?analog=on","6283AGSBLV"))*1</f>
        <v>#VALUE!</v>
      </c>
      <c r="B6745" s="1">
        <v>6963201</v>
      </c>
      <c r="C6745" t="s">
        <v>552</v>
      </c>
      <c r="D6745" t="s">
        <v>6939</v>
      </c>
      <c r="E6745" t="s">
        <v>8</v>
      </c>
    </row>
    <row r="6746" spans="1:5" hidden="1" outlineLevel="2">
      <c r="A6746" s="3" t="e">
        <f>(HYPERLINK("http://www.autodoc.ru/Web/price/art/6283AGSV?analog=on","6283AGSV"))*1</f>
        <v>#VALUE!</v>
      </c>
      <c r="B6746" s="1">
        <v>6961292</v>
      </c>
      <c r="C6746" t="s">
        <v>552</v>
      </c>
      <c r="D6746" t="s">
        <v>6940</v>
      </c>
      <c r="E6746" t="s">
        <v>8</v>
      </c>
    </row>
    <row r="6747" spans="1:5" hidden="1" outlineLevel="2">
      <c r="A6747" s="3" t="e">
        <f>(HYPERLINK("http://www.autodoc.ru/Web/price/art/6283AKMV?analog=on","6283AKMV"))*1</f>
        <v>#VALUE!</v>
      </c>
      <c r="B6747" s="1">
        <v>6100507</v>
      </c>
      <c r="C6747" t="s">
        <v>19</v>
      </c>
      <c r="D6747" t="s">
        <v>6941</v>
      </c>
      <c r="E6747" t="s">
        <v>21</v>
      </c>
    </row>
    <row r="6748" spans="1:5" hidden="1" outlineLevel="2">
      <c r="A6748" s="3" t="e">
        <f>(HYPERLINK("http://www.autodoc.ru/Web/price/art/6283ASMVB?analog=on","6283ASMVB"))*1</f>
        <v>#VALUE!</v>
      </c>
      <c r="B6748" s="1">
        <v>6101716</v>
      </c>
      <c r="C6748" t="s">
        <v>19</v>
      </c>
      <c r="D6748" t="s">
        <v>6942</v>
      </c>
      <c r="E6748" t="s">
        <v>21</v>
      </c>
    </row>
    <row r="6749" spans="1:5" hidden="1" outlineLevel="2">
      <c r="A6749" s="3" t="e">
        <f>(HYPERLINK("http://www.autodoc.ru/Web/price/art/6283ASMVT?analog=on","6283ASMVT"))*1</f>
        <v>#VALUE!</v>
      </c>
      <c r="B6749" s="1">
        <v>6100568</v>
      </c>
      <c r="C6749" t="s">
        <v>19</v>
      </c>
      <c r="D6749" t="s">
        <v>6943</v>
      </c>
      <c r="E6749" t="s">
        <v>21</v>
      </c>
    </row>
    <row r="6750" spans="1:5" hidden="1" outlineLevel="2">
      <c r="A6750" s="3" t="e">
        <f>(HYPERLINK("http://www.autodoc.ru/Web/price/art/6283BGDVB?analog=on","6283BGDVB"))*1</f>
        <v>#VALUE!</v>
      </c>
      <c r="B6750" s="1">
        <v>6999914</v>
      </c>
      <c r="C6750" t="s">
        <v>552</v>
      </c>
      <c r="D6750" t="s">
        <v>6944</v>
      </c>
      <c r="E6750" t="s">
        <v>23</v>
      </c>
    </row>
    <row r="6751" spans="1:5" hidden="1" outlineLevel="2">
      <c r="A6751" s="3" t="e">
        <f>(HYPERLINK("http://www.autodoc.ru/Web/price/art/6283BGNVB?analog=on","6283BGNVB"))*1</f>
        <v>#VALUE!</v>
      </c>
      <c r="B6751" s="1">
        <v>6998911</v>
      </c>
      <c r="C6751" t="s">
        <v>552</v>
      </c>
      <c r="D6751" t="s">
        <v>6945</v>
      </c>
      <c r="E6751" t="s">
        <v>23</v>
      </c>
    </row>
    <row r="6752" spans="1:5" hidden="1" outlineLevel="2">
      <c r="A6752" s="3" t="e">
        <f>(HYPERLINK("http://www.autodoc.ru/Web/price/art/6283BGNVB1J?analog=on","6283BGNVB1J"))*1</f>
        <v>#VALUE!</v>
      </c>
      <c r="B6752" s="1">
        <v>6900526</v>
      </c>
      <c r="C6752" t="s">
        <v>552</v>
      </c>
      <c r="D6752" t="s">
        <v>6946</v>
      </c>
      <c r="E6752" t="s">
        <v>23</v>
      </c>
    </row>
    <row r="6753" spans="1:5" hidden="1" outlineLevel="2">
      <c r="A6753" s="3" t="e">
        <f>(HYPERLINK("http://www.autodoc.ru/Web/price/art/6283BSMV?analog=on","6283BSMV"))*1</f>
        <v>#VALUE!</v>
      </c>
      <c r="B6753" s="1">
        <v>6100977</v>
      </c>
      <c r="C6753" t="s">
        <v>19</v>
      </c>
      <c r="D6753" t="s">
        <v>6947</v>
      </c>
      <c r="E6753" t="s">
        <v>21</v>
      </c>
    </row>
    <row r="6754" spans="1:5" hidden="1" outlineLevel="2">
      <c r="A6754" s="3" t="e">
        <f>(HYPERLINK("http://www.autodoc.ru/Web/price/art/6283LGNV5FD?analog=on","6283LGNV5FD"))*1</f>
        <v>#VALUE!</v>
      </c>
      <c r="B6754" s="1">
        <v>6995573</v>
      </c>
      <c r="C6754" t="s">
        <v>552</v>
      </c>
      <c r="D6754" t="s">
        <v>6948</v>
      </c>
      <c r="E6754" t="s">
        <v>10</v>
      </c>
    </row>
    <row r="6755" spans="1:5" hidden="1" outlineLevel="2">
      <c r="A6755" s="3" t="e">
        <f>(HYPERLINK("http://www.autodoc.ru/Web/price/art/6283LGNV5RD?analog=on","6283LGNV5RD"))*1</f>
        <v>#VALUE!</v>
      </c>
      <c r="B6755" s="1">
        <v>6994532</v>
      </c>
      <c r="C6755" t="s">
        <v>552</v>
      </c>
      <c r="D6755" t="s">
        <v>6949</v>
      </c>
      <c r="E6755" t="s">
        <v>10</v>
      </c>
    </row>
    <row r="6756" spans="1:5" hidden="1" outlineLevel="2">
      <c r="A6756" s="3" t="e">
        <f>(HYPERLINK("http://www.autodoc.ru/Web/price/art/6283LGNV5RV?analog=on","6283LGNV5RV"))*1</f>
        <v>#VALUE!</v>
      </c>
      <c r="B6756" s="1">
        <v>6995574</v>
      </c>
      <c r="C6756" t="s">
        <v>552</v>
      </c>
      <c r="D6756" t="s">
        <v>6950</v>
      </c>
      <c r="E6756" t="s">
        <v>10</v>
      </c>
    </row>
    <row r="6757" spans="1:5" hidden="1" outlineLevel="2">
      <c r="A6757" s="3" t="e">
        <f>(HYPERLINK("http://www.autodoc.ru/Web/price/art/6283LGNV5FQZ?analog=on","6283LGNV5FQZ"))*1</f>
        <v>#VALUE!</v>
      </c>
      <c r="B6757" s="1">
        <v>6994216</v>
      </c>
      <c r="C6757" t="s">
        <v>552</v>
      </c>
      <c r="D6757" t="s">
        <v>6951</v>
      </c>
      <c r="E6757" t="s">
        <v>10</v>
      </c>
    </row>
    <row r="6758" spans="1:5" hidden="1" outlineLevel="2">
      <c r="A6758" s="3" t="e">
        <f>(HYPERLINK("http://www.autodoc.ru/Web/price/art/6283RGNV5FD?analog=on","6283RGNV5FD"))*1</f>
        <v>#VALUE!</v>
      </c>
      <c r="B6758" s="1">
        <v>6995575</v>
      </c>
      <c r="C6758" t="s">
        <v>552</v>
      </c>
      <c r="D6758" t="s">
        <v>6952</v>
      </c>
      <c r="E6758" t="s">
        <v>10</v>
      </c>
    </row>
    <row r="6759" spans="1:5" hidden="1" outlineLevel="2">
      <c r="A6759" s="3" t="e">
        <f>(HYPERLINK("http://www.autodoc.ru/Web/price/art/6283RGNV5RD?analog=on","6283RGNV5RD"))*1</f>
        <v>#VALUE!</v>
      </c>
      <c r="B6759" s="1">
        <v>6994533</v>
      </c>
      <c r="C6759" t="s">
        <v>552</v>
      </c>
      <c r="D6759" t="s">
        <v>6953</v>
      </c>
      <c r="E6759" t="s">
        <v>10</v>
      </c>
    </row>
    <row r="6760" spans="1:5" hidden="1" outlineLevel="2">
      <c r="A6760" s="3" t="e">
        <f>(HYPERLINK("http://www.autodoc.ru/Web/price/art/6283RGNV5RV?analog=on","6283RGNV5RV"))*1</f>
        <v>#VALUE!</v>
      </c>
      <c r="B6760" s="1">
        <v>6995576</v>
      </c>
      <c r="C6760" t="s">
        <v>552</v>
      </c>
      <c r="D6760" t="s">
        <v>6954</v>
      </c>
      <c r="E6760" t="s">
        <v>10</v>
      </c>
    </row>
    <row r="6761" spans="1:5" hidden="1" outlineLevel="1">
      <c r="A6761" s="2">
        <v>0</v>
      </c>
      <c r="B6761" s="26" t="s">
        <v>6955</v>
      </c>
      <c r="C6761" s="27">
        <v>0</v>
      </c>
      <c r="D6761" s="27">
        <v>0</v>
      </c>
      <c r="E6761" s="27">
        <v>0</v>
      </c>
    </row>
    <row r="6762" spans="1:5" hidden="1" outlineLevel="2">
      <c r="A6762" s="3" t="e">
        <f>(HYPERLINK("http://www.autodoc.ru/Web/price/art/6307ACCBLMVW1R?analog=on","6307ACCBLMVW1R"))*1</f>
        <v>#VALUE!</v>
      </c>
      <c r="B6762" s="1">
        <v>6960649</v>
      </c>
      <c r="C6762" t="s">
        <v>83</v>
      </c>
      <c r="D6762" t="s">
        <v>6956</v>
      </c>
      <c r="E6762" t="s">
        <v>8</v>
      </c>
    </row>
    <row r="6763" spans="1:5" hidden="1" outlineLevel="2">
      <c r="A6763" s="3" t="e">
        <f>(HYPERLINK("http://www.autodoc.ru/Web/price/art/6307ACCBLVW1M?analog=on","6307ACCBLVW1M"))*1</f>
        <v>#VALUE!</v>
      </c>
      <c r="B6763" s="1">
        <v>6960634</v>
      </c>
      <c r="C6763" t="s">
        <v>83</v>
      </c>
      <c r="D6763" t="s">
        <v>6957</v>
      </c>
      <c r="E6763" t="s">
        <v>8</v>
      </c>
    </row>
    <row r="6764" spans="1:5" hidden="1" outlineLevel="2">
      <c r="A6764" s="3" t="e">
        <f>(HYPERLINK("http://www.autodoc.ru/Web/price/art/6307AGSMVW1R?analog=on","6307AGSMVW1R"))*1</f>
        <v>#VALUE!</v>
      </c>
      <c r="B6764" s="1">
        <v>6960633</v>
      </c>
      <c r="C6764" t="s">
        <v>83</v>
      </c>
      <c r="D6764" t="s">
        <v>6958</v>
      </c>
      <c r="E6764" t="s">
        <v>8</v>
      </c>
    </row>
    <row r="6765" spans="1:5" hidden="1" outlineLevel="2">
      <c r="A6765" s="3" t="e">
        <f>(HYPERLINK("http://www.autodoc.ru/Web/price/art/6307AGSVW1M?analog=on","6307AGSVW1M"))*1</f>
        <v>#VALUE!</v>
      </c>
      <c r="B6765" s="1">
        <v>6960650</v>
      </c>
      <c r="C6765" t="s">
        <v>83</v>
      </c>
      <c r="D6765" t="s">
        <v>6959</v>
      </c>
      <c r="E6765" t="s">
        <v>8</v>
      </c>
    </row>
    <row r="6766" spans="1:5" hidden="1" outlineLevel="2">
      <c r="A6766" s="3" t="e">
        <f>(HYPERLINK("http://www.autodoc.ru/Web/price/art/6307ASMV?analog=on","6307ASMV"))*1</f>
        <v>#VALUE!</v>
      </c>
      <c r="B6766" s="1">
        <v>6101721</v>
      </c>
      <c r="C6766" t="s">
        <v>19</v>
      </c>
      <c r="D6766" t="s">
        <v>6960</v>
      </c>
      <c r="E6766" t="s">
        <v>21</v>
      </c>
    </row>
    <row r="6767" spans="1:5" hidden="1" outlineLevel="2">
      <c r="A6767" s="3" t="e">
        <f>(HYPERLINK("http://www.autodoc.ru/Web/price/art/6307BGDV?analog=on","6307BGDV"))*1</f>
        <v>#VALUE!</v>
      </c>
      <c r="B6767" s="1">
        <v>6996554</v>
      </c>
      <c r="C6767" t="s">
        <v>83</v>
      </c>
      <c r="D6767" t="s">
        <v>6961</v>
      </c>
      <c r="E6767" t="s">
        <v>23</v>
      </c>
    </row>
    <row r="6768" spans="1:5" hidden="1" outlineLevel="2">
      <c r="A6768" s="3" t="e">
        <f>(HYPERLINK("http://www.autodoc.ru/Web/price/art/6307BGNV?analog=on","6307BGNV"))*1</f>
        <v>#VALUE!</v>
      </c>
      <c r="B6768" s="1">
        <v>6996555</v>
      </c>
      <c r="C6768" t="s">
        <v>83</v>
      </c>
      <c r="D6768" t="s">
        <v>6962</v>
      </c>
      <c r="E6768" t="s">
        <v>23</v>
      </c>
    </row>
    <row r="6769" spans="1:5" hidden="1" outlineLevel="2">
      <c r="A6769" s="3" t="e">
        <f>(HYPERLINK("http://www.autodoc.ru/Web/price/art/6307LGDV5RDW?analog=on","6307LGDV5RDW"))*1</f>
        <v>#VALUE!</v>
      </c>
      <c r="B6769" s="1">
        <v>6997374</v>
      </c>
      <c r="C6769" t="s">
        <v>83</v>
      </c>
      <c r="D6769" t="s">
        <v>6963</v>
      </c>
      <c r="E6769" t="s">
        <v>10</v>
      </c>
    </row>
    <row r="6770" spans="1:5" hidden="1" outlineLevel="2">
      <c r="A6770" s="3" t="e">
        <f>(HYPERLINK("http://www.autodoc.ru/Web/price/art/6307LGDV5RV?analog=on","6307LGDV5RV"))*1</f>
        <v>#VALUE!</v>
      </c>
      <c r="B6770" s="1">
        <v>6997378</v>
      </c>
      <c r="C6770" t="s">
        <v>83</v>
      </c>
      <c r="D6770" t="s">
        <v>6964</v>
      </c>
      <c r="E6770" t="s">
        <v>10</v>
      </c>
    </row>
    <row r="6771" spans="1:5" hidden="1" outlineLevel="2">
      <c r="A6771" s="3" t="e">
        <f>(HYPERLINK("http://www.autodoc.ru/Web/price/art/6307LGNV5FDW?analog=on","6307LGNV5FDW"))*1</f>
        <v>#VALUE!</v>
      </c>
      <c r="B6771" s="1">
        <v>6997372</v>
      </c>
      <c r="C6771" t="s">
        <v>83</v>
      </c>
      <c r="D6771" t="s">
        <v>6965</v>
      </c>
      <c r="E6771" t="s">
        <v>10</v>
      </c>
    </row>
    <row r="6772" spans="1:5" hidden="1" outlineLevel="2">
      <c r="A6772" s="3" t="e">
        <f>(HYPERLINK("http://www.autodoc.ru/Web/price/art/6307LGNV5FQZ?analog=on","6307LGNV5FQZ"))*1</f>
        <v>#VALUE!</v>
      </c>
      <c r="B6772" s="1">
        <v>6992395</v>
      </c>
      <c r="C6772" t="s">
        <v>83</v>
      </c>
      <c r="D6772" t="s">
        <v>6966</v>
      </c>
      <c r="E6772" t="s">
        <v>10</v>
      </c>
    </row>
    <row r="6773" spans="1:5" hidden="1" outlineLevel="2">
      <c r="A6773" s="3" t="e">
        <f>(HYPERLINK("http://www.autodoc.ru/Web/price/art/6307LGNV5FQZ1D?analog=on","6307LGNV5FQZ1D"))*1</f>
        <v>#VALUE!</v>
      </c>
      <c r="B6773" s="1">
        <v>6997651</v>
      </c>
      <c r="C6773" t="s">
        <v>83</v>
      </c>
      <c r="D6773" t="s">
        <v>6966</v>
      </c>
      <c r="E6773" t="s">
        <v>10</v>
      </c>
    </row>
    <row r="6774" spans="1:5" hidden="1" outlineLevel="2">
      <c r="A6774" s="3" t="e">
        <f>(HYPERLINK("http://www.autodoc.ru/Web/price/art/6307LGNV5RDW?analog=on","6307LGNV5RDW"))*1</f>
        <v>#VALUE!</v>
      </c>
      <c r="B6774" s="1">
        <v>6997376</v>
      </c>
      <c r="C6774" t="s">
        <v>83</v>
      </c>
      <c r="D6774" t="s">
        <v>6967</v>
      </c>
      <c r="E6774" t="s">
        <v>10</v>
      </c>
    </row>
    <row r="6775" spans="1:5" hidden="1" outlineLevel="2">
      <c r="A6775" s="3" t="e">
        <f>(HYPERLINK("http://www.autodoc.ru/Web/price/art/6307LGNV5RV?analog=on","6307LGNV5RV"))*1</f>
        <v>#VALUE!</v>
      </c>
      <c r="B6775" s="1">
        <v>6997384</v>
      </c>
      <c r="C6775" t="s">
        <v>83</v>
      </c>
      <c r="D6775" t="s">
        <v>6968</v>
      </c>
      <c r="E6775" t="s">
        <v>10</v>
      </c>
    </row>
    <row r="6776" spans="1:5" hidden="1" outlineLevel="2">
      <c r="A6776" s="3" t="e">
        <f>(HYPERLINK("http://www.autodoc.ru/Web/price/art/6307RGDV5RDW?analog=on","6307RGDV5RDW"))*1</f>
        <v>#VALUE!</v>
      </c>
      <c r="B6776" s="1">
        <v>6997375</v>
      </c>
      <c r="C6776" t="s">
        <v>83</v>
      </c>
      <c r="D6776" t="s">
        <v>6969</v>
      </c>
      <c r="E6776" t="s">
        <v>10</v>
      </c>
    </row>
    <row r="6777" spans="1:5" hidden="1" outlineLevel="2">
      <c r="A6777" s="3" t="e">
        <f>(HYPERLINK("http://www.autodoc.ru/Web/price/art/6307RGDV5RV?analog=on","6307RGDV5RV"))*1</f>
        <v>#VALUE!</v>
      </c>
      <c r="B6777" s="1">
        <v>6997379</v>
      </c>
      <c r="C6777" t="s">
        <v>83</v>
      </c>
      <c r="D6777" t="s">
        <v>6970</v>
      </c>
      <c r="E6777" t="s">
        <v>10</v>
      </c>
    </row>
    <row r="6778" spans="1:5" hidden="1" outlineLevel="2">
      <c r="A6778" s="3" t="e">
        <f>(HYPERLINK("http://www.autodoc.ru/Web/price/art/6307RGNV5FDW?analog=on","6307RGNV5FDW"))*1</f>
        <v>#VALUE!</v>
      </c>
      <c r="B6778" s="1">
        <v>6997373</v>
      </c>
      <c r="C6778" t="s">
        <v>83</v>
      </c>
      <c r="D6778" t="s">
        <v>6971</v>
      </c>
      <c r="E6778" t="s">
        <v>10</v>
      </c>
    </row>
    <row r="6779" spans="1:5" hidden="1" outlineLevel="2">
      <c r="A6779" s="3" t="e">
        <f>(HYPERLINK("http://www.autodoc.ru/Web/price/art/6307RGNV5FQZ?analog=on","6307RGNV5FQZ"))*1</f>
        <v>#VALUE!</v>
      </c>
      <c r="B6779" s="1">
        <v>6992396</v>
      </c>
      <c r="C6779" t="s">
        <v>83</v>
      </c>
      <c r="D6779" t="s">
        <v>6972</v>
      </c>
      <c r="E6779" t="s">
        <v>10</v>
      </c>
    </row>
    <row r="6780" spans="1:5" hidden="1" outlineLevel="2">
      <c r="A6780" s="3" t="e">
        <f>(HYPERLINK("http://www.autodoc.ru/Web/price/art/6307RGNV5FQZ1D?analog=on","6307RGNV5FQZ1D"))*1</f>
        <v>#VALUE!</v>
      </c>
      <c r="B6780" s="1">
        <v>6997650</v>
      </c>
      <c r="C6780" t="s">
        <v>83</v>
      </c>
      <c r="D6780" t="s">
        <v>6972</v>
      </c>
      <c r="E6780" t="s">
        <v>10</v>
      </c>
    </row>
    <row r="6781" spans="1:5" hidden="1" outlineLevel="2">
      <c r="A6781" s="3" t="e">
        <f>(HYPERLINK("http://www.autodoc.ru/Web/price/art/6307RGNV5RDW?analog=on","6307RGNV5RDW"))*1</f>
        <v>#VALUE!</v>
      </c>
      <c r="B6781" s="1">
        <v>6997377</v>
      </c>
      <c r="C6781" t="s">
        <v>83</v>
      </c>
      <c r="D6781" t="s">
        <v>6973</v>
      </c>
      <c r="E6781" t="s">
        <v>10</v>
      </c>
    </row>
    <row r="6782" spans="1:5" hidden="1" outlineLevel="2">
      <c r="A6782" s="3" t="e">
        <f>(HYPERLINK("http://www.autodoc.ru/Web/price/art/6307RGNV5RV?analog=on","6307RGNV5RV"))*1</f>
        <v>#VALUE!</v>
      </c>
      <c r="B6782" s="1">
        <v>6997385</v>
      </c>
      <c r="C6782" t="s">
        <v>83</v>
      </c>
      <c r="D6782" t="s">
        <v>6974</v>
      </c>
      <c r="E6782" t="s">
        <v>10</v>
      </c>
    </row>
    <row r="6783" spans="1:5" collapsed="1">
      <c r="A6783" s="28" t="s">
        <v>6975</v>
      </c>
      <c r="B6783" s="28">
        <v>0</v>
      </c>
      <c r="C6783" s="28">
        <v>0</v>
      </c>
      <c r="D6783" s="28">
        <v>0</v>
      </c>
      <c r="E6783" s="28">
        <v>0</v>
      </c>
    </row>
    <row r="6784" spans="1:5" hidden="1" outlineLevel="1">
      <c r="A6784" s="2">
        <v>0</v>
      </c>
      <c r="B6784" s="26" t="s">
        <v>6976</v>
      </c>
      <c r="C6784" s="27">
        <v>0</v>
      </c>
      <c r="D6784" s="27">
        <v>0</v>
      </c>
      <c r="E6784" s="27">
        <v>0</v>
      </c>
    </row>
    <row r="6785" spans="1:5" hidden="1" outlineLevel="2">
      <c r="A6785" s="3" t="e">
        <f>(HYPERLINK("http://www.autodoc.ru/Web/price/art/9245LBZL2FD?analog=on","9245LBZL2FD"))*1</f>
        <v>#VALUE!</v>
      </c>
      <c r="B6785" s="1">
        <v>6190214</v>
      </c>
      <c r="C6785" t="s">
        <v>1189</v>
      </c>
      <c r="D6785" t="s">
        <v>6977</v>
      </c>
      <c r="E6785" t="s">
        <v>10</v>
      </c>
    </row>
    <row r="6786" spans="1:5" collapsed="1">
      <c r="A6786" s="28" t="s">
        <v>6978</v>
      </c>
      <c r="B6786" s="28">
        <v>0</v>
      </c>
      <c r="C6786" s="28">
        <v>0</v>
      </c>
      <c r="D6786" s="28">
        <v>0</v>
      </c>
      <c r="E6786" s="28">
        <v>0</v>
      </c>
    </row>
    <row r="6787" spans="1:5" hidden="1" outlineLevel="1">
      <c r="A6787" s="2">
        <v>0</v>
      </c>
      <c r="B6787" s="26" t="s">
        <v>6979</v>
      </c>
      <c r="C6787" s="27">
        <v>0</v>
      </c>
      <c r="D6787" s="27">
        <v>0</v>
      </c>
      <c r="E6787" s="27">
        <v>0</v>
      </c>
    </row>
    <row r="6788" spans="1:5" hidden="1" outlineLevel="2">
      <c r="A6788" s="3" t="e">
        <f>(HYPERLINK("http://www.autodoc.ru/Web/price/art/6510ACL?analog=on","6510ACL"))*1</f>
        <v>#VALUE!</v>
      </c>
      <c r="B6788" s="1">
        <v>6965402</v>
      </c>
      <c r="C6788" t="s">
        <v>6980</v>
      </c>
      <c r="D6788" t="s">
        <v>6981</v>
      </c>
      <c r="E6788" t="s">
        <v>8</v>
      </c>
    </row>
    <row r="6789" spans="1:5" hidden="1" outlineLevel="1">
      <c r="A6789" s="2">
        <v>0</v>
      </c>
      <c r="B6789" s="26" t="s">
        <v>6982</v>
      </c>
      <c r="C6789" s="27">
        <v>0</v>
      </c>
      <c r="D6789" s="27">
        <v>0</v>
      </c>
      <c r="E6789" s="27">
        <v>0</v>
      </c>
    </row>
    <row r="6790" spans="1:5" hidden="1" outlineLevel="2">
      <c r="A6790" s="3" t="e">
        <f>(HYPERLINK("http://www.autodoc.ru/Web/price/art/6520ABZ1B?analog=on","6520ABZ1B"))*1</f>
        <v>#VALUE!</v>
      </c>
      <c r="B6790" s="1">
        <v>6965807</v>
      </c>
      <c r="C6790" t="s">
        <v>1109</v>
      </c>
      <c r="D6790" t="s">
        <v>6983</v>
      </c>
      <c r="E6790" t="s">
        <v>8</v>
      </c>
    </row>
    <row r="6791" spans="1:5" hidden="1" outlineLevel="2">
      <c r="A6791" s="3" t="e">
        <f>(HYPERLINK("http://www.autodoc.ru/Web/price/art/6520ACC2B?analog=on","6520ACC2B"))*1</f>
        <v>#VALUE!</v>
      </c>
      <c r="B6791" s="1">
        <v>6950117</v>
      </c>
      <c r="C6791" t="s">
        <v>645</v>
      </c>
      <c r="D6791" t="s">
        <v>6984</v>
      </c>
      <c r="E6791" t="s">
        <v>8</v>
      </c>
    </row>
    <row r="6792" spans="1:5" hidden="1" outlineLevel="2">
      <c r="A6792" s="3" t="e">
        <f>(HYPERLINK("http://www.autodoc.ru/Web/price/art/6520ACL1B?analog=on","6520ACL1B"))*1</f>
        <v>#VALUE!</v>
      </c>
      <c r="B6792" s="1">
        <v>6965801</v>
      </c>
      <c r="C6792" t="s">
        <v>240</v>
      </c>
      <c r="D6792" t="s">
        <v>6985</v>
      </c>
      <c r="E6792" t="s">
        <v>8</v>
      </c>
    </row>
    <row r="6793" spans="1:5" hidden="1" outlineLevel="2">
      <c r="A6793" s="3" t="e">
        <f>(HYPERLINK("http://www.autodoc.ru/Web/price/art/6520ACL2B?analog=on","6520ACL2B"))*1</f>
        <v>#VALUE!</v>
      </c>
      <c r="B6793" s="1">
        <v>6961068</v>
      </c>
      <c r="C6793" t="s">
        <v>645</v>
      </c>
      <c r="D6793" t="s">
        <v>6986</v>
      </c>
      <c r="E6793" t="s">
        <v>8</v>
      </c>
    </row>
    <row r="6794" spans="1:5" hidden="1" outlineLevel="2">
      <c r="A6794" s="3" t="e">
        <f>(HYPERLINK("http://www.autodoc.ru/Web/price/art/6520AGN2B?analog=on","6520AGN2B"))*1</f>
        <v>#VALUE!</v>
      </c>
      <c r="B6794" s="1">
        <v>6965915</v>
      </c>
      <c r="C6794" t="s">
        <v>240</v>
      </c>
      <c r="D6794" t="s">
        <v>6987</v>
      </c>
      <c r="E6794" t="s">
        <v>8</v>
      </c>
    </row>
    <row r="6795" spans="1:5" hidden="1" outlineLevel="2">
      <c r="A6795" s="3" t="e">
        <f>(HYPERLINK("http://www.autodoc.ru/Web/price/art/6520AGNBL1B?analog=on","6520AGNBL1B"))*1</f>
        <v>#VALUE!</v>
      </c>
      <c r="B6795" s="1">
        <v>6963247</v>
      </c>
      <c r="C6795" t="s">
        <v>240</v>
      </c>
      <c r="D6795" t="s">
        <v>6988</v>
      </c>
      <c r="E6795" t="s">
        <v>8</v>
      </c>
    </row>
    <row r="6796" spans="1:5" hidden="1" outlineLevel="2">
      <c r="A6796" s="3" t="e">
        <f>(HYPERLINK("http://www.autodoc.ru/Web/price/art/6520AGNBL2B?analog=on","6520AGNBL2B"))*1</f>
        <v>#VALUE!</v>
      </c>
      <c r="B6796" s="1">
        <v>6961571</v>
      </c>
      <c r="C6796" t="s">
        <v>645</v>
      </c>
      <c r="D6796" t="s">
        <v>6989</v>
      </c>
      <c r="E6796" t="s">
        <v>8</v>
      </c>
    </row>
    <row r="6797" spans="1:5" hidden="1" outlineLevel="2">
      <c r="A6797" s="3" t="e">
        <f>(HYPERLINK("http://www.autodoc.ru/Web/price/art/6520ASMH?analog=on","6520ASMH"))*1</f>
        <v>#VALUE!</v>
      </c>
      <c r="B6797" s="1">
        <v>6100176</v>
      </c>
      <c r="C6797" t="s">
        <v>19</v>
      </c>
      <c r="D6797" t="s">
        <v>6990</v>
      </c>
      <c r="E6797" t="s">
        <v>21</v>
      </c>
    </row>
    <row r="6798" spans="1:5" hidden="1" outlineLevel="2">
      <c r="A6798" s="3" t="e">
        <f>(HYPERLINK("http://www.autodoc.ru/Web/price/art/6520BCLH1H?analog=on","6520BCLH1H"))*1</f>
        <v>#VALUE!</v>
      </c>
      <c r="B6798" s="1">
        <v>6997155</v>
      </c>
      <c r="C6798" t="s">
        <v>1109</v>
      </c>
      <c r="D6798" t="s">
        <v>6991</v>
      </c>
      <c r="E6798" t="s">
        <v>23</v>
      </c>
    </row>
    <row r="6799" spans="1:5" hidden="1" outlineLevel="2">
      <c r="A6799" s="3" t="e">
        <f>(HYPERLINK("http://www.autodoc.ru/Web/price/art/6520BCLH1J?analog=on","6520BCLH1J"))*1</f>
        <v>#VALUE!</v>
      </c>
      <c r="B6799" s="1">
        <v>6996548</v>
      </c>
      <c r="C6799" t="s">
        <v>240</v>
      </c>
      <c r="D6799" t="s">
        <v>6992</v>
      </c>
      <c r="E6799" t="s">
        <v>23</v>
      </c>
    </row>
    <row r="6800" spans="1:5" hidden="1" outlineLevel="2">
      <c r="A6800" s="3" t="e">
        <f>(HYPERLINK("http://www.autodoc.ru/Web/price/art/6520BCLH1U?analog=on","6520BCLH1U"))*1</f>
        <v>#VALUE!</v>
      </c>
      <c r="B6800" s="1">
        <v>6996507</v>
      </c>
      <c r="C6800" t="s">
        <v>1770</v>
      </c>
      <c r="D6800" t="s">
        <v>6993</v>
      </c>
      <c r="E6800" t="s">
        <v>23</v>
      </c>
    </row>
    <row r="6801" spans="1:5" hidden="1" outlineLevel="2">
      <c r="A6801" s="3" t="e">
        <f>(HYPERLINK("http://www.autodoc.ru/Web/price/art/6520BGNH1H?analog=on","6520BGNH1H"))*1</f>
        <v>#VALUE!</v>
      </c>
      <c r="B6801" s="1">
        <v>6998171</v>
      </c>
      <c r="C6801" t="s">
        <v>1109</v>
      </c>
      <c r="D6801" t="s">
        <v>6994</v>
      </c>
      <c r="E6801" t="s">
        <v>23</v>
      </c>
    </row>
    <row r="6802" spans="1:5" hidden="1" outlineLevel="2">
      <c r="A6802" s="3" t="e">
        <f>(HYPERLINK("http://www.autodoc.ru/Web/price/art/6520BGNH1J?analog=on","6520BGNH1J"))*1</f>
        <v>#VALUE!</v>
      </c>
      <c r="B6802" s="1">
        <v>6996549</v>
      </c>
      <c r="C6802" t="s">
        <v>240</v>
      </c>
      <c r="D6802" t="s">
        <v>6995</v>
      </c>
      <c r="E6802" t="s">
        <v>23</v>
      </c>
    </row>
    <row r="6803" spans="1:5" hidden="1" outlineLevel="2">
      <c r="A6803" s="3" t="e">
        <f>(HYPERLINK("http://www.autodoc.ru/Web/price/art/6520BGNH1U?analog=on","6520BGNH1U"))*1</f>
        <v>#VALUE!</v>
      </c>
      <c r="B6803" s="1">
        <v>6996508</v>
      </c>
      <c r="C6803" t="s">
        <v>1770</v>
      </c>
      <c r="D6803" t="s">
        <v>6996</v>
      </c>
      <c r="E6803" t="s">
        <v>23</v>
      </c>
    </row>
    <row r="6804" spans="1:5" hidden="1" outlineLevel="2">
      <c r="A6804" s="3" t="e">
        <f>(HYPERLINK("http://www.autodoc.ru/Web/price/art/6520BSMH?analog=on","6520BSMH"))*1</f>
        <v>#VALUE!</v>
      </c>
      <c r="B6804" s="1">
        <v>6100177</v>
      </c>
      <c r="C6804" t="s">
        <v>19</v>
      </c>
      <c r="D6804" t="s">
        <v>6997</v>
      </c>
      <c r="E6804" t="s">
        <v>21</v>
      </c>
    </row>
    <row r="6805" spans="1:5" hidden="1" outlineLevel="2">
      <c r="A6805" s="3" t="e">
        <f>(HYPERLINK("http://www.autodoc.ru/Web/price/art/6520LBZH3FD?analog=on","6520LBZH3FD"))*1</f>
        <v>#VALUE!</v>
      </c>
      <c r="B6805" s="1">
        <v>6992671</v>
      </c>
      <c r="C6805" t="s">
        <v>1109</v>
      </c>
      <c r="D6805" t="s">
        <v>6998</v>
      </c>
      <c r="E6805" t="s">
        <v>10</v>
      </c>
    </row>
    <row r="6806" spans="1:5" hidden="1" outlineLevel="2">
      <c r="A6806" s="3" t="e">
        <f>(HYPERLINK("http://www.autodoc.ru/Web/price/art/6520LCLH3FD?analog=on","6520LCLH3FD"))*1</f>
        <v>#VALUE!</v>
      </c>
      <c r="B6806" s="1">
        <v>6994542</v>
      </c>
      <c r="C6806" t="s">
        <v>1109</v>
      </c>
      <c r="D6806" t="s">
        <v>6999</v>
      </c>
      <c r="E6806" t="s">
        <v>10</v>
      </c>
    </row>
    <row r="6807" spans="1:5" hidden="1" outlineLevel="2">
      <c r="A6807" s="3" t="e">
        <f>(HYPERLINK("http://www.autodoc.ru/Web/price/art/6520LCLH3RQ?analog=on","6520LCLH3RQ"))*1</f>
        <v>#VALUE!</v>
      </c>
      <c r="B6807" s="1">
        <v>6997160</v>
      </c>
      <c r="C6807" t="s">
        <v>1109</v>
      </c>
      <c r="D6807" t="s">
        <v>7000</v>
      </c>
      <c r="E6807" t="s">
        <v>10</v>
      </c>
    </row>
    <row r="6808" spans="1:5" hidden="1" outlineLevel="2">
      <c r="A6808" s="3" t="e">
        <f>(HYPERLINK("http://www.autodoc.ru/Web/price/art/6520LCLH3RQO?analog=on","6520LCLH3RQO"))*1</f>
        <v>#VALUE!</v>
      </c>
      <c r="B6808" s="1">
        <v>6997202</v>
      </c>
      <c r="C6808" t="s">
        <v>1109</v>
      </c>
      <c r="D6808" t="s">
        <v>7001</v>
      </c>
      <c r="E6808" t="s">
        <v>10</v>
      </c>
    </row>
    <row r="6809" spans="1:5" hidden="1" outlineLevel="2">
      <c r="A6809" s="3" t="e">
        <f>(HYPERLINK("http://www.autodoc.ru/Web/price/art/6520LCLH5FD?analog=on","6520LCLH5FD"))*1</f>
        <v>#VALUE!</v>
      </c>
      <c r="B6809" s="1">
        <v>6994543</v>
      </c>
      <c r="C6809" t="s">
        <v>1109</v>
      </c>
      <c r="D6809" t="s">
        <v>7002</v>
      </c>
      <c r="E6809" t="s">
        <v>10</v>
      </c>
    </row>
    <row r="6810" spans="1:5" hidden="1" outlineLevel="2">
      <c r="A6810" s="3" t="e">
        <f>(HYPERLINK("http://www.autodoc.ru/Web/price/art/6520LCLH5RD?analog=on","6520LCLH5RD"))*1</f>
        <v>#VALUE!</v>
      </c>
      <c r="B6810" s="1">
        <v>6999123</v>
      </c>
      <c r="C6810" t="s">
        <v>1109</v>
      </c>
      <c r="D6810" t="s">
        <v>7003</v>
      </c>
      <c r="E6810" t="s">
        <v>10</v>
      </c>
    </row>
    <row r="6811" spans="1:5" hidden="1" outlineLevel="2">
      <c r="A6811" s="3" t="e">
        <f>(HYPERLINK("http://www.autodoc.ru/Web/price/art/6520LCLH5RV?analog=on","6520LCLH5RV"))*1</f>
        <v>#VALUE!</v>
      </c>
      <c r="B6811" s="1">
        <v>6994544</v>
      </c>
      <c r="C6811" t="s">
        <v>1109</v>
      </c>
      <c r="D6811" t="s">
        <v>7004</v>
      </c>
      <c r="E6811" t="s">
        <v>10</v>
      </c>
    </row>
    <row r="6812" spans="1:5" hidden="1" outlineLevel="2">
      <c r="A6812" s="3" t="e">
        <f>(HYPERLINK("http://www.autodoc.ru/Web/price/art/6520LGNH3FD?analog=on","6520LGNH3FD"))*1</f>
        <v>#VALUE!</v>
      </c>
      <c r="B6812" s="1">
        <v>6994548</v>
      </c>
      <c r="C6812" t="s">
        <v>1109</v>
      </c>
      <c r="D6812" t="s">
        <v>7005</v>
      </c>
      <c r="E6812" t="s">
        <v>10</v>
      </c>
    </row>
    <row r="6813" spans="1:5" hidden="1" outlineLevel="2">
      <c r="A6813" s="3" t="e">
        <f>(HYPERLINK("http://www.autodoc.ru/Web/price/art/6520LGNH3RQ?analog=on","6520LGNH3RQ"))*1</f>
        <v>#VALUE!</v>
      </c>
      <c r="B6813" s="1">
        <v>6997502</v>
      </c>
      <c r="C6813" t="s">
        <v>1109</v>
      </c>
      <c r="D6813" t="s">
        <v>7006</v>
      </c>
      <c r="E6813" t="s">
        <v>10</v>
      </c>
    </row>
    <row r="6814" spans="1:5" hidden="1" outlineLevel="2">
      <c r="A6814" s="3" t="e">
        <f>(HYPERLINK("http://www.autodoc.ru/Web/price/art/6520LGNH3RQO?analog=on","6520LGNH3RQO"))*1</f>
        <v>#VALUE!</v>
      </c>
      <c r="B6814" s="1">
        <v>6997204</v>
      </c>
      <c r="C6814" t="s">
        <v>1109</v>
      </c>
      <c r="D6814" t="s">
        <v>7007</v>
      </c>
      <c r="E6814" t="s">
        <v>10</v>
      </c>
    </row>
    <row r="6815" spans="1:5" hidden="1" outlineLevel="2">
      <c r="A6815" s="3" t="e">
        <f>(HYPERLINK("http://www.autodoc.ru/Web/price/art/6520LGNH5FD?analog=on","6520LGNH5FD"))*1</f>
        <v>#VALUE!</v>
      </c>
      <c r="B6815" s="1">
        <v>6994549</v>
      </c>
      <c r="C6815" t="s">
        <v>1109</v>
      </c>
      <c r="D6815" t="s">
        <v>7008</v>
      </c>
      <c r="E6815" t="s">
        <v>10</v>
      </c>
    </row>
    <row r="6816" spans="1:5" hidden="1" outlineLevel="2">
      <c r="A6816" s="3" t="e">
        <f>(HYPERLINK("http://www.autodoc.ru/Web/price/art/6520LGNH5RD?analog=on","6520LGNH5RD"))*1</f>
        <v>#VALUE!</v>
      </c>
      <c r="B6816" s="1">
        <v>6994550</v>
      </c>
      <c r="C6816" t="s">
        <v>1109</v>
      </c>
      <c r="D6816" t="s">
        <v>7009</v>
      </c>
      <c r="E6816" t="s">
        <v>10</v>
      </c>
    </row>
    <row r="6817" spans="1:5" hidden="1" outlineLevel="2">
      <c r="A6817" s="3" t="e">
        <f>(HYPERLINK("http://www.autodoc.ru/Web/price/art/6520LGNH5RV?analog=on","6520LGNH5RV"))*1</f>
        <v>#VALUE!</v>
      </c>
      <c r="B6817" s="1">
        <v>6994551</v>
      </c>
      <c r="C6817" t="s">
        <v>1109</v>
      </c>
      <c r="D6817" t="s">
        <v>7010</v>
      </c>
      <c r="E6817" t="s">
        <v>10</v>
      </c>
    </row>
    <row r="6818" spans="1:5" hidden="1" outlineLevel="2">
      <c r="A6818" s="3" t="e">
        <f>(HYPERLINK("http://www.autodoc.ru/Web/price/art/6520RCLH3FD?analog=on","6520RCLH3FD"))*1</f>
        <v>#VALUE!</v>
      </c>
      <c r="B6818" s="1">
        <v>6994545</v>
      </c>
      <c r="C6818" t="s">
        <v>1109</v>
      </c>
      <c r="D6818" t="s">
        <v>7011</v>
      </c>
      <c r="E6818" t="s">
        <v>10</v>
      </c>
    </row>
    <row r="6819" spans="1:5" hidden="1" outlineLevel="2">
      <c r="A6819" s="3" t="e">
        <f>(HYPERLINK("http://www.autodoc.ru/Web/price/art/6520RCLH3RQ?analog=on","6520RCLH3RQ"))*1</f>
        <v>#VALUE!</v>
      </c>
      <c r="B6819" s="1">
        <v>6997159</v>
      </c>
      <c r="C6819" t="s">
        <v>1109</v>
      </c>
      <c r="D6819" t="s">
        <v>7012</v>
      </c>
      <c r="E6819" t="s">
        <v>10</v>
      </c>
    </row>
    <row r="6820" spans="1:5" hidden="1" outlineLevel="2">
      <c r="A6820" s="3" t="e">
        <f>(HYPERLINK("http://www.autodoc.ru/Web/price/art/6520RCLH3RQO?analog=on","6520RCLH3RQO"))*1</f>
        <v>#VALUE!</v>
      </c>
      <c r="B6820" s="1">
        <v>6997201</v>
      </c>
      <c r="C6820" t="s">
        <v>1109</v>
      </c>
      <c r="D6820" t="s">
        <v>7013</v>
      </c>
      <c r="E6820" t="s">
        <v>10</v>
      </c>
    </row>
    <row r="6821" spans="1:5" hidden="1" outlineLevel="2">
      <c r="A6821" s="3" t="e">
        <f>(HYPERLINK("http://www.autodoc.ru/Web/price/art/6520RCLH5FD?analog=on","6520RCLH5FD"))*1</f>
        <v>#VALUE!</v>
      </c>
      <c r="B6821" s="1">
        <v>6994546</v>
      </c>
      <c r="C6821" t="s">
        <v>1109</v>
      </c>
      <c r="D6821" t="s">
        <v>7014</v>
      </c>
      <c r="E6821" t="s">
        <v>10</v>
      </c>
    </row>
    <row r="6822" spans="1:5" hidden="1" outlineLevel="2">
      <c r="A6822" s="3" t="e">
        <f>(HYPERLINK("http://www.autodoc.ru/Web/price/art/6520RCLH5RD?analog=on","6520RCLH5RD"))*1</f>
        <v>#VALUE!</v>
      </c>
      <c r="B6822" s="1">
        <v>6999124</v>
      </c>
      <c r="C6822" t="s">
        <v>1109</v>
      </c>
      <c r="D6822" t="s">
        <v>7015</v>
      </c>
      <c r="E6822" t="s">
        <v>10</v>
      </c>
    </row>
    <row r="6823" spans="1:5" hidden="1" outlineLevel="2">
      <c r="A6823" s="3" t="e">
        <f>(HYPERLINK("http://www.autodoc.ru/Web/price/art/6520RCLH5RV?analog=on","6520RCLH5RV"))*1</f>
        <v>#VALUE!</v>
      </c>
      <c r="B6823" s="1">
        <v>6994547</v>
      </c>
      <c r="C6823" t="s">
        <v>1109</v>
      </c>
      <c r="D6823" t="s">
        <v>7016</v>
      </c>
      <c r="E6823" t="s">
        <v>10</v>
      </c>
    </row>
    <row r="6824" spans="1:5" hidden="1" outlineLevel="2">
      <c r="A6824" s="3" t="e">
        <f>(HYPERLINK("http://www.autodoc.ru/Web/price/art/6520RGNH3FD?analog=on","6520RGNH3FD"))*1</f>
        <v>#VALUE!</v>
      </c>
      <c r="B6824" s="1">
        <v>6994552</v>
      </c>
      <c r="C6824" t="s">
        <v>1109</v>
      </c>
      <c r="D6824" t="s">
        <v>7017</v>
      </c>
      <c r="E6824" t="s">
        <v>10</v>
      </c>
    </row>
    <row r="6825" spans="1:5" hidden="1" outlineLevel="2">
      <c r="A6825" s="3" t="e">
        <f>(HYPERLINK("http://www.autodoc.ru/Web/price/art/6520RGNH3RQ?analog=on","6520RGNH3RQ"))*1</f>
        <v>#VALUE!</v>
      </c>
      <c r="B6825" s="1">
        <v>6997501</v>
      </c>
      <c r="C6825" t="s">
        <v>1109</v>
      </c>
      <c r="D6825" t="s">
        <v>7018</v>
      </c>
      <c r="E6825" t="s">
        <v>10</v>
      </c>
    </row>
    <row r="6826" spans="1:5" hidden="1" outlineLevel="2">
      <c r="A6826" s="3" t="e">
        <f>(HYPERLINK("http://www.autodoc.ru/Web/price/art/6520RGNH3RQO?analog=on","6520RGNH3RQO"))*1</f>
        <v>#VALUE!</v>
      </c>
      <c r="B6826" s="1">
        <v>6997203</v>
      </c>
      <c r="C6826" t="s">
        <v>1109</v>
      </c>
      <c r="D6826" t="s">
        <v>7019</v>
      </c>
      <c r="E6826" t="s">
        <v>10</v>
      </c>
    </row>
    <row r="6827" spans="1:5" hidden="1" outlineLevel="2">
      <c r="A6827" s="3" t="e">
        <f>(HYPERLINK("http://www.autodoc.ru/Web/price/art/6520RGNH5FD?analog=on","6520RGNH5FD"))*1</f>
        <v>#VALUE!</v>
      </c>
      <c r="B6827" s="1">
        <v>6994553</v>
      </c>
      <c r="C6827" t="s">
        <v>1109</v>
      </c>
      <c r="D6827" t="s">
        <v>7020</v>
      </c>
      <c r="E6827" t="s">
        <v>10</v>
      </c>
    </row>
    <row r="6828" spans="1:5" hidden="1" outlineLevel="2">
      <c r="A6828" s="3" t="e">
        <f>(HYPERLINK("http://www.autodoc.ru/Web/price/art/6520RGNH5RD?analog=on","6520RGNH5RD"))*1</f>
        <v>#VALUE!</v>
      </c>
      <c r="B6828" s="1">
        <v>6994554</v>
      </c>
      <c r="C6828" t="s">
        <v>1109</v>
      </c>
      <c r="D6828" t="s">
        <v>7021</v>
      </c>
      <c r="E6828" t="s">
        <v>10</v>
      </c>
    </row>
    <row r="6829" spans="1:5" hidden="1" outlineLevel="2">
      <c r="A6829" s="3" t="e">
        <f>(HYPERLINK("http://www.autodoc.ru/Web/price/art/6520RGNH5RV?analog=on","6520RGNH5RV"))*1</f>
        <v>#VALUE!</v>
      </c>
      <c r="B6829" s="1">
        <v>6994555</v>
      </c>
      <c r="C6829" t="s">
        <v>1109</v>
      </c>
      <c r="D6829" t="s">
        <v>7022</v>
      </c>
      <c r="E6829" t="s">
        <v>10</v>
      </c>
    </row>
    <row r="6830" spans="1:5" hidden="1" outlineLevel="1">
      <c r="A6830" s="2">
        <v>0</v>
      </c>
      <c r="B6830" s="26" t="s">
        <v>7023</v>
      </c>
      <c r="C6830" s="27">
        <v>0</v>
      </c>
      <c r="D6830" s="27">
        <v>0</v>
      </c>
      <c r="E6830" s="27">
        <v>0</v>
      </c>
    </row>
    <row r="6831" spans="1:5" hidden="1" outlineLevel="2">
      <c r="A6831" s="3" t="e">
        <f>(HYPERLINK("http://www.autodoc.ru/Web/price/art/6549AGS?analog=on","6549AGS"))*1</f>
        <v>#VALUE!</v>
      </c>
      <c r="B6831" s="1">
        <v>6960658</v>
      </c>
      <c r="C6831" t="s">
        <v>890</v>
      </c>
      <c r="D6831" t="s">
        <v>7024</v>
      </c>
      <c r="E6831" t="s">
        <v>8</v>
      </c>
    </row>
    <row r="6832" spans="1:5" hidden="1" outlineLevel="2">
      <c r="A6832" s="3" t="e">
        <f>(HYPERLINK("http://www.autodoc.ru/Web/price/art/6549BGSHO?analog=on","6549BGSHO"))*1</f>
        <v>#VALUE!</v>
      </c>
      <c r="B6832" s="1">
        <v>6992253</v>
      </c>
      <c r="C6832" t="s">
        <v>890</v>
      </c>
      <c r="D6832" t="s">
        <v>7025</v>
      </c>
      <c r="E6832" t="s">
        <v>23</v>
      </c>
    </row>
    <row r="6833" spans="1:5" hidden="1" outlineLevel="2">
      <c r="A6833" s="3" t="e">
        <f>(HYPERLINK("http://www.autodoc.ru/Web/price/art/6549LGSH3FD?analog=on","6549LGSH3FD"))*1</f>
        <v>#VALUE!</v>
      </c>
      <c r="B6833" s="1">
        <v>6993023</v>
      </c>
      <c r="C6833" t="s">
        <v>890</v>
      </c>
      <c r="D6833" t="s">
        <v>7026</v>
      </c>
      <c r="E6833" t="s">
        <v>10</v>
      </c>
    </row>
    <row r="6834" spans="1:5" hidden="1" outlineLevel="2">
      <c r="A6834" s="3" t="e">
        <f>(HYPERLINK("http://www.autodoc.ru/Web/price/art/6549LGSH3RQ?analog=on","6549LGSH3RQ"))*1</f>
        <v>#VALUE!</v>
      </c>
      <c r="B6834" s="1">
        <v>6993160</v>
      </c>
      <c r="C6834" t="s">
        <v>890</v>
      </c>
      <c r="D6834" t="s">
        <v>7027</v>
      </c>
      <c r="E6834" t="s">
        <v>10</v>
      </c>
    </row>
    <row r="6835" spans="1:5" hidden="1" outlineLevel="2">
      <c r="A6835" s="3" t="e">
        <f>(HYPERLINK("http://www.autodoc.ru/Web/price/art/6549LGSH5FD?analog=on","6549LGSH5FD"))*1</f>
        <v>#VALUE!</v>
      </c>
      <c r="B6835" s="1">
        <v>6993025</v>
      </c>
      <c r="C6835" t="s">
        <v>890</v>
      </c>
      <c r="D6835" t="s">
        <v>7028</v>
      </c>
      <c r="E6835" t="s">
        <v>10</v>
      </c>
    </row>
    <row r="6836" spans="1:5" hidden="1" outlineLevel="2">
      <c r="A6836" s="3" t="e">
        <f>(HYPERLINK("http://www.autodoc.ru/Web/price/art/6549LGSH5RDOW?analog=on","6549LGSH5RDOW"))*1</f>
        <v>#VALUE!</v>
      </c>
      <c r="B6836" s="1">
        <v>6993029</v>
      </c>
      <c r="C6836" t="s">
        <v>890</v>
      </c>
      <c r="D6836" t="s">
        <v>7029</v>
      </c>
      <c r="E6836" t="s">
        <v>10</v>
      </c>
    </row>
    <row r="6837" spans="1:5" hidden="1" outlineLevel="2">
      <c r="A6837" s="3" t="e">
        <f>(HYPERLINK("http://www.autodoc.ru/Web/price/art/6549RGSH3FD?analog=on","6549RGSH3FD"))*1</f>
        <v>#VALUE!</v>
      </c>
      <c r="B6837" s="1">
        <v>6993022</v>
      </c>
      <c r="C6837" t="s">
        <v>890</v>
      </c>
      <c r="D6837" t="s">
        <v>7030</v>
      </c>
      <c r="E6837" t="s">
        <v>10</v>
      </c>
    </row>
    <row r="6838" spans="1:5" hidden="1" outlineLevel="2">
      <c r="A6838" s="3" t="e">
        <f>(HYPERLINK("http://www.autodoc.ru/Web/price/art/6549RGSH3RQ?analog=on","6549RGSH3RQ"))*1</f>
        <v>#VALUE!</v>
      </c>
      <c r="B6838" s="1">
        <v>6993162</v>
      </c>
      <c r="C6838" t="s">
        <v>890</v>
      </c>
      <c r="D6838" t="s">
        <v>7031</v>
      </c>
      <c r="E6838" t="s">
        <v>10</v>
      </c>
    </row>
    <row r="6839" spans="1:5" hidden="1" outlineLevel="2">
      <c r="A6839" s="3" t="e">
        <f>(HYPERLINK("http://www.autodoc.ru/Web/price/art/6549RGSH5FD?analog=on","6549RGSH5FD"))*1</f>
        <v>#VALUE!</v>
      </c>
      <c r="B6839" s="1">
        <v>6993024</v>
      </c>
      <c r="C6839" t="s">
        <v>890</v>
      </c>
      <c r="D6839" t="s">
        <v>7032</v>
      </c>
      <c r="E6839" t="s">
        <v>10</v>
      </c>
    </row>
    <row r="6840" spans="1:5" hidden="1" outlineLevel="2">
      <c r="A6840" s="3" t="e">
        <f>(HYPERLINK("http://www.autodoc.ru/Web/price/art/6549RGSH5RDOW?analog=on","6549RGSH5RDOW"))*1</f>
        <v>#VALUE!</v>
      </c>
      <c r="B6840" s="1">
        <v>6993027</v>
      </c>
      <c r="C6840" t="s">
        <v>890</v>
      </c>
      <c r="D6840" t="s">
        <v>7033</v>
      </c>
      <c r="E6840" t="s">
        <v>10</v>
      </c>
    </row>
    <row r="6841" spans="1:5" hidden="1" outlineLevel="1">
      <c r="A6841" s="2">
        <v>0</v>
      </c>
      <c r="B6841" s="26" t="s">
        <v>7034</v>
      </c>
      <c r="C6841" s="27">
        <v>0</v>
      </c>
      <c r="D6841" s="27">
        <v>0</v>
      </c>
      <c r="E6841" s="27">
        <v>0</v>
      </c>
    </row>
    <row r="6842" spans="1:5" hidden="1" outlineLevel="2">
      <c r="A6842" s="3" t="e">
        <f>(HYPERLINK("http://www.autodoc.ru/Web/price/art/6514ABZ1C?analog=on","6514ABZ1C"))*1</f>
        <v>#VALUE!</v>
      </c>
      <c r="B6842" s="1">
        <v>6965816</v>
      </c>
      <c r="C6842" t="s">
        <v>7035</v>
      </c>
      <c r="D6842" t="s">
        <v>7036</v>
      </c>
      <c r="E6842" t="s">
        <v>8</v>
      </c>
    </row>
    <row r="6843" spans="1:5" hidden="1" outlineLevel="2">
      <c r="A6843" s="3" t="e">
        <f>(HYPERLINK("http://www.autodoc.ru/Web/price/art/6514ABZBL1C?analog=on","6514ABZBL1C"))*1</f>
        <v>#VALUE!</v>
      </c>
      <c r="B6843" s="1">
        <v>6965828</v>
      </c>
      <c r="C6843" t="s">
        <v>7035</v>
      </c>
      <c r="D6843" t="s">
        <v>7037</v>
      </c>
      <c r="E6843" t="s">
        <v>8</v>
      </c>
    </row>
    <row r="6844" spans="1:5" hidden="1" outlineLevel="2">
      <c r="A6844" s="3" t="e">
        <f>(HYPERLINK("http://www.autodoc.ru/Web/price/art/6514ACL1C?analog=on","6514ACL1C"))*1</f>
        <v>#VALUE!</v>
      </c>
      <c r="B6844" s="1">
        <v>6965814</v>
      </c>
      <c r="C6844" t="s">
        <v>7035</v>
      </c>
      <c r="D6844" t="s">
        <v>7038</v>
      </c>
      <c r="E6844" t="s">
        <v>8</v>
      </c>
    </row>
    <row r="6845" spans="1:5" hidden="1" outlineLevel="2">
      <c r="A6845" s="3" t="e">
        <f>(HYPERLINK("http://www.autodoc.ru/Web/price/art/6514AGN1C?analog=on","6514AGN1C"))*1</f>
        <v>#VALUE!</v>
      </c>
      <c r="B6845" s="1">
        <v>6965821</v>
      </c>
      <c r="C6845" t="s">
        <v>7035</v>
      </c>
      <c r="D6845" t="s">
        <v>7039</v>
      </c>
      <c r="E6845" t="s">
        <v>8</v>
      </c>
    </row>
    <row r="6846" spans="1:5" hidden="1" outlineLevel="2">
      <c r="A6846" s="3" t="e">
        <f>(HYPERLINK("http://www.autodoc.ru/Web/price/art/6514ASRH?analog=on","6514ASRH"))*1</f>
        <v>#VALUE!</v>
      </c>
      <c r="B6846" s="1">
        <v>6100172</v>
      </c>
      <c r="C6846" t="s">
        <v>19</v>
      </c>
      <c r="D6846" t="s">
        <v>7040</v>
      </c>
      <c r="E6846" t="s">
        <v>21</v>
      </c>
    </row>
    <row r="6847" spans="1:5" hidden="1" outlineLevel="2">
      <c r="A6847" s="3" t="e">
        <f>(HYPERLINK("http://www.autodoc.ru/Web/price/art/6514BCLH?analog=on","6514BCLH"))*1</f>
        <v>#VALUE!</v>
      </c>
      <c r="B6847" s="1">
        <v>6997076</v>
      </c>
      <c r="C6847" t="s">
        <v>7035</v>
      </c>
      <c r="D6847" t="s">
        <v>7041</v>
      </c>
      <c r="E6847" t="s">
        <v>23</v>
      </c>
    </row>
    <row r="6848" spans="1:5" hidden="1" outlineLevel="2">
      <c r="A6848" s="3" t="e">
        <f>(HYPERLINK("http://www.autodoc.ru/Web/price/art/6514BGNH?analog=on","6514BGNH"))*1</f>
        <v>#VALUE!</v>
      </c>
      <c r="B6848" s="1">
        <v>6997035</v>
      </c>
      <c r="C6848" t="s">
        <v>7035</v>
      </c>
      <c r="D6848" t="s">
        <v>7042</v>
      </c>
      <c r="E6848" t="s">
        <v>23</v>
      </c>
    </row>
    <row r="6849" spans="1:5" hidden="1" outlineLevel="2">
      <c r="A6849" s="3" t="e">
        <f>(HYPERLINK("http://www.autodoc.ru/Web/price/art/6514LCLH3FD?analog=on","6514LCLH3FD"))*1</f>
        <v>#VALUE!</v>
      </c>
      <c r="B6849" s="1">
        <v>6997073</v>
      </c>
      <c r="C6849" t="s">
        <v>7035</v>
      </c>
      <c r="D6849" t="s">
        <v>7043</v>
      </c>
      <c r="E6849" t="s">
        <v>10</v>
      </c>
    </row>
    <row r="6850" spans="1:5" hidden="1" outlineLevel="2">
      <c r="A6850" s="3" t="e">
        <f>(HYPERLINK("http://www.autodoc.ru/Web/price/art/6514LCLH3RQ?analog=on","6514LCLH3RQ"))*1</f>
        <v>#VALUE!</v>
      </c>
      <c r="B6850" s="1">
        <v>6996853</v>
      </c>
      <c r="C6850" t="s">
        <v>7035</v>
      </c>
      <c r="D6850" t="s">
        <v>7044</v>
      </c>
      <c r="E6850" t="s">
        <v>10</v>
      </c>
    </row>
    <row r="6851" spans="1:5" hidden="1" outlineLevel="2">
      <c r="A6851" s="3" t="e">
        <f>(HYPERLINK("http://www.autodoc.ru/Web/price/art/6514LCLH3RQO1B?analog=on","6514LCLH3RQO1B"))*1</f>
        <v>#VALUE!</v>
      </c>
      <c r="B6851" s="1">
        <v>6997135</v>
      </c>
      <c r="C6851" t="s">
        <v>7035</v>
      </c>
      <c r="D6851" t="s">
        <v>7045</v>
      </c>
      <c r="E6851" t="s">
        <v>10</v>
      </c>
    </row>
    <row r="6852" spans="1:5" hidden="1" outlineLevel="2">
      <c r="A6852" s="3" t="e">
        <f>(HYPERLINK("http://www.autodoc.ru/Web/price/art/6514LCLH5FD?analog=on","6514LCLH5FD"))*1</f>
        <v>#VALUE!</v>
      </c>
      <c r="B6852" s="1">
        <v>6994536</v>
      </c>
      <c r="C6852" t="s">
        <v>7035</v>
      </c>
      <c r="D6852" t="s">
        <v>7046</v>
      </c>
      <c r="E6852" t="s">
        <v>10</v>
      </c>
    </row>
    <row r="6853" spans="1:5" hidden="1" outlineLevel="2">
      <c r="A6853" s="3" t="e">
        <f>(HYPERLINK("http://www.autodoc.ru/Web/price/art/6514LCLH5RD?analog=on","6514LCLH5RD"))*1</f>
        <v>#VALUE!</v>
      </c>
      <c r="B6853" s="1">
        <v>6994537</v>
      </c>
      <c r="C6853" t="s">
        <v>7035</v>
      </c>
      <c r="D6853" t="s">
        <v>7047</v>
      </c>
      <c r="E6853" t="s">
        <v>10</v>
      </c>
    </row>
    <row r="6854" spans="1:5" hidden="1" outlineLevel="2">
      <c r="A6854" s="3" t="e">
        <f>(HYPERLINK("http://www.autodoc.ru/Web/price/art/6514LCLH5RV?analog=on","6514LCLH5RV"))*1</f>
        <v>#VALUE!</v>
      </c>
      <c r="B6854" s="1">
        <v>6996509</v>
      </c>
      <c r="C6854" t="s">
        <v>7035</v>
      </c>
      <c r="D6854" t="s">
        <v>7048</v>
      </c>
      <c r="E6854" t="s">
        <v>10</v>
      </c>
    </row>
    <row r="6855" spans="1:5" hidden="1" outlineLevel="2">
      <c r="A6855" s="3" t="e">
        <f>(HYPERLINK("http://www.autodoc.ru/Web/price/art/6514LGNH3FD?analog=on","6514LGNH3FD"))*1</f>
        <v>#VALUE!</v>
      </c>
      <c r="B6855" s="1">
        <v>6996855</v>
      </c>
      <c r="C6855" t="s">
        <v>7035</v>
      </c>
      <c r="D6855" t="s">
        <v>7049</v>
      </c>
      <c r="E6855" t="s">
        <v>10</v>
      </c>
    </row>
    <row r="6856" spans="1:5" hidden="1" outlineLevel="2">
      <c r="A6856" s="3" t="e">
        <f>(HYPERLINK("http://www.autodoc.ru/Web/price/art/6514LGNH5FD?analog=on","6514LGNH5FD"))*1</f>
        <v>#VALUE!</v>
      </c>
      <c r="B6856" s="1">
        <v>6996857</v>
      </c>
      <c r="C6856" t="s">
        <v>7035</v>
      </c>
      <c r="D6856" t="s">
        <v>7050</v>
      </c>
      <c r="E6856" t="s">
        <v>10</v>
      </c>
    </row>
    <row r="6857" spans="1:5" hidden="1" outlineLevel="2">
      <c r="A6857" s="3" t="e">
        <f>(HYPERLINK("http://www.autodoc.ru/Web/price/art/6514RBZH3RQO1B?analog=on","6514RBZH3RQO1B"))*1</f>
        <v>#VALUE!</v>
      </c>
      <c r="B6857" s="1">
        <v>6997136</v>
      </c>
      <c r="C6857" t="s">
        <v>7035</v>
      </c>
      <c r="D6857" t="s">
        <v>7051</v>
      </c>
      <c r="E6857" t="s">
        <v>10</v>
      </c>
    </row>
    <row r="6858" spans="1:5" hidden="1" outlineLevel="2">
      <c r="A6858" s="3" t="e">
        <f>(HYPERLINK("http://www.autodoc.ru/Web/price/art/6514RBZH5RV?analog=on","6514RBZH5RV"))*1</f>
        <v>#VALUE!</v>
      </c>
      <c r="B6858" s="1">
        <v>6996512</v>
      </c>
      <c r="C6858" t="s">
        <v>7035</v>
      </c>
      <c r="D6858" t="s">
        <v>7052</v>
      </c>
      <c r="E6858" t="s">
        <v>10</v>
      </c>
    </row>
    <row r="6859" spans="1:5" hidden="1" outlineLevel="2">
      <c r="A6859" s="3" t="e">
        <f>(HYPERLINK("http://www.autodoc.ru/Web/price/art/6514RCLH3FD?analog=on","6514RCLH3FD"))*1</f>
        <v>#VALUE!</v>
      </c>
      <c r="B6859" s="1">
        <v>6997072</v>
      </c>
      <c r="C6859" t="s">
        <v>7035</v>
      </c>
      <c r="D6859" t="s">
        <v>7053</v>
      </c>
      <c r="E6859" t="s">
        <v>10</v>
      </c>
    </row>
    <row r="6860" spans="1:5" hidden="1" outlineLevel="2">
      <c r="A6860" s="3" t="e">
        <f>(HYPERLINK("http://www.autodoc.ru/Web/price/art/6514RCLH3RQ?analog=on","6514RCLH3RQ"))*1</f>
        <v>#VALUE!</v>
      </c>
      <c r="B6860" s="1">
        <v>6996854</v>
      </c>
      <c r="C6860" t="s">
        <v>7035</v>
      </c>
      <c r="D6860" t="s">
        <v>7054</v>
      </c>
      <c r="E6860" t="s">
        <v>10</v>
      </c>
    </row>
    <row r="6861" spans="1:5" hidden="1" outlineLevel="2">
      <c r="A6861" s="3" t="e">
        <f>(HYPERLINK("http://www.autodoc.ru/Web/price/art/6514RCLH5FD?analog=on","6514RCLH5FD"))*1</f>
        <v>#VALUE!</v>
      </c>
      <c r="B6861" s="1">
        <v>6994538</v>
      </c>
      <c r="C6861" t="s">
        <v>7035</v>
      </c>
      <c r="D6861" t="s">
        <v>7055</v>
      </c>
      <c r="E6861" t="s">
        <v>10</v>
      </c>
    </row>
    <row r="6862" spans="1:5" hidden="1" outlineLevel="2">
      <c r="A6862" s="3" t="e">
        <f>(HYPERLINK("http://www.autodoc.ru/Web/price/art/6514RCLH5RD?analog=on","6514RCLH5RD"))*1</f>
        <v>#VALUE!</v>
      </c>
      <c r="B6862" s="1">
        <v>6994539</v>
      </c>
      <c r="C6862" t="s">
        <v>7035</v>
      </c>
      <c r="D6862" t="s">
        <v>7056</v>
      </c>
      <c r="E6862" t="s">
        <v>10</v>
      </c>
    </row>
    <row r="6863" spans="1:5" hidden="1" outlineLevel="2">
      <c r="A6863" s="3" t="e">
        <f>(HYPERLINK("http://www.autodoc.ru/Web/price/art/6514RCLH5RV?analog=on","6514RCLH5RV"))*1</f>
        <v>#VALUE!</v>
      </c>
      <c r="B6863" s="1">
        <v>6996510</v>
      </c>
      <c r="C6863" t="s">
        <v>7035</v>
      </c>
      <c r="D6863" t="s">
        <v>7057</v>
      </c>
      <c r="E6863" t="s">
        <v>10</v>
      </c>
    </row>
    <row r="6864" spans="1:5" hidden="1" outlineLevel="2">
      <c r="A6864" s="3" t="e">
        <f>(HYPERLINK("http://www.autodoc.ru/Web/price/art/6514RGNH3FD?analog=on","6514RGNH3FD"))*1</f>
        <v>#VALUE!</v>
      </c>
      <c r="B6864" s="1">
        <v>6996859</v>
      </c>
      <c r="C6864" t="s">
        <v>7035</v>
      </c>
      <c r="D6864" t="s">
        <v>7058</v>
      </c>
      <c r="E6864" t="s">
        <v>10</v>
      </c>
    </row>
    <row r="6865" spans="1:5" hidden="1" outlineLevel="2">
      <c r="A6865" s="3" t="e">
        <f>(HYPERLINK("http://www.autodoc.ru/Web/price/art/6514RGNH5FD?analog=on","6514RGNH5FD"))*1</f>
        <v>#VALUE!</v>
      </c>
      <c r="B6865" s="1">
        <v>6996861</v>
      </c>
      <c r="C6865" t="s">
        <v>7035</v>
      </c>
      <c r="D6865" t="s">
        <v>7059</v>
      </c>
      <c r="E6865" t="s">
        <v>10</v>
      </c>
    </row>
    <row r="6866" spans="1:5" hidden="1" outlineLevel="2">
      <c r="A6866" s="3" t="e">
        <f>(HYPERLINK("http://www.autodoc.ru/Web/price/art/6514RGNH5RD?analog=on","6514RGNH5RD"))*1</f>
        <v>#VALUE!</v>
      </c>
      <c r="B6866" s="1">
        <v>6995447</v>
      </c>
      <c r="C6866" t="s">
        <v>7035</v>
      </c>
      <c r="D6866" t="s">
        <v>7060</v>
      </c>
      <c r="E6866" t="s">
        <v>10</v>
      </c>
    </row>
    <row r="6867" spans="1:5" hidden="1" outlineLevel="1">
      <c r="A6867" s="2">
        <v>0</v>
      </c>
      <c r="B6867" s="26" t="s">
        <v>7061</v>
      </c>
      <c r="C6867" s="27">
        <v>0</v>
      </c>
      <c r="D6867" s="27">
        <v>0</v>
      </c>
      <c r="E6867" s="27">
        <v>0</v>
      </c>
    </row>
    <row r="6868" spans="1:5" hidden="1" outlineLevel="2">
      <c r="A6868" s="3" t="e">
        <f>(HYPERLINK("http://www.autodoc.ru/Web/price/art/6539ACCMV1B?analog=on","6539ACCMV1B"))*1</f>
        <v>#VALUE!</v>
      </c>
      <c r="B6868" s="1">
        <v>6960456</v>
      </c>
      <c r="C6868" t="s">
        <v>831</v>
      </c>
      <c r="D6868" t="s">
        <v>7062</v>
      </c>
      <c r="E6868" t="s">
        <v>8</v>
      </c>
    </row>
    <row r="6869" spans="1:5" hidden="1" outlineLevel="2">
      <c r="A6869" s="3" t="e">
        <f>(HYPERLINK("http://www.autodoc.ru/Web/price/art/6539ACCMV6T?analog=on","6539ACCMV6T"))*1</f>
        <v>#VALUE!</v>
      </c>
      <c r="B6869" s="1">
        <v>6965951</v>
      </c>
      <c r="C6869" t="s">
        <v>540</v>
      </c>
      <c r="D6869" t="s">
        <v>7063</v>
      </c>
      <c r="E6869" t="s">
        <v>8</v>
      </c>
    </row>
    <row r="6870" spans="1:5" hidden="1" outlineLevel="2">
      <c r="A6870" s="3" t="e">
        <f>(HYPERLINK("http://www.autodoc.ru/Web/price/art/6539ACCV?analog=on","6539ACCV"))*1</f>
        <v>#VALUE!</v>
      </c>
      <c r="B6870" s="1">
        <v>6965952</v>
      </c>
      <c r="C6870" t="s">
        <v>411</v>
      </c>
      <c r="D6870" t="s">
        <v>7064</v>
      </c>
      <c r="E6870" t="s">
        <v>8</v>
      </c>
    </row>
    <row r="6871" spans="1:5" hidden="1" outlineLevel="2">
      <c r="A6871" s="3" t="e">
        <f>(HYPERLINK("http://www.autodoc.ru/Web/price/art/6539AGSMV?analog=on","6539AGSMV"))*1</f>
        <v>#VALUE!</v>
      </c>
      <c r="B6871" s="1">
        <v>6960455</v>
      </c>
      <c r="C6871" t="s">
        <v>411</v>
      </c>
      <c r="D6871" t="s">
        <v>7065</v>
      </c>
      <c r="E6871" t="s">
        <v>8</v>
      </c>
    </row>
    <row r="6872" spans="1:5" hidden="1" outlineLevel="2">
      <c r="A6872" s="3" t="e">
        <f>(HYPERLINK("http://www.autodoc.ru/Web/price/art/6539AGSMV6T?analog=on","6539AGSMV6T"))*1</f>
        <v>#VALUE!</v>
      </c>
      <c r="B6872" s="1">
        <v>6965841</v>
      </c>
      <c r="C6872" t="s">
        <v>540</v>
      </c>
      <c r="D6872" t="s">
        <v>7066</v>
      </c>
      <c r="E6872" t="s">
        <v>8</v>
      </c>
    </row>
    <row r="6873" spans="1:5" hidden="1" outlineLevel="2">
      <c r="A6873" s="3" t="e">
        <f>(HYPERLINK("http://www.autodoc.ru/Web/price/art/6539AGSV?analog=on","6539AGSV"))*1</f>
        <v>#VALUE!</v>
      </c>
      <c r="B6873" s="1">
        <v>6965840</v>
      </c>
      <c r="C6873" t="s">
        <v>411</v>
      </c>
      <c r="D6873" t="s">
        <v>7067</v>
      </c>
      <c r="E6873" t="s">
        <v>8</v>
      </c>
    </row>
    <row r="6874" spans="1:5" hidden="1" outlineLevel="2">
      <c r="A6874" s="3" t="e">
        <f>(HYPERLINK("http://www.autodoc.ru/Web/price/art/6539ASMHT?analog=on","6539ASMHT"))*1</f>
        <v>#VALUE!</v>
      </c>
      <c r="B6874" s="1">
        <v>6100181</v>
      </c>
      <c r="C6874" t="s">
        <v>19</v>
      </c>
      <c r="D6874" t="s">
        <v>7068</v>
      </c>
      <c r="E6874" t="s">
        <v>21</v>
      </c>
    </row>
    <row r="6875" spans="1:5" hidden="1" outlineLevel="2">
      <c r="A6875" s="3" t="e">
        <f>(HYPERLINK("http://www.autodoc.ru/Web/price/art/6539BGSH?analog=on","6539BGSH"))*1</f>
        <v>#VALUE!</v>
      </c>
      <c r="B6875" s="1">
        <v>6998792</v>
      </c>
      <c r="C6875" t="s">
        <v>411</v>
      </c>
      <c r="D6875" t="s">
        <v>7069</v>
      </c>
      <c r="E6875" t="s">
        <v>23</v>
      </c>
    </row>
    <row r="6876" spans="1:5" hidden="1" outlineLevel="2">
      <c r="A6876" s="3" t="e">
        <f>(HYPERLINK("http://www.autodoc.ru/Web/price/art/6539LGSH3FD?analog=on","6539LGSH3FD"))*1</f>
        <v>#VALUE!</v>
      </c>
      <c r="B6876" s="1">
        <v>6994570</v>
      </c>
      <c r="C6876" t="s">
        <v>411</v>
      </c>
      <c r="D6876" t="s">
        <v>7070</v>
      </c>
      <c r="E6876" t="s">
        <v>10</v>
      </c>
    </row>
    <row r="6877" spans="1:5" hidden="1" outlineLevel="2">
      <c r="A6877" s="3" t="e">
        <f>(HYPERLINK("http://www.autodoc.ru/Web/price/art/6539LGSH3RQO?analog=on","6539LGSH3RQO"))*1</f>
        <v>#VALUE!</v>
      </c>
      <c r="B6877" s="1">
        <v>6994571</v>
      </c>
      <c r="C6877" t="s">
        <v>411</v>
      </c>
      <c r="D6877" t="s">
        <v>7071</v>
      </c>
      <c r="E6877" t="s">
        <v>10</v>
      </c>
    </row>
    <row r="6878" spans="1:5" hidden="1" outlineLevel="2">
      <c r="A6878" s="3" t="e">
        <f>(HYPERLINK("http://www.autodoc.ru/Web/price/art/6539LGSH5FD?analog=on","6539LGSH5FD"))*1</f>
        <v>#VALUE!</v>
      </c>
      <c r="B6878" s="1">
        <v>6994572</v>
      </c>
      <c r="C6878" t="s">
        <v>411</v>
      </c>
      <c r="D6878" t="s">
        <v>7072</v>
      </c>
      <c r="E6878" t="s">
        <v>10</v>
      </c>
    </row>
    <row r="6879" spans="1:5" hidden="1" outlineLevel="2">
      <c r="A6879" s="3" t="e">
        <f>(HYPERLINK("http://www.autodoc.ru/Web/price/art/6539LGSH5RD?analog=on","6539LGSH5RD"))*1</f>
        <v>#VALUE!</v>
      </c>
      <c r="B6879" s="1">
        <v>6994573</v>
      </c>
      <c r="C6879" t="s">
        <v>411</v>
      </c>
      <c r="D6879" t="s">
        <v>7073</v>
      </c>
      <c r="E6879" t="s">
        <v>10</v>
      </c>
    </row>
    <row r="6880" spans="1:5" hidden="1" outlineLevel="2">
      <c r="A6880" s="3" t="e">
        <f>(HYPERLINK("http://www.autodoc.ru/Web/price/art/6539RGSH3FD?analog=on","6539RGSH3FD"))*1</f>
        <v>#VALUE!</v>
      </c>
      <c r="B6880" s="1">
        <v>6994574</v>
      </c>
      <c r="C6880" t="s">
        <v>411</v>
      </c>
      <c r="D6880" t="s">
        <v>7074</v>
      </c>
      <c r="E6880" t="s">
        <v>10</v>
      </c>
    </row>
    <row r="6881" spans="1:5" hidden="1" outlineLevel="2">
      <c r="A6881" s="3" t="e">
        <f>(HYPERLINK("http://www.autodoc.ru/Web/price/art/6539RGSH3RQO?analog=on","6539RGSH3RQO"))*1</f>
        <v>#VALUE!</v>
      </c>
      <c r="B6881" s="1">
        <v>6994575</v>
      </c>
      <c r="C6881" t="s">
        <v>411</v>
      </c>
      <c r="D6881" t="s">
        <v>7075</v>
      </c>
      <c r="E6881" t="s">
        <v>10</v>
      </c>
    </row>
    <row r="6882" spans="1:5" hidden="1" outlineLevel="2">
      <c r="A6882" s="3" t="e">
        <f>(HYPERLINK("http://www.autodoc.ru/Web/price/art/6539RGSH5FD?analog=on","6539RGSH5FD"))*1</f>
        <v>#VALUE!</v>
      </c>
      <c r="B6882" s="1">
        <v>6994576</v>
      </c>
      <c r="C6882" t="s">
        <v>411</v>
      </c>
      <c r="D6882" t="s">
        <v>7076</v>
      </c>
      <c r="E6882" t="s">
        <v>10</v>
      </c>
    </row>
    <row r="6883" spans="1:5" hidden="1" outlineLevel="2">
      <c r="A6883" s="3" t="e">
        <f>(HYPERLINK("http://www.autodoc.ru/Web/price/art/6539RGSH5RD?analog=on","6539RGSH5RD"))*1</f>
        <v>#VALUE!</v>
      </c>
      <c r="B6883" s="1">
        <v>6994577</v>
      </c>
      <c r="C6883" t="s">
        <v>411</v>
      </c>
      <c r="D6883" t="s">
        <v>7077</v>
      </c>
      <c r="E6883" t="s">
        <v>10</v>
      </c>
    </row>
    <row r="6884" spans="1:5" hidden="1" outlineLevel="1">
      <c r="A6884" s="2">
        <v>0</v>
      </c>
      <c r="B6884" s="26" t="s">
        <v>7078</v>
      </c>
      <c r="C6884" s="27">
        <v>0</v>
      </c>
      <c r="D6884" s="27">
        <v>0</v>
      </c>
      <c r="E6884" s="27">
        <v>0</v>
      </c>
    </row>
    <row r="6885" spans="1:5" hidden="1" outlineLevel="2">
      <c r="A6885" s="3" t="e">
        <f>(HYPERLINK("http://www.autodoc.ru/Web/price/art/6545ACCMV6T?analog=on","6545ACCMV6T"))*1</f>
        <v>#VALUE!</v>
      </c>
      <c r="B6885" s="1">
        <v>6960389</v>
      </c>
      <c r="C6885" t="s">
        <v>753</v>
      </c>
      <c r="D6885" t="s">
        <v>7079</v>
      </c>
      <c r="E6885" t="s">
        <v>8</v>
      </c>
    </row>
    <row r="6886" spans="1:5" hidden="1" outlineLevel="2">
      <c r="A6886" s="3" t="e">
        <f>(HYPERLINK("http://www.autodoc.ru/Web/price/art/6545ACCV1B?analog=on","6545ACCV1B"))*1</f>
        <v>#VALUE!</v>
      </c>
      <c r="B6886" s="1">
        <v>6960154</v>
      </c>
      <c r="C6886" t="s">
        <v>945</v>
      </c>
      <c r="D6886" t="s">
        <v>7080</v>
      </c>
      <c r="E6886" t="s">
        <v>8</v>
      </c>
    </row>
    <row r="6887" spans="1:5" hidden="1" outlineLevel="2">
      <c r="A6887" s="3" t="e">
        <f>(HYPERLINK("http://www.autodoc.ru/Web/price/art/6545AGSMV6T?analog=on","6545AGSMV6T"))*1</f>
        <v>#VALUE!</v>
      </c>
      <c r="B6887" s="1">
        <v>6960163</v>
      </c>
      <c r="C6887" t="s">
        <v>753</v>
      </c>
      <c r="D6887" t="s">
        <v>7081</v>
      </c>
      <c r="E6887" t="s">
        <v>8</v>
      </c>
    </row>
    <row r="6888" spans="1:5" hidden="1" outlineLevel="2">
      <c r="A6888" s="3" t="e">
        <f>(HYPERLINK("http://www.autodoc.ru/Web/price/art/6545AGSV?analog=on","6545AGSV"))*1</f>
        <v>#VALUE!</v>
      </c>
      <c r="B6888" s="1">
        <v>6960155</v>
      </c>
      <c r="C6888" t="s">
        <v>945</v>
      </c>
      <c r="D6888" t="s">
        <v>7082</v>
      </c>
      <c r="E6888" t="s">
        <v>8</v>
      </c>
    </row>
    <row r="6889" spans="1:5" hidden="1" outlineLevel="2">
      <c r="A6889" s="3" t="e">
        <f>(HYPERLINK("http://www.autodoc.ru/Web/price/art/6545BGST?analog=on","6545BGST"))*1</f>
        <v>#VALUE!</v>
      </c>
      <c r="B6889" s="1">
        <v>6990401</v>
      </c>
      <c r="C6889" t="s">
        <v>945</v>
      </c>
      <c r="D6889" t="s">
        <v>7083</v>
      </c>
      <c r="E6889" t="s">
        <v>23</v>
      </c>
    </row>
    <row r="6890" spans="1:5" hidden="1" outlineLevel="2">
      <c r="A6890" s="3" t="e">
        <f>(HYPERLINK("http://www.autodoc.ru/Web/price/art/6545LGST2FD?analog=on","6545LGST2FD"))*1</f>
        <v>#VALUE!</v>
      </c>
      <c r="B6890" s="1">
        <v>6990404</v>
      </c>
      <c r="C6890" t="s">
        <v>945</v>
      </c>
      <c r="D6890" t="s">
        <v>7084</v>
      </c>
      <c r="E6890" t="s">
        <v>10</v>
      </c>
    </row>
    <row r="6891" spans="1:5" hidden="1" outlineLevel="2">
      <c r="A6891" s="3" t="e">
        <f>(HYPERLINK("http://www.autodoc.ru/Web/price/art/6545LGST2RQOW?analog=on","6545LGST2RQOW"))*1</f>
        <v>#VALUE!</v>
      </c>
      <c r="B6891" s="1">
        <v>6990302</v>
      </c>
      <c r="C6891" t="s">
        <v>945</v>
      </c>
      <c r="D6891" t="s">
        <v>7085</v>
      </c>
      <c r="E6891" t="s">
        <v>10</v>
      </c>
    </row>
    <row r="6892" spans="1:5" hidden="1" outlineLevel="2">
      <c r="A6892" s="3" t="e">
        <f>(HYPERLINK("http://www.autodoc.ru/Web/price/art/6545RGST2FD?analog=on","6545RGST2FD"))*1</f>
        <v>#VALUE!</v>
      </c>
      <c r="B6892" s="1">
        <v>6990403</v>
      </c>
      <c r="C6892" t="s">
        <v>945</v>
      </c>
      <c r="D6892" t="s">
        <v>7086</v>
      </c>
      <c r="E6892" t="s">
        <v>10</v>
      </c>
    </row>
    <row r="6893" spans="1:5" hidden="1" outlineLevel="2">
      <c r="A6893" s="3" t="e">
        <f>(HYPERLINK("http://www.autodoc.ru/Web/price/art/6545RGST2RQOW?analog=on","6545RGST2RQOW"))*1</f>
        <v>#VALUE!</v>
      </c>
      <c r="B6893" s="1">
        <v>6990286</v>
      </c>
      <c r="C6893" t="s">
        <v>945</v>
      </c>
      <c r="D6893" t="s">
        <v>7087</v>
      </c>
      <c r="E6893" t="s">
        <v>10</v>
      </c>
    </row>
    <row r="6894" spans="1:5" hidden="1" outlineLevel="1">
      <c r="A6894" s="2">
        <v>0</v>
      </c>
      <c r="B6894" s="26" t="s">
        <v>7088</v>
      </c>
      <c r="C6894" s="27">
        <v>0</v>
      </c>
      <c r="D6894" s="27">
        <v>0</v>
      </c>
      <c r="E6894" s="27">
        <v>0</v>
      </c>
    </row>
    <row r="6895" spans="1:5" hidden="1" outlineLevel="2">
      <c r="A6895" s="3" t="e">
        <f>(HYPERLINK("http://www.autodoc.ru/Web/price/art/6548ACCMVZ1B?analog=on","6548ACCMVZ1B"))*1</f>
        <v>#VALUE!</v>
      </c>
      <c r="B6895" s="1">
        <v>6960638</v>
      </c>
      <c r="C6895" t="s">
        <v>956</v>
      </c>
      <c r="D6895" t="s">
        <v>7089</v>
      </c>
      <c r="E6895" t="s">
        <v>8</v>
      </c>
    </row>
    <row r="6896" spans="1:5" hidden="1" outlineLevel="2">
      <c r="A6896" s="3" t="e">
        <f>(HYPERLINK("http://www.autodoc.ru/Web/price/art/6548ACCVZ?analog=on","6548ACCVZ"))*1</f>
        <v>#VALUE!</v>
      </c>
      <c r="B6896" s="1">
        <v>6960637</v>
      </c>
      <c r="C6896" t="s">
        <v>956</v>
      </c>
      <c r="D6896" t="s">
        <v>7090</v>
      </c>
      <c r="E6896" t="s">
        <v>8</v>
      </c>
    </row>
    <row r="6897" spans="1:5" hidden="1" outlineLevel="2">
      <c r="A6897" s="3" t="e">
        <f>(HYPERLINK("http://www.autodoc.ru/Web/price/art/6548AGSMVZ1B?analog=on","6548AGSMVZ1B"))*1</f>
        <v>#VALUE!</v>
      </c>
      <c r="B6897" s="1">
        <v>6962751</v>
      </c>
      <c r="C6897" t="s">
        <v>956</v>
      </c>
      <c r="D6897" t="s">
        <v>7091</v>
      </c>
      <c r="E6897" t="s">
        <v>8</v>
      </c>
    </row>
    <row r="6898" spans="1:5" hidden="1" outlineLevel="2">
      <c r="A6898" s="3" t="e">
        <f>(HYPERLINK("http://www.autodoc.ru/Web/price/art/6548AGSVZ?analog=on","6548AGSVZ"))*1</f>
        <v>#VALUE!</v>
      </c>
      <c r="B6898" s="1">
        <v>6960635</v>
      </c>
      <c r="C6898" t="s">
        <v>956</v>
      </c>
      <c r="D6898" t="s">
        <v>7092</v>
      </c>
      <c r="E6898" t="s">
        <v>8</v>
      </c>
    </row>
    <row r="6899" spans="1:5" hidden="1" outlineLevel="2">
      <c r="A6899" s="3" t="e">
        <f>(HYPERLINK("http://www.autodoc.ru/Web/price/art/6548BGSHA?analog=on","6548BGSHA"))*1</f>
        <v>#VALUE!</v>
      </c>
      <c r="B6899" s="1">
        <v>6996478</v>
      </c>
      <c r="C6899" t="s">
        <v>956</v>
      </c>
      <c r="D6899" t="s">
        <v>7093</v>
      </c>
      <c r="E6899" t="s">
        <v>23</v>
      </c>
    </row>
    <row r="6900" spans="1:5" hidden="1" outlineLevel="2">
      <c r="A6900" s="3" t="e">
        <f>(HYPERLINK("http://www.autodoc.ru/Web/price/art/6548LGSH3FD?analog=on","6548LGSH3FD"))*1</f>
        <v>#VALUE!</v>
      </c>
      <c r="B6900" s="1">
        <v>6997386</v>
      </c>
      <c r="C6900" t="s">
        <v>956</v>
      </c>
      <c r="D6900" t="s">
        <v>7094</v>
      </c>
      <c r="E6900" t="s">
        <v>10</v>
      </c>
    </row>
    <row r="6901" spans="1:5" hidden="1" outlineLevel="2">
      <c r="A6901" s="3" t="e">
        <f>(HYPERLINK("http://www.autodoc.ru/Web/price/art/6548LGSH3RQOW?analog=on","6548LGSH3RQOW"))*1</f>
        <v>#VALUE!</v>
      </c>
      <c r="B6901" s="1">
        <v>6992330</v>
      </c>
      <c r="C6901" t="s">
        <v>956</v>
      </c>
      <c r="D6901" t="s">
        <v>7095</v>
      </c>
      <c r="E6901" t="s">
        <v>10</v>
      </c>
    </row>
    <row r="6902" spans="1:5" hidden="1" outlineLevel="2">
      <c r="A6902" s="3" t="e">
        <f>(HYPERLINK("http://www.autodoc.ru/Web/price/art/6548LGSH5FD?analog=on","6548LGSH5FD"))*1</f>
        <v>#VALUE!</v>
      </c>
      <c r="B6902" s="1">
        <v>6997387</v>
      </c>
      <c r="C6902" t="s">
        <v>956</v>
      </c>
      <c r="D6902" t="s">
        <v>7096</v>
      </c>
      <c r="E6902" t="s">
        <v>10</v>
      </c>
    </row>
    <row r="6903" spans="1:5" hidden="1" outlineLevel="2">
      <c r="A6903" s="3" t="e">
        <f>(HYPERLINK("http://www.autodoc.ru/Web/price/art/6548LGSH5RD?analog=on","6548LGSH5RD"))*1</f>
        <v>#VALUE!</v>
      </c>
      <c r="B6903" s="1">
        <v>6997390</v>
      </c>
      <c r="C6903" t="s">
        <v>956</v>
      </c>
      <c r="D6903" t="s">
        <v>7097</v>
      </c>
      <c r="E6903" t="s">
        <v>10</v>
      </c>
    </row>
    <row r="6904" spans="1:5" hidden="1" outlineLevel="2">
      <c r="A6904" s="3" t="e">
        <f>(HYPERLINK("http://www.autodoc.ru/Web/price/art/6548RGSH3FD?analog=on","6548RGSH3FD"))*1</f>
        <v>#VALUE!</v>
      </c>
      <c r="B6904" s="1">
        <v>6997389</v>
      </c>
      <c r="C6904" t="s">
        <v>956</v>
      </c>
      <c r="D6904" t="s">
        <v>7098</v>
      </c>
      <c r="E6904" t="s">
        <v>10</v>
      </c>
    </row>
    <row r="6905" spans="1:5" hidden="1" outlineLevel="2">
      <c r="A6905" s="3" t="e">
        <f>(HYPERLINK("http://www.autodoc.ru/Web/price/art/6548RGSH3RQOW?analog=on","6548RGSH3RQOW"))*1</f>
        <v>#VALUE!</v>
      </c>
      <c r="B6905" s="1">
        <v>6992331</v>
      </c>
      <c r="C6905" t="s">
        <v>956</v>
      </c>
      <c r="D6905" t="s">
        <v>7099</v>
      </c>
      <c r="E6905" t="s">
        <v>10</v>
      </c>
    </row>
    <row r="6906" spans="1:5" hidden="1" outlineLevel="2">
      <c r="A6906" s="3" t="e">
        <f>(HYPERLINK("http://www.autodoc.ru/Web/price/art/6548RGSH5FD?analog=on","6548RGSH5FD"))*1</f>
        <v>#VALUE!</v>
      </c>
      <c r="B6906" s="1">
        <v>6997388</v>
      </c>
      <c r="C6906" t="s">
        <v>956</v>
      </c>
      <c r="D6906" t="s">
        <v>7100</v>
      </c>
      <c r="E6906" t="s">
        <v>10</v>
      </c>
    </row>
    <row r="6907" spans="1:5" hidden="1" outlineLevel="2">
      <c r="A6907" s="3" t="e">
        <f>(HYPERLINK("http://www.autodoc.ru/Web/price/art/6548RGSH5RD?analog=on","6548RGSH5RD"))*1</f>
        <v>#VALUE!</v>
      </c>
      <c r="B6907" s="1">
        <v>6997391</v>
      </c>
      <c r="C6907" t="s">
        <v>956</v>
      </c>
      <c r="D6907" t="s">
        <v>7101</v>
      </c>
      <c r="E6907" t="s">
        <v>10</v>
      </c>
    </row>
    <row r="6908" spans="1:5" hidden="1" outlineLevel="1">
      <c r="A6908" s="2">
        <v>0</v>
      </c>
      <c r="B6908" s="26" t="s">
        <v>7102</v>
      </c>
      <c r="C6908" s="27">
        <v>0</v>
      </c>
      <c r="D6908" s="27">
        <v>0</v>
      </c>
      <c r="E6908" s="27">
        <v>0</v>
      </c>
    </row>
    <row r="6909" spans="1:5" hidden="1" outlineLevel="2">
      <c r="A6909" s="3" t="e">
        <f>(HYPERLINK("http://www.autodoc.ru/Web/price/art/6551AGSAMVZ1P?analog=on","6551AGSAMVZ1P"))*1</f>
        <v>#VALUE!</v>
      </c>
      <c r="B6909" s="1">
        <v>6962662</v>
      </c>
      <c r="C6909" t="s">
        <v>3406</v>
      </c>
      <c r="D6909" t="s">
        <v>7103</v>
      </c>
      <c r="E6909" t="s">
        <v>8</v>
      </c>
    </row>
    <row r="6910" spans="1:5" hidden="1" outlineLevel="2">
      <c r="A6910" s="3" t="e">
        <f>(HYPERLINK("http://www.autodoc.ru/Web/price/art/6551AGSAVZ1P?analog=on","6551AGSAVZ1P"))*1</f>
        <v>#VALUE!</v>
      </c>
      <c r="B6910" s="1">
        <v>6962663</v>
      </c>
      <c r="C6910" t="s">
        <v>3406</v>
      </c>
      <c r="D6910" t="s">
        <v>7104</v>
      </c>
      <c r="E6910" t="s">
        <v>8</v>
      </c>
    </row>
    <row r="6911" spans="1:5" hidden="1" outlineLevel="2">
      <c r="A6911" s="3" t="e">
        <f>(HYPERLINK("http://www.autodoc.ru/Web/price/art/6551AGSMVZ1P?analog=on","6551AGSMVZ1P"))*1</f>
        <v>#VALUE!</v>
      </c>
      <c r="B6911" s="1">
        <v>6962467</v>
      </c>
      <c r="C6911" t="s">
        <v>3406</v>
      </c>
      <c r="D6911" t="s">
        <v>7105</v>
      </c>
      <c r="E6911" t="s">
        <v>8</v>
      </c>
    </row>
    <row r="6912" spans="1:5" hidden="1" outlineLevel="2">
      <c r="A6912" s="3" t="e">
        <f>(HYPERLINK("http://www.autodoc.ru/Web/price/art/6551AGSVZ?analog=on","6551AGSVZ"))*1</f>
        <v>#VALUE!</v>
      </c>
      <c r="B6912" s="1">
        <v>6962664</v>
      </c>
      <c r="C6912" t="s">
        <v>3406</v>
      </c>
      <c r="D6912" t="s">
        <v>7106</v>
      </c>
      <c r="E6912" t="s">
        <v>8</v>
      </c>
    </row>
    <row r="6913" spans="1:5" hidden="1" outlineLevel="1">
      <c r="A6913" s="2">
        <v>0</v>
      </c>
      <c r="B6913" s="26" t="s">
        <v>7107</v>
      </c>
      <c r="C6913" s="27">
        <v>0</v>
      </c>
      <c r="D6913" s="27">
        <v>0</v>
      </c>
      <c r="E6913" s="27">
        <v>0</v>
      </c>
    </row>
    <row r="6914" spans="1:5" hidden="1" outlineLevel="2">
      <c r="A6914" s="3" t="e">
        <f>(HYPERLINK("http://www.autodoc.ru/Web/price/art/6564AGAMVZ1B?analog=on","6564AGAMVZ1B"))*1</f>
        <v>#VALUE!</v>
      </c>
      <c r="B6914" s="1">
        <v>6965782</v>
      </c>
      <c r="C6914" t="s">
        <v>965</v>
      </c>
      <c r="D6914" t="s">
        <v>7108</v>
      </c>
      <c r="E6914" t="s">
        <v>8</v>
      </c>
    </row>
    <row r="6915" spans="1:5" hidden="1" outlineLevel="1">
      <c r="A6915" s="2">
        <v>0</v>
      </c>
      <c r="B6915" s="26" t="s">
        <v>7109</v>
      </c>
      <c r="C6915" s="27">
        <v>0</v>
      </c>
      <c r="D6915" s="27">
        <v>0</v>
      </c>
      <c r="E6915" s="27">
        <v>0</v>
      </c>
    </row>
    <row r="6916" spans="1:5" hidden="1" outlineLevel="2">
      <c r="A6916" s="3" t="e">
        <f>(HYPERLINK("http://www.autodoc.ru/Web/price/art/6512ACL1C?analog=on","6512ACL1C"))*1</f>
        <v>#VALUE!</v>
      </c>
      <c r="B6916" s="1">
        <v>6965811</v>
      </c>
      <c r="C6916" t="s">
        <v>7110</v>
      </c>
      <c r="D6916" t="s">
        <v>7111</v>
      </c>
      <c r="E6916" t="s">
        <v>8</v>
      </c>
    </row>
    <row r="6917" spans="1:5" hidden="1" outlineLevel="1">
      <c r="A6917" s="2">
        <v>0</v>
      </c>
      <c r="B6917" s="26" t="s">
        <v>7112</v>
      </c>
      <c r="C6917" s="27">
        <v>0</v>
      </c>
      <c r="D6917" s="27">
        <v>0</v>
      </c>
      <c r="E6917" s="27">
        <v>0</v>
      </c>
    </row>
    <row r="6918" spans="1:5" hidden="1" outlineLevel="2">
      <c r="A6918" s="3" t="e">
        <f>(HYPERLINK("http://www.autodoc.ru/Web/price/art/6521ACCM1C?analog=on","6521ACCM1C"))*1</f>
        <v>#VALUE!</v>
      </c>
      <c r="B6918" s="1">
        <v>6960824</v>
      </c>
      <c r="C6918" t="s">
        <v>1570</v>
      </c>
      <c r="D6918" t="s">
        <v>7113</v>
      </c>
      <c r="E6918" t="s">
        <v>8</v>
      </c>
    </row>
    <row r="6919" spans="1:5" hidden="1" outlineLevel="2">
      <c r="A6919" s="3" t="e">
        <f>(HYPERLINK("http://www.autodoc.ru/Web/price/art/6521ACL?analog=on","6521ACL"))*1</f>
        <v>#VALUE!</v>
      </c>
      <c r="B6919" s="1">
        <v>6965823</v>
      </c>
      <c r="C6919" t="s">
        <v>1074</v>
      </c>
      <c r="D6919" t="s">
        <v>7114</v>
      </c>
      <c r="E6919" t="s">
        <v>8</v>
      </c>
    </row>
    <row r="6920" spans="1:5" hidden="1" outlineLevel="2">
      <c r="A6920" s="3" t="e">
        <f>(HYPERLINK("http://www.autodoc.ru/Web/price/art/6521AGN?analog=on","6521AGN"))*1</f>
        <v>#VALUE!</v>
      </c>
      <c r="B6920" s="1">
        <v>6965825</v>
      </c>
      <c r="C6920" t="s">
        <v>1074</v>
      </c>
      <c r="D6920" t="s">
        <v>7115</v>
      </c>
      <c r="E6920" t="s">
        <v>8</v>
      </c>
    </row>
    <row r="6921" spans="1:5" hidden="1" outlineLevel="2">
      <c r="A6921" s="3" t="e">
        <f>(HYPERLINK("http://www.autodoc.ru/Web/price/art/6521AGNBL?analog=on","6521AGNBL"))*1</f>
        <v>#VALUE!</v>
      </c>
      <c r="B6921" s="1">
        <v>6963248</v>
      </c>
      <c r="C6921" t="s">
        <v>1074</v>
      </c>
      <c r="D6921" t="s">
        <v>7116</v>
      </c>
      <c r="E6921" t="s">
        <v>8</v>
      </c>
    </row>
    <row r="6922" spans="1:5" hidden="1" outlineLevel="2">
      <c r="A6922" s="3" t="e">
        <f>(HYPERLINK("http://www.autodoc.ru/Web/price/art/6521AGNGN?analog=on","6521AGNGN"))*1</f>
        <v>#VALUE!</v>
      </c>
      <c r="B6922" s="1">
        <v>6963759</v>
      </c>
      <c r="C6922" t="s">
        <v>1074</v>
      </c>
      <c r="D6922" t="s">
        <v>7117</v>
      </c>
      <c r="E6922" t="s">
        <v>8</v>
      </c>
    </row>
    <row r="6923" spans="1:5" hidden="1" outlineLevel="2">
      <c r="A6923" s="3" t="e">
        <f>(HYPERLINK("http://www.autodoc.ru/Web/price/art/6521AGNM1C?analog=on","6521AGNM1C"))*1</f>
        <v>#VALUE!</v>
      </c>
      <c r="B6923" s="1">
        <v>6963321</v>
      </c>
      <c r="C6923" t="s">
        <v>1570</v>
      </c>
      <c r="D6923" t="s">
        <v>7118</v>
      </c>
      <c r="E6923" t="s">
        <v>8</v>
      </c>
    </row>
    <row r="6924" spans="1:5" hidden="1" outlineLevel="2">
      <c r="A6924" s="3" t="e">
        <f>(HYPERLINK("http://www.autodoc.ru/Web/price/art/6521AKMH?analog=on","6521AKMH"))*1</f>
        <v>#VALUE!</v>
      </c>
      <c r="B6924" s="1">
        <v>6100178</v>
      </c>
      <c r="C6924" t="s">
        <v>19</v>
      </c>
      <c r="D6924" t="s">
        <v>7119</v>
      </c>
      <c r="E6924" t="s">
        <v>21</v>
      </c>
    </row>
    <row r="6925" spans="1:5" hidden="1" outlineLevel="2">
      <c r="A6925" s="3" t="e">
        <f>(HYPERLINK("http://www.autodoc.ru/Web/price/art/6521ASGHT?analog=on","6521ASGHT"))*1</f>
        <v>#VALUE!</v>
      </c>
      <c r="B6925" s="1">
        <v>6100464</v>
      </c>
      <c r="C6925" t="s">
        <v>19</v>
      </c>
      <c r="D6925" t="s">
        <v>7120</v>
      </c>
      <c r="E6925" t="s">
        <v>21</v>
      </c>
    </row>
    <row r="6926" spans="1:5" hidden="1" outlineLevel="2">
      <c r="A6926" s="3" t="e">
        <f>(HYPERLINK("http://www.autodoc.ru/Web/price/art/6521ASMH?analog=on","6521ASMH"))*1</f>
        <v>#VALUE!</v>
      </c>
      <c r="B6926" s="1">
        <v>6100379</v>
      </c>
      <c r="C6926" t="s">
        <v>19</v>
      </c>
      <c r="D6926" t="s">
        <v>7121</v>
      </c>
      <c r="E6926" t="s">
        <v>21</v>
      </c>
    </row>
    <row r="6927" spans="1:5" hidden="1" outlineLevel="2">
      <c r="A6927" s="3" t="e">
        <f>(HYPERLINK("http://www.autodoc.ru/Web/price/art/6521BCLH1H?analog=on","6521BCLH1H"))*1</f>
        <v>#VALUE!</v>
      </c>
      <c r="B6927" s="1">
        <v>6997027</v>
      </c>
      <c r="C6927" t="s">
        <v>1074</v>
      </c>
      <c r="D6927" t="s">
        <v>7122</v>
      </c>
      <c r="E6927" t="s">
        <v>23</v>
      </c>
    </row>
    <row r="6928" spans="1:5" hidden="1" outlineLevel="2">
      <c r="A6928" s="3" t="e">
        <f>(HYPERLINK("http://www.autodoc.ru/Web/price/art/6521BGNH1H?analog=on","6521BGNH1H"))*1</f>
        <v>#VALUE!</v>
      </c>
      <c r="B6928" s="1">
        <v>6997028</v>
      </c>
      <c r="C6928" t="s">
        <v>1074</v>
      </c>
      <c r="D6928" t="s">
        <v>7123</v>
      </c>
      <c r="E6928" t="s">
        <v>23</v>
      </c>
    </row>
    <row r="6929" spans="1:5" hidden="1" outlineLevel="2">
      <c r="A6929" s="3" t="e">
        <f>(HYPERLINK("http://www.autodoc.ru/Web/price/art/6521BGNS?analog=on","6521BGNS"))*1</f>
        <v>#VALUE!</v>
      </c>
      <c r="B6929" s="1">
        <v>6996505</v>
      </c>
      <c r="C6929" t="s">
        <v>33</v>
      </c>
      <c r="D6929" t="s">
        <v>7124</v>
      </c>
      <c r="E6929" t="s">
        <v>23</v>
      </c>
    </row>
    <row r="6930" spans="1:5" hidden="1" outlineLevel="2">
      <c r="A6930" s="3" t="e">
        <f>(HYPERLINK("http://www.autodoc.ru/Web/price/art/6521BGNS1H?analog=on","6521BGNS1H"))*1</f>
        <v>#VALUE!</v>
      </c>
      <c r="B6930" s="1">
        <v>6996506</v>
      </c>
      <c r="C6930" t="s">
        <v>33</v>
      </c>
      <c r="D6930" t="s">
        <v>7125</v>
      </c>
      <c r="E6930" t="s">
        <v>23</v>
      </c>
    </row>
    <row r="6931" spans="1:5" hidden="1" outlineLevel="2">
      <c r="A6931" s="3" t="e">
        <f>(HYPERLINK("http://www.autodoc.ru/Web/price/art/6521BGNS2H?analog=on","6521BGNS2H"))*1</f>
        <v>#VALUE!</v>
      </c>
      <c r="B6931" s="1">
        <v>6997029</v>
      </c>
      <c r="C6931" t="s">
        <v>1570</v>
      </c>
      <c r="D6931" t="s">
        <v>7126</v>
      </c>
      <c r="E6931" t="s">
        <v>23</v>
      </c>
    </row>
    <row r="6932" spans="1:5" hidden="1" outlineLevel="2">
      <c r="A6932" s="3" t="e">
        <f>(HYPERLINK("http://www.autodoc.ru/Web/price/art/6521LCLH3FD?analog=on","6521LCLH3FD"))*1</f>
        <v>#VALUE!</v>
      </c>
      <c r="B6932" s="1">
        <v>6995825</v>
      </c>
      <c r="C6932" t="s">
        <v>1074</v>
      </c>
      <c r="D6932" t="s">
        <v>7127</v>
      </c>
      <c r="E6932" t="s">
        <v>10</v>
      </c>
    </row>
    <row r="6933" spans="1:5" hidden="1" outlineLevel="2">
      <c r="A6933" s="3" t="e">
        <f>(HYPERLINK("http://www.autodoc.ru/Web/price/art/6521LCLH5FD?analog=on","6521LCLH5FD"))*1</f>
        <v>#VALUE!</v>
      </c>
      <c r="B6933" s="1">
        <v>6997206</v>
      </c>
      <c r="C6933" t="s">
        <v>1074</v>
      </c>
      <c r="D6933" t="s">
        <v>7128</v>
      </c>
      <c r="E6933" t="s">
        <v>10</v>
      </c>
    </row>
    <row r="6934" spans="1:5" hidden="1" outlineLevel="2">
      <c r="A6934" s="3" t="e">
        <f>(HYPERLINK("http://www.autodoc.ru/Web/price/art/6521LCLH5RD?analog=on","6521LCLH5RD"))*1</f>
        <v>#VALUE!</v>
      </c>
      <c r="B6934" s="1">
        <v>6994556</v>
      </c>
      <c r="C6934" t="s">
        <v>1074</v>
      </c>
      <c r="D6934" t="s">
        <v>7129</v>
      </c>
      <c r="E6934" t="s">
        <v>10</v>
      </c>
    </row>
    <row r="6935" spans="1:5" hidden="1" outlineLevel="2">
      <c r="A6935" s="3" t="e">
        <f>(HYPERLINK("http://www.autodoc.ru/Web/price/art/6521LCLH5RV?analog=on","6521LCLH5RV"))*1</f>
        <v>#VALUE!</v>
      </c>
      <c r="B6935" s="1">
        <v>6994557</v>
      </c>
      <c r="C6935" t="s">
        <v>1074</v>
      </c>
      <c r="D6935" t="s">
        <v>7130</v>
      </c>
      <c r="E6935" t="s">
        <v>10</v>
      </c>
    </row>
    <row r="6936" spans="1:5" hidden="1" outlineLevel="2">
      <c r="A6936" s="3" t="e">
        <f>(HYPERLINK("http://www.autodoc.ru/Web/price/art/6521LGNE5RQ?analog=on","6521LGNE5RQ"))*1</f>
        <v>#VALUE!</v>
      </c>
      <c r="B6936" s="1">
        <v>6993272</v>
      </c>
      <c r="C6936" t="s">
        <v>1074</v>
      </c>
      <c r="D6936" t="s">
        <v>7131</v>
      </c>
      <c r="E6936" t="s">
        <v>10</v>
      </c>
    </row>
    <row r="6937" spans="1:5" hidden="1" outlineLevel="2">
      <c r="A6937" s="3" t="e">
        <f>(HYPERLINK("http://www.autodoc.ru/Web/price/art/6521LGNH3FD?analog=on","6521LGNH3FD"))*1</f>
        <v>#VALUE!</v>
      </c>
      <c r="B6937" s="1">
        <v>6994560</v>
      </c>
      <c r="C6937" t="s">
        <v>1074</v>
      </c>
      <c r="D6937" t="s">
        <v>7132</v>
      </c>
      <c r="E6937" t="s">
        <v>10</v>
      </c>
    </row>
    <row r="6938" spans="1:5" hidden="1" outlineLevel="2">
      <c r="A6938" s="3" t="e">
        <f>(HYPERLINK("http://www.autodoc.ru/Web/price/art/6521LGNH3RQO?analog=on","6521LGNH3RQO"))*1</f>
        <v>#VALUE!</v>
      </c>
      <c r="B6938" s="1">
        <v>6995452</v>
      </c>
      <c r="C6938" t="s">
        <v>1074</v>
      </c>
      <c r="D6938" t="s">
        <v>7133</v>
      </c>
      <c r="E6938" t="s">
        <v>10</v>
      </c>
    </row>
    <row r="6939" spans="1:5" hidden="1" outlineLevel="2">
      <c r="A6939" s="3" t="e">
        <f>(HYPERLINK("http://www.autodoc.ru/Web/price/art/6521LGNH5FD?analog=on","6521LGNH5FD"))*1</f>
        <v>#VALUE!</v>
      </c>
      <c r="B6939" s="1">
        <v>6997431</v>
      </c>
      <c r="C6939" t="s">
        <v>1074</v>
      </c>
      <c r="D6939" t="s">
        <v>7134</v>
      </c>
      <c r="E6939" t="s">
        <v>10</v>
      </c>
    </row>
    <row r="6940" spans="1:5" hidden="1" outlineLevel="2">
      <c r="A6940" s="3" t="e">
        <f>(HYPERLINK("http://www.autodoc.ru/Web/price/art/6521LGNH5RD?analog=on","6521LGNH5RD"))*1</f>
        <v>#VALUE!</v>
      </c>
      <c r="B6940" s="1">
        <v>6994561</v>
      </c>
      <c r="C6940" t="s">
        <v>1074</v>
      </c>
      <c r="D6940" t="s">
        <v>7135</v>
      </c>
      <c r="E6940" t="s">
        <v>10</v>
      </c>
    </row>
    <row r="6941" spans="1:5" hidden="1" outlineLevel="2">
      <c r="A6941" s="3" t="e">
        <f>(HYPERLINK("http://www.autodoc.ru/Web/price/art/6521LGNH5RV?analog=on","6521LGNH5RV"))*1</f>
        <v>#VALUE!</v>
      </c>
      <c r="B6941" s="1">
        <v>6994562</v>
      </c>
      <c r="C6941" t="s">
        <v>1074</v>
      </c>
      <c r="D6941" t="s">
        <v>7136</v>
      </c>
      <c r="E6941" t="s">
        <v>10</v>
      </c>
    </row>
    <row r="6942" spans="1:5" hidden="1" outlineLevel="2">
      <c r="A6942" s="3" t="e">
        <f>(HYPERLINK("http://www.autodoc.ru/Web/price/art/6521RCLH3FD?analog=on","6521RCLH3FD"))*1</f>
        <v>#VALUE!</v>
      </c>
      <c r="B6942" s="1">
        <v>6995826</v>
      </c>
      <c r="C6942" t="s">
        <v>1074</v>
      </c>
      <c r="D6942" t="s">
        <v>7137</v>
      </c>
      <c r="E6942" t="s">
        <v>10</v>
      </c>
    </row>
    <row r="6943" spans="1:5" hidden="1" outlineLevel="2">
      <c r="A6943" s="3" t="e">
        <f>(HYPERLINK("http://www.autodoc.ru/Web/price/art/6521RCLH5FD?analog=on","6521RCLH5FD"))*1</f>
        <v>#VALUE!</v>
      </c>
      <c r="B6943" s="1">
        <v>6997205</v>
      </c>
      <c r="C6943" t="s">
        <v>1074</v>
      </c>
      <c r="D6943" t="s">
        <v>7138</v>
      </c>
      <c r="E6943" t="s">
        <v>10</v>
      </c>
    </row>
    <row r="6944" spans="1:5" hidden="1" outlineLevel="2">
      <c r="A6944" s="3" t="e">
        <f>(HYPERLINK("http://www.autodoc.ru/Web/price/art/6521RCLH5RV?analog=on","6521RCLH5RV"))*1</f>
        <v>#VALUE!</v>
      </c>
      <c r="B6944" s="1">
        <v>6994559</v>
      </c>
      <c r="C6944" t="s">
        <v>1074</v>
      </c>
      <c r="D6944" t="s">
        <v>7139</v>
      </c>
      <c r="E6944" t="s">
        <v>10</v>
      </c>
    </row>
    <row r="6945" spans="1:5" hidden="1" outlineLevel="2">
      <c r="A6945" s="3" t="e">
        <f>(HYPERLINK("http://www.autodoc.ru/Web/price/art/6521RGNE5RQ?analog=on","6521RGNE5RQ"))*1</f>
        <v>#VALUE!</v>
      </c>
      <c r="B6945" s="1">
        <v>6993273</v>
      </c>
      <c r="C6945" t="s">
        <v>1074</v>
      </c>
      <c r="D6945" t="s">
        <v>7140</v>
      </c>
      <c r="E6945" t="s">
        <v>10</v>
      </c>
    </row>
    <row r="6946" spans="1:5" hidden="1" outlineLevel="2">
      <c r="A6946" s="3" t="e">
        <f>(HYPERLINK("http://www.autodoc.ru/Web/price/art/6521RGNH3FD?analog=on","6521RGNH3FD"))*1</f>
        <v>#VALUE!</v>
      </c>
      <c r="B6946" s="1">
        <v>6994563</v>
      </c>
      <c r="C6946" t="s">
        <v>1074</v>
      </c>
      <c r="D6946" t="s">
        <v>7141</v>
      </c>
      <c r="E6946" t="s">
        <v>10</v>
      </c>
    </row>
    <row r="6947" spans="1:5" hidden="1" outlineLevel="2">
      <c r="A6947" s="3" t="e">
        <f>(HYPERLINK("http://www.autodoc.ru/Web/price/art/6521RGNH3RQO?analog=on","6521RGNH3RQO"))*1</f>
        <v>#VALUE!</v>
      </c>
      <c r="B6947" s="1">
        <v>6995453</v>
      </c>
      <c r="C6947" t="s">
        <v>1074</v>
      </c>
      <c r="D6947" t="s">
        <v>7142</v>
      </c>
      <c r="E6947" t="s">
        <v>10</v>
      </c>
    </row>
    <row r="6948" spans="1:5" hidden="1" outlineLevel="2">
      <c r="A6948" s="3" t="e">
        <f>(HYPERLINK("http://www.autodoc.ru/Web/price/art/6521RGNH5FD?analog=on","6521RGNH5FD"))*1</f>
        <v>#VALUE!</v>
      </c>
      <c r="B6948" s="1">
        <v>6997432</v>
      </c>
      <c r="C6948" t="s">
        <v>1074</v>
      </c>
      <c r="D6948" t="s">
        <v>7143</v>
      </c>
      <c r="E6948" t="s">
        <v>10</v>
      </c>
    </row>
    <row r="6949" spans="1:5" hidden="1" outlineLevel="2">
      <c r="A6949" s="3" t="e">
        <f>(HYPERLINK("http://www.autodoc.ru/Web/price/art/6521RGNH5RD?analog=on","6521RGNH5RD"))*1</f>
        <v>#VALUE!</v>
      </c>
      <c r="B6949" s="1">
        <v>6994564</v>
      </c>
      <c r="C6949" t="s">
        <v>1074</v>
      </c>
      <c r="D6949" t="s">
        <v>7144</v>
      </c>
      <c r="E6949" t="s">
        <v>10</v>
      </c>
    </row>
    <row r="6950" spans="1:5" hidden="1" outlineLevel="2">
      <c r="A6950" s="3" t="e">
        <f>(HYPERLINK("http://www.autodoc.ru/Web/price/art/6521RGNH5RV?analog=on","6521RGNH5RV"))*1</f>
        <v>#VALUE!</v>
      </c>
      <c r="B6950" s="1">
        <v>6994565</v>
      </c>
      <c r="C6950" t="s">
        <v>1074</v>
      </c>
      <c r="D6950" t="s">
        <v>7145</v>
      </c>
      <c r="E6950" t="s">
        <v>10</v>
      </c>
    </row>
    <row r="6951" spans="1:5" hidden="1" outlineLevel="1">
      <c r="A6951" s="2">
        <v>0</v>
      </c>
      <c r="B6951" s="26" t="s">
        <v>7146</v>
      </c>
      <c r="C6951" s="27">
        <v>0</v>
      </c>
      <c r="D6951" s="27">
        <v>0</v>
      </c>
      <c r="E6951" s="27">
        <v>0</v>
      </c>
    </row>
    <row r="6952" spans="1:5" hidden="1" outlineLevel="2">
      <c r="A6952" s="3" t="e">
        <f>(HYPERLINK("http://www.autodoc.ru/Web/price/art/6524AGN?analog=on","6524AGN"))*1</f>
        <v>#VALUE!</v>
      </c>
      <c r="B6952" s="1">
        <v>6963322</v>
      </c>
      <c r="C6952" t="s">
        <v>6793</v>
      </c>
      <c r="D6952" t="s">
        <v>7147</v>
      </c>
      <c r="E6952" t="s">
        <v>8</v>
      </c>
    </row>
    <row r="6953" spans="1:5" hidden="1" outlineLevel="1">
      <c r="A6953" s="2">
        <v>0</v>
      </c>
      <c r="B6953" s="26" t="s">
        <v>7148</v>
      </c>
      <c r="C6953" s="27">
        <v>0</v>
      </c>
      <c r="D6953" s="27">
        <v>0</v>
      </c>
      <c r="E6953" s="27">
        <v>0</v>
      </c>
    </row>
    <row r="6954" spans="1:5" hidden="1" outlineLevel="2">
      <c r="A6954" s="3" t="e">
        <f>(HYPERLINK("http://www.autodoc.ru/Web/price/art/6542ACCMVZ1B?analog=on","6542ACCMVZ1B"))*1</f>
        <v>#VALUE!</v>
      </c>
      <c r="B6954" s="1">
        <v>6960984</v>
      </c>
      <c r="C6954" t="s">
        <v>753</v>
      </c>
      <c r="D6954" t="s">
        <v>7149</v>
      </c>
      <c r="E6954" t="s">
        <v>8</v>
      </c>
    </row>
    <row r="6955" spans="1:5" hidden="1" outlineLevel="2">
      <c r="A6955" s="3" t="e">
        <f>(HYPERLINK("http://www.autodoc.ru/Web/price/art/6542ACCMVZ6P?analog=on","6542ACCMVZ6P"))*1</f>
        <v>#VALUE!</v>
      </c>
      <c r="B6955" s="1">
        <v>6962667</v>
      </c>
      <c r="C6955" t="s">
        <v>753</v>
      </c>
      <c r="D6955" t="s">
        <v>7150</v>
      </c>
      <c r="E6955" t="s">
        <v>8</v>
      </c>
    </row>
    <row r="6956" spans="1:5" hidden="1" outlineLevel="2">
      <c r="A6956" s="3" t="e">
        <f>(HYPERLINK("http://www.autodoc.ru/Web/price/art/6542ACCVZ?analog=on","6542ACCVZ"))*1</f>
        <v>#VALUE!</v>
      </c>
      <c r="B6956" s="1">
        <v>6961077</v>
      </c>
      <c r="C6956" t="s">
        <v>753</v>
      </c>
      <c r="D6956" t="s">
        <v>7151</v>
      </c>
      <c r="E6956" t="s">
        <v>8</v>
      </c>
    </row>
    <row r="6957" spans="1:5" hidden="1" outlineLevel="2">
      <c r="A6957" s="3" t="e">
        <f>(HYPERLINK("http://www.autodoc.ru/Web/price/art/6542ACDMVZ6P?analog=on","6542ACDMVZ6P"))*1</f>
        <v>#VALUE!</v>
      </c>
      <c r="B6957" s="1">
        <v>6961079</v>
      </c>
      <c r="C6957" t="s">
        <v>753</v>
      </c>
      <c r="D6957" t="s">
        <v>7152</v>
      </c>
      <c r="E6957" t="s">
        <v>8</v>
      </c>
    </row>
    <row r="6958" spans="1:5" hidden="1" outlineLevel="2">
      <c r="A6958" s="3" t="e">
        <f>(HYPERLINK("http://www.autodoc.ru/Web/price/art/6542AGSMVZ1B?analog=on","6542AGSMVZ1B"))*1</f>
        <v>#VALUE!</v>
      </c>
      <c r="B6958" s="1">
        <v>6963124</v>
      </c>
      <c r="C6958" t="s">
        <v>753</v>
      </c>
      <c r="D6958" t="s">
        <v>7153</v>
      </c>
      <c r="E6958" t="s">
        <v>8</v>
      </c>
    </row>
    <row r="6959" spans="1:5" hidden="1" outlineLevel="2">
      <c r="A6959" s="3" t="e">
        <f>(HYPERLINK("http://www.autodoc.ru/Web/price/art/6542AGSMVZ6P?analog=on","6542AGSMVZ6P"))*1</f>
        <v>#VALUE!</v>
      </c>
      <c r="B6959" s="1">
        <v>6963006</v>
      </c>
      <c r="C6959" t="s">
        <v>753</v>
      </c>
      <c r="D6959" t="s">
        <v>7154</v>
      </c>
      <c r="E6959" t="s">
        <v>8</v>
      </c>
    </row>
    <row r="6960" spans="1:5" hidden="1" outlineLevel="2">
      <c r="A6960" s="3" t="e">
        <f>(HYPERLINK("http://www.autodoc.ru/Web/price/art/6542AGSVZ?analog=on","6542AGSVZ"))*1</f>
        <v>#VALUE!</v>
      </c>
      <c r="B6960" s="1">
        <v>6962025</v>
      </c>
      <c r="C6960" t="s">
        <v>753</v>
      </c>
      <c r="D6960" t="s">
        <v>7155</v>
      </c>
      <c r="E6960" t="s">
        <v>8</v>
      </c>
    </row>
    <row r="6961" spans="1:5" hidden="1" outlineLevel="2">
      <c r="A6961" s="3" t="e">
        <f>(HYPERLINK("http://www.autodoc.ru/Web/price/art/6542BGDE?analog=on","6542BGDE"))*1</f>
        <v>#VALUE!</v>
      </c>
      <c r="B6961" s="1">
        <v>6991774</v>
      </c>
      <c r="C6961" t="s">
        <v>753</v>
      </c>
      <c r="D6961" t="s">
        <v>7156</v>
      </c>
      <c r="E6961" t="s">
        <v>23</v>
      </c>
    </row>
    <row r="6962" spans="1:5" hidden="1" outlineLevel="2">
      <c r="A6962" s="3" t="e">
        <f>(HYPERLINK("http://www.autodoc.ru/Web/price/art/6542BGSE?analog=on","6542BGSE"))*1</f>
        <v>#VALUE!</v>
      </c>
      <c r="B6962" s="1">
        <v>6991773</v>
      </c>
      <c r="C6962" t="s">
        <v>753</v>
      </c>
      <c r="D6962" t="s">
        <v>7157</v>
      </c>
      <c r="E6962" t="s">
        <v>23</v>
      </c>
    </row>
    <row r="6963" spans="1:5" hidden="1" outlineLevel="2">
      <c r="A6963" s="3" t="e">
        <f>(HYPERLINK("http://www.autodoc.ru/Web/price/art/6542BGSH?analog=on","6542BGSH"))*1</f>
        <v>#VALUE!</v>
      </c>
      <c r="B6963" s="1">
        <v>6992408</v>
      </c>
      <c r="C6963" t="s">
        <v>753</v>
      </c>
      <c r="D6963" t="s">
        <v>7158</v>
      </c>
      <c r="E6963" t="s">
        <v>23</v>
      </c>
    </row>
    <row r="6964" spans="1:5" hidden="1" outlineLevel="2">
      <c r="A6964" s="3" t="e">
        <f>(HYPERLINK("http://www.autodoc.ru/Web/price/art/6542LGDE5RD?analog=on","6542LGDE5RD"))*1</f>
        <v>#VALUE!</v>
      </c>
      <c r="B6964" s="1">
        <v>6991637</v>
      </c>
      <c r="C6964" t="s">
        <v>753</v>
      </c>
      <c r="D6964" t="s">
        <v>7159</v>
      </c>
      <c r="E6964" t="s">
        <v>10</v>
      </c>
    </row>
    <row r="6965" spans="1:5" hidden="1" outlineLevel="2">
      <c r="A6965" s="3" t="e">
        <f>(HYPERLINK("http://www.autodoc.ru/Web/price/art/6542LGDE5RQW?analog=on","6542LGDE5RQW"))*1</f>
        <v>#VALUE!</v>
      </c>
      <c r="B6965" s="1">
        <v>6991803</v>
      </c>
      <c r="C6965" t="s">
        <v>753</v>
      </c>
      <c r="D6965" t="s">
        <v>7160</v>
      </c>
      <c r="E6965" t="s">
        <v>10</v>
      </c>
    </row>
    <row r="6966" spans="1:5" hidden="1" outlineLevel="2">
      <c r="A6966" s="3" t="e">
        <f>(HYPERLINK("http://www.autodoc.ru/Web/price/art/6542LGSE5RD?analog=on","6542LGSE5RD"))*1</f>
        <v>#VALUE!</v>
      </c>
      <c r="B6966" s="1">
        <v>6991830</v>
      </c>
      <c r="C6966" t="s">
        <v>753</v>
      </c>
      <c r="D6966" t="s">
        <v>7161</v>
      </c>
      <c r="E6966" t="s">
        <v>10</v>
      </c>
    </row>
    <row r="6967" spans="1:5" hidden="1" outlineLevel="2">
      <c r="A6967" s="3" t="e">
        <f>(HYPERLINK("http://www.autodoc.ru/Web/price/art/6542LGSE5RQW?analog=on","6542LGSE5RQW"))*1</f>
        <v>#VALUE!</v>
      </c>
      <c r="B6967" s="1">
        <v>6991804</v>
      </c>
      <c r="C6967" t="s">
        <v>753</v>
      </c>
      <c r="D6967" t="s">
        <v>7162</v>
      </c>
      <c r="E6967" t="s">
        <v>10</v>
      </c>
    </row>
    <row r="6968" spans="1:5" hidden="1" outlineLevel="2">
      <c r="A6968" s="3" t="e">
        <f>(HYPERLINK("http://www.autodoc.ru/Web/price/art/6542LGSH3FD?analog=on","6542LGSH3FD"))*1</f>
        <v>#VALUE!</v>
      </c>
      <c r="B6968" s="1">
        <v>6980118</v>
      </c>
      <c r="C6968" t="s">
        <v>753</v>
      </c>
      <c r="D6968" t="s">
        <v>7163</v>
      </c>
      <c r="E6968" t="s">
        <v>10</v>
      </c>
    </row>
    <row r="6969" spans="1:5" hidden="1" outlineLevel="2">
      <c r="A6969" s="3" t="e">
        <f>(HYPERLINK("http://www.autodoc.ru/Web/price/art/6542LGSH3RQZ?analog=on","6542LGSH3RQZ"))*1</f>
        <v>#VALUE!</v>
      </c>
      <c r="B6969" s="1">
        <v>6980120</v>
      </c>
      <c r="C6969" t="s">
        <v>753</v>
      </c>
      <c r="D6969" t="s">
        <v>7164</v>
      </c>
      <c r="E6969" t="s">
        <v>10</v>
      </c>
    </row>
    <row r="6970" spans="1:5" hidden="1" outlineLevel="2">
      <c r="A6970" s="3" t="e">
        <f>(HYPERLINK("http://www.autodoc.ru/Web/price/art/6542LGSH5FD?analog=on","6542LGSH5FD"))*1</f>
        <v>#VALUE!</v>
      </c>
      <c r="B6970" s="1">
        <v>6990914</v>
      </c>
      <c r="C6970" t="s">
        <v>753</v>
      </c>
      <c r="D6970" t="s">
        <v>7165</v>
      </c>
      <c r="E6970" t="s">
        <v>10</v>
      </c>
    </row>
    <row r="6971" spans="1:5" hidden="1" outlineLevel="2">
      <c r="A6971" s="3" t="e">
        <f>(HYPERLINK("http://www.autodoc.ru/Web/price/art/6542LGSH5RD?analog=on","6542LGSH5RD"))*1</f>
        <v>#VALUE!</v>
      </c>
      <c r="B6971" s="1">
        <v>6990916</v>
      </c>
      <c r="C6971" t="s">
        <v>753</v>
      </c>
      <c r="D6971" t="s">
        <v>7166</v>
      </c>
      <c r="E6971" t="s">
        <v>10</v>
      </c>
    </row>
    <row r="6972" spans="1:5" hidden="1" outlineLevel="2">
      <c r="A6972" s="3" t="e">
        <f>(HYPERLINK("http://www.autodoc.ru/Web/price/art/6542RGDE5RD?analog=on","6542RGDE5RD"))*1</f>
        <v>#VALUE!</v>
      </c>
      <c r="B6972" s="1">
        <v>6991085</v>
      </c>
      <c r="C6972" t="s">
        <v>753</v>
      </c>
      <c r="D6972" t="s">
        <v>7167</v>
      </c>
      <c r="E6972" t="s">
        <v>10</v>
      </c>
    </row>
    <row r="6973" spans="1:5" hidden="1" outlineLevel="2">
      <c r="A6973" s="3" t="e">
        <f>(HYPERLINK("http://www.autodoc.ru/Web/price/art/6542RGDE5RQW?analog=on","6542RGDE5RQW"))*1</f>
        <v>#VALUE!</v>
      </c>
      <c r="B6973" s="1">
        <v>6991084</v>
      </c>
      <c r="C6973" t="s">
        <v>753</v>
      </c>
      <c r="D6973" t="s">
        <v>7168</v>
      </c>
      <c r="E6973" t="s">
        <v>10</v>
      </c>
    </row>
    <row r="6974" spans="1:5" hidden="1" outlineLevel="2">
      <c r="A6974" s="3" t="e">
        <f>(HYPERLINK("http://www.autodoc.ru/Web/price/art/6542RGSE5RD?analog=on","6542RGSE5RD"))*1</f>
        <v>#VALUE!</v>
      </c>
      <c r="B6974" s="1">
        <v>6991831</v>
      </c>
      <c r="C6974" t="s">
        <v>753</v>
      </c>
      <c r="D6974" t="s">
        <v>7169</v>
      </c>
      <c r="E6974" t="s">
        <v>10</v>
      </c>
    </row>
    <row r="6975" spans="1:5" hidden="1" outlineLevel="2">
      <c r="A6975" s="3" t="e">
        <f>(HYPERLINK("http://www.autodoc.ru/Web/price/art/6542RGSE5RQW?analog=on","6542RGSE5RQW"))*1</f>
        <v>#VALUE!</v>
      </c>
      <c r="B6975" s="1">
        <v>6991805</v>
      </c>
      <c r="C6975" t="s">
        <v>753</v>
      </c>
      <c r="D6975" t="s">
        <v>7170</v>
      </c>
      <c r="E6975" t="s">
        <v>10</v>
      </c>
    </row>
    <row r="6976" spans="1:5" hidden="1" outlineLevel="2">
      <c r="A6976" s="3" t="e">
        <f>(HYPERLINK("http://www.autodoc.ru/Web/price/art/6542RGSH3FD?analog=on","6542RGSH3FD"))*1</f>
        <v>#VALUE!</v>
      </c>
      <c r="B6976" s="1">
        <v>6980119</v>
      </c>
      <c r="C6976" t="s">
        <v>753</v>
      </c>
      <c r="D6976" t="s">
        <v>7171</v>
      </c>
      <c r="E6976" t="s">
        <v>10</v>
      </c>
    </row>
    <row r="6977" spans="1:5" hidden="1" outlineLevel="2">
      <c r="A6977" s="3" t="e">
        <f>(HYPERLINK("http://www.autodoc.ru/Web/price/art/6542RGSH3RQZ?analog=on","6542RGSH3RQZ"))*1</f>
        <v>#VALUE!</v>
      </c>
      <c r="B6977" s="1">
        <v>6980121</v>
      </c>
      <c r="C6977" t="s">
        <v>753</v>
      </c>
      <c r="D6977" t="s">
        <v>7172</v>
      </c>
      <c r="E6977" t="s">
        <v>10</v>
      </c>
    </row>
    <row r="6978" spans="1:5" hidden="1" outlineLevel="2">
      <c r="A6978" s="3" t="e">
        <f>(HYPERLINK("http://www.autodoc.ru/Web/price/art/6542RGSH5FD?analog=on","6542RGSH5FD"))*1</f>
        <v>#VALUE!</v>
      </c>
      <c r="B6978" s="1">
        <v>6990913</v>
      </c>
      <c r="C6978" t="s">
        <v>753</v>
      </c>
      <c r="D6978" t="s">
        <v>7173</v>
      </c>
      <c r="E6978" t="s">
        <v>10</v>
      </c>
    </row>
    <row r="6979" spans="1:5" hidden="1" outlineLevel="2">
      <c r="A6979" s="3" t="e">
        <f>(HYPERLINK("http://www.autodoc.ru/Web/price/art/6542RGSH5RD?analog=on","6542RGSH5RD"))*1</f>
        <v>#VALUE!</v>
      </c>
      <c r="B6979" s="1">
        <v>6990915</v>
      </c>
      <c r="C6979" t="s">
        <v>753</v>
      </c>
      <c r="D6979" t="s">
        <v>7174</v>
      </c>
      <c r="E6979" t="s">
        <v>10</v>
      </c>
    </row>
    <row r="6980" spans="1:5" hidden="1" outlineLevel="1">
      <c r="A6980" s="2">
        <v>0</v>
      </c>
      <c r="B6980" s="26" t="s">
        <v>7175</v>
      </c>
      <c r="C6980" s="27">
        <v>0</v>
      </c>
      <c r="D6980" s="27">
        <v>0</v>
      </c>
      <c r="E6980" s="27">
        <v>0</v>
      </c>
    </row>
    <row r="6981" spans="1:5" hidden="1" outlineLevel="2">
      <c r="A6981" s="3" t="e">
        <f>(HYPERLINK("http://www.autodoc.ru/Web/price/art/6543AGSIMVZ1B?analog=on","6543AGSIMVZ1B"))*1</f>
        <v>#VALUE!</v>
      </c>
      <c r="B6981" s="1">
        <v>6960762</v>
      </c>
      <c r="C6981" t="s">
        <v>896</v>
      </c>
      <c r="D6981" t="s">
        <v>7176</v>
      </c>
      <c r="E6981" t="s">
        <v>8</v>
      </c>
    </row>
    <row r="6982" spans="1:5" hidden="1" outlineLevel="2">
      <c r="A6982" s="3" t="e">
        <f>(HYPERLINK("http://www.autodoc.ru/Web/price/art/6543AGSGVZ?analog=on","6543AGSGVZ"))*1</f>
        <v>#VALUE!</v>
      </c>
      <c r="B6982" s="1">
        <v>6960262</v>
      </c>
      <c r="C6982" t="s">
        <v>896</v>
      </c>
      <c r="D6982" t="s">
        <v>7177</v>
      </c>
      <c r="E6982" t="s">
        <v>8</v>
      </c>
    </row>
    <row r="6983" spans="1:5" hidden="1" outlineLevel="2">
      <c r="A6983" s="3" t="e">
        <f>(HYPERLINK("http://www.autodoc.ru/Web/price/art/6543LGST2FD?analog=on","6543LGST2FD"))*1</f>
        <v>#VALUE!</v>
      </c>
      <c r="B6983" s="1">
        <v>6990924</v>
      </c>
      <c r="C6983" t="s">
        <v>896</v>
      </c>
      <c r="D6983" t="s">
        <v>7178</v>
      </c>
      <c r="E6983" t="s">
        <v>10</v>
      </c>
    </row>
    <row r="6984" spans="1:5" hidden="1" outlineLevel="2">
      <c r="A6984" s="3" t="e">
        <f>(HYPERLINK("http://www.autodoc.ru/Web/price/art/6543LGST2RQOW?analog=on","6543LGST2RQOW"))*1</f>
        <v>#VALUE!</v>
      </c>
      <c r="B6984" s="1">
        <v>6991023</v>
      </c>
      <c r="C6984" t="s">
        <v>896</v>
      </c>
      <c r="D6984" t="s">
        <v>7179</v>
      </c>
      <c r="E6984" t="s">
        <v>10</v>
      </c>
    </row>
    <row r="6985" spans="1:5" hidden="1" outlineLevel="2">
      <c r="A6985" s="3" t="e">
        <f>(HYPERLINK("http://www.autodoc.ru/Web/price/art/6543RGST2FD?analog=on","6543RGST2FD"))*1</f>
        <v>#VALUE!</v>
      </c>
      <c r="B6985" s="1">
        <v>6990579</v>
      </c>
      <c r="C6985" t="s">
        <v>896</v>
      </c>
      <c r="D6985" t="s">
        <v>7180</v>
      </c>
      <c r="E6985" t="s">
        <v>10</v>
      </c>
    </row>
    <row r="6986" spans="1:5" hidden="1" outlineLevel="2">
      <c r="A6986" s="3" t="e">
        <f>(HYPERLINK("http://www.autodoc.ru/Web/price/art/6543RGST2RQOW?analog=on","6543RGST2RQOW"))*1</f>
        <v>#VALUE!</v>
      </c>
      <c r="B6986" s="1">
        <v>6990932</v>
      </c>
      <c r="C6986" t="s">
        <v>896</v>
      </c>
      <c r="D6986" t="s">
        <v>7181</v>
      </c>
      <c r="E6986" t="s">
        <v>10</v>
      </c>
    </row>
    <row r="6987" spans="1:5" hidden="1" outlineLevel="1">
      <c r="A6987" s="2">
        <v>0</v>
      </c>
      <c r="B6987" s="26" t="s">
        <v>7182</v>
      </c>
      <c r="C6987" s="27">
        <v>0</v>
      </c>
      <c r="D6987" s="27">
        <v>0</v>
      </c>
      <c r="E6987" s="27">
        <v>0</v>
      </c>
    </row>
    <row r="6988" spans="1:5" hidden="1" outlineLevel="2">
      <c r="A6988" s="3" t="e">
        <f>(HYPERLINK("http://www.autodoc.ru/Web/price/art/6554ACDMVW3B?analog=on","6554ACDMVW3B"))*1</f>
        <v>#VALUE!</v>
      </c>
      <c r="B6988" s="1">
        <v>6961274</v>
      </c>
      <c r="C6988" t="s">
        <v>290</v>
      </c>
      <c r="D6988" t="s">
        <v>7183</v>
      </c>
      <c r="E6988" t="s">
        <v>8</v>
      </c>
    </row>
    <row r="6989" spans="1:5" hidden="1" outlineLevel="2">
      <c r="A6989" s="3" t="e">
        <f>(HYPERLINK("http://www.autodoc.ru/Web/price/art/6554AGAMVW3B?analog=on","6554AGAMVW3B"))*1</f>
        <v>#VALUE!</v>
      </c>
      <c r="B6989" s="1">
        <v>6963091</v>
      </c>
      <c r="C6989" t="s">
        <v>290</v>
      </c>
      <c r="D6989" t="s">
        <v>7184</v>
      </c>
      <c r="E6989" t="s">
        <v>8</v>
      </c>
    </row>
    <row r="6990" spans="1:5" hidden="1" outlineLevel="2">
      <c r="A6990" s="3" t="e">
        <f>(HYPERLINK("http://www.autodoc.ru/Web/price/art/6554AGAVW2B?analog=on","6554AGAVW2B"))*1</f>
        <v>#VALUE!</v>
      </c>
      <c r="B6990" s="1">
        <v>6961273</v>
      </c>
      <c r="C6990" t="s">
        <v>290</v>
      </c>
      <c r="D6990" t="s">
        <v>7185</v>
      </c>
      <c r="E6990" t="s">
        <v>8</v>
      </c>
    </row>
    <row r="6991" spans="1:5" hidden="1" outlineLevel="2">
      <c r="A6991" s="3" t="e">
        <f>(HYPERLINK("http://www.autodoc.ru/Web/price/art/6554BGPEAW?analog=on","6554BGPEAW"))*1</f>
        <v>#VALUE!</v>
      </c>
      <c r="B6991" s="1">
        <v>6997536</v>
      </c>
      <c r="C6991" t="s">
        <v>290</v>
      </c>
      <c r="D6991" t="s">
        <v>7186</v>
      </c>
      <c r="E6991" t="s">
        <v>23</v>
      </c>
    </row>
    <row r="6992" spans="1:5" hidden="1" outlineLevel="2">
      <c r="A6992" s="3" t="e">
        <f>(HYPERLINK("http://www.autodoc.ru/Web/price/art/6554BGPEOW?analog=on","6554BGPEOW"))*1</f>
        <v>#VALUE!</v>
      </c>
      <c r="B6992" s="1">
        <v>6994718</v>
      </c>
      <c r="C6992" t="s">
        <v>290</v>
      </c>
      <c r="D6992" t="s">
        <v>7187</v>
      </c>
      <c r="E6992" t="s">
        <v>23</v>
      </c>
    </row>
    <row r="6993" spans="1:5" hidden="1" outlineLevel="2">
      <c r="A6993" s="3" t="e">
        <f>(HYPERLINK("http://www.autodoc.ru/Web/price/art/6554BGSEAW?analog=on","6554BGSEAW"))*1</f>
        <v>#VALUE!</v>
      </c>
      <c r="B6993" s="1">
        <v>6996143</v>
      </c>
      <c r="C6993" t="s">
        <v>290</v>
      </c>
      <c r="D6993" t="s">
        <v>7188</v>
      </c>
      <c r="E6993" t="s">
        <v>23</v>
      </c>
    </row>
    <row r="6994" spans="1:5" hidden="1" outlineLevel="2">
      <c r="A6994" s="3" t="e">
        <f>(HYPERLINK("http://www.autodoc.ru/Web/price/art/6554BGSHAW?analog=on","6554BGSHAW"))*1</f>
        <v>#VALUE!</v>
      </c>
      <c r="B6994" s="1">
        <v>6900588</v>
      </c>
      <c r="C6994" t="s">
        <v>290</v>
      </c>
      <c r="D6994" t="s">
        <v>7189</v>
      </c>
      <c r="E6994" t="s">
        <v>23</v>
      </c>
    </row>
    <row r="6995" spans="1:5" hidden="1" outlineLevel="2">
      <c r="A6995" s="3" t="e">
        <f>(HYPERLINK("http://www.autodoc.ru/Web/price/art/6554BGSHW?analog=on","6554BGSHW"))*1</f>
        <v>#VALUE!</v>
      </c>
      <c r="B6995" s="1">
        <v>6900589</v>
      </c>
      <c r="C6995" t="s">
        <v>290</v>
      </c>
      <c r="D6995" t="s">
        <v>7190</v>
      </c>
      <c r="E6995" t="s">
        <v>23</v>
      </c>
    </row>
    <row r="6996" spans="1:5" hidden="1" outlineLevel="2">
      <c r="A6996" s="3" t="e">
        <f>(HYPERLINK("http://www.autodoc.ru/Web/price/art/6554LGSE5RD?analog=on","6554LGSE5RD"))*1</f>
        <v>#VALUE!</v>
      </c>
      <c r="B6996" s="1">
        <v>6994951</v>
      </c>
      <c r="C6996" t="s">
        <v>290</v>
      </c>
      <c r="D6996" t="s">
        <v>7191</v>
      </c>
      <c r="E6996" t="s">
        <v>10</v>
      </c>
    </row>
    <row r="6997" spans="1:5" hidden="1" outlineLevel="2">
      <c r="A6997" s="3" t="e">
        <f>(HYPERLINK("http://www.autodoc.ru/Web/price/art/6554LGSE5RQZ?analog=on","6554LGSE5RQZ"))*1</f>
        <v>#VALUE!</v>
      </c>
      <c r="B6997" s="1">
        <v>6994725</v>
      </c>
      <c r="C6997" t="s">
        <v>290</v>
      </c>
      <c r="D6997" t="s">
        <v>7192</v>
      </c>
      <c r="E6997" t="s">
        <v>10</v>
      </c>
    </row>
    <row r="6998" spans="1:5" hidden="1" outlineLevel="2">
      <c r="A6998" s="3" t="e">
        <f>(HYPERLINK("http://www.autodoc.ru/Web/price/art/6554LGSH3FD?analog=on","6554LGSH3FD"))*1</f>
        <v>#VALUE!</v>
      </c>
      <c r="B6998" s="1">
        <v>6900642</v>
      </c>
      <c r="C6998" t="s">
        <v>290</v>
      </c>
      <c r="D6998" t="s">
        <v>7193</v>
      </c>
      <c r="E6998" t="s">
        <v>10</v>
      </c>
    </row>
    <row r="6999" spans="1:5" hidden="1" outlineLevel="2">
      <c r="A6999" s="3" t="e">
        <f>(HYPERLINK("http://www.autodoc.ru/Web/price/art/6554LGSH5FD?analog=on","6554LGSH5FD"))*1</f>
        <v>#VALUE!</v>
      </c>
      <c r="B6999" s="1">
        <v>6900643</v>
      </c>
      <c r="C6999" t="s">
        <v>290</v>
      </c>
      <c r="D6999" t="s">
        <v>7194</v>
      </c>
      <c r="E6999" t="s">
        <v>10</v>
      </c>
    </row>
    <row r="7000" spans="1:5" hidden="1" outlineLevel="2">
      <c r="A7000" s="3" t="e">
        <f>(HYPERLINK("http://www.autodoc.ru/Web/price/art/6554LGSH5RD?analog=on","6554LGSH5RD"))*1</f>
        <v>#VALUE!</v>
      </c>
      <c r="B7000" s="1">
        <v>6900644</v>
      </c>
      <c r="C7000" t="s">
        <v>290</v>
      </c>
      <c r="D7000" t="s">
        <v>7195</v>
      </c>
      <c r="E7000" t="s">
        <v>10</v>
      </c>
    </row>
    <row r="7001" spans="1:5" hidden="1" outlineLevel="2">
      <c r="A7001" s="3" t="e">
        <f>(HYPERLINK("http://www.autodoc.ru/Web/price/art/6554LGPE5RD?analog=on","6554LGPE5RD"))*1</f>
        <v>#VALUE!</v>
      </c>
      <c r="B7001" s="1">
        <v>6994947</v>
      </c>
      <c r="C7001" t="s">
        <v>290</v>
      </c>
      <c r="D7001" t="s">
        <v>7196</v>
      </c>
      <c r="E7001" t="s">
        <v>10</v>
      </c>
    </row>
    <row r="7002" spans="1:5" hidden="1" outlineLevel="2">
      <c r="A7002" s="3" t="e">
        <f>(HYPERLINK("http://www.autodoc.ru/Web/price/art/6554RGPE5RD?analog=on","6554RGPE5RD"))*1</f>
        <v>#VALUE!</v>
      </c>
      <c r="B7002" s="1">
        <v>6994946</v>
      </c>
      <c r="C7002" t="s">
        <v>290</v>
      </c>
      <c r="D7002" t="s">
        <v>7197</v>
      </c>
      <c r="E7002" t="s">
        <v>10</v>
      </c>
    </row>
    <row r="7003" spans="1:5" hidden="1" outlineLevel="2">
      <c r="A7003" s="3" t="e">
        <f>(HYPERLINK("http://www.autodoc.ru/Web/price/art/6554RGSE5RD?analog=on","6554RGSE5RD"))*1</f>
        <v>#VALUE!</v>
      </c>
      <c r="B7003" s="1">
        <v>6994950</v>
      </c>
      <c r="C7003" t="s">
        <v>290</v>
      </c>
      <c r="D7003" t="s">
        <v>7198</v>
      </c>
      <c r="E7003" t="s">
        <v>10</v>
      </c>
    </row>
    <row r="7004" spans="1:5" hidden="1" outlineLevel="2">
      <c r="A7004" s="3" t="e">
        <f>(HYPERLINK("http://www.autodoc.ru/Web/price/art/6554RGSE5RQZ?analog=on","6554RGSE5RQZ"))*1</f>
        <v>#VALUE!</v>
      </c>
      <c r="B7004" s="1">
        <v>6994724</v>
      </c>
      <c r="C7004" t="s">
        <v>290</v>
      </c>
      <c r="D7004" t="s">
        <v>7199</v>
      </c>
      <c r="E7004" t="s">
        <v>10</v>
      </c>
    </row>
    <row r="7005" spans="1:5" hidden="1" outlineLevel="2">
      <c r="A7005" s="3" t="e">
        <f>(HYPERLINK("http://www.autodoc.ru/Web/price/art/6554RGSH3FD?analog=on","6554RGSH3FD"))*1</f>
        <v>#VALUE!</v>
      </c>
      <c r="B7005" s="1">
        <v>6900645</v>
      </c>
      <c r="C7005" t="s">
        <v>290</v>
      </c>
      <c r="D7005" t="s">
        <v>7200</v>
      </c>
      <c r="E7005" t="s">
        <v>10</v>
      </c>
    </row>
    <row r="7006" spans="1:5" hidden="1" outlineLevel="2">
      <c r="A7006" s="3" t="e">
        <f>(HYPERLINK("http://www.autodoc.ru/Web/price/art/6554RGSH5FD?analog=on","6554RGSH5FD"))*1</f>
        <v>#VALUE!</v>
      </c>
      <c r="B7006" s="1">
        <v>6900865</v>
      </c>
      <c r="C7006" t="s">
        <v>290</v>
      </c>
      <c r="D7006" t="s">
        <v>7201</v>
      </c>
      <c r="E7006" t="s">
        <v>10</v>
      </c>
    </row>
    <row r="7007" spans="1:5" hidden="1" outlineLevel="2">
      <c r="A7007" s="3" t="e">
        <f>(HYPERLINK("http://www.autodoc.ru/Web/price/art/6554RGSH5FDKW?analog=on","6554RGSH5FDKW"))*1</f>
        <v>#VALUE!</v>
      </c>
      <c r="B7007" s="1">
        <v>6963104</v>
      </c>
      <c r="C7007" t="s">
        <v>290</v>
      </c>
      <c r="D7007" t="s">
        <v>7202</v>
      </c>
      <c r="E7007" t="s">
        <v>10</v>
      </c>
    </row>
    <row r="7008" spans="1:5" hidden="1" outlineLevel="2">
      <c r="A7008" s="3" t="e">
        <f>(HYPERLINK("http://www.autodoc.ru/Web/price/art/6554RGSH5RD?analog=on","6554RGSH5RD"))*1</f>
        <v>#VALUE!</v>
      </c>
      <c r="B7008" s="1">
        <v>6900646</v>
      </c>
      <c r="C7008" t="s">
        <v>290</v>
      </c>
      <c r="D7008" t="s">
        <v>7203</v>
      </c>
      <c r="E7008" t="s">
        <v>10</v>
      </c>
    </row>
    <row r="7009" spans="1:5" hidden="1" outlineLevel="2">
      <c r="A7009" s="3" t="e">
        <f>(HYPERLINK("http://www.autodoc.ru/Web/price/art/6554RGSS4RD?analog=on","6554RGSS4RD"))*1</f>
        <v>#VALUE!</v>
      </c>
      <c r="B7009" s="1">
        <v>6901913</v>
      </c>
      <c r="C7009" t="s">
        <v>290</v>
      </c>
      <c r="D7009" t="s">
        <v>7204</v>
      </c>
      <c r="E7009" t="s">
        <v>10</v>
      </c>
    </row>
    <row r="7010" spans="1:5" hidden="1" outlineLevel="2">
      <c r="A7010" s="3" t="e">
        <f>(HYPERLINK("http://www.autodoc.ru/Web/price/art/6554LGSS4RD?analog=on","6554LGSS4RD"))*1</f>
        <v>#VALUE!</v>
      </c>
      <c r="B7010" s="1">
        <v>6901914</v>
      </c>
      <c r="C7010" t="s">
        <v>290</v>
      </c>
      <c r="D7010" t="s">
        <v>7205</v>
      </c>
      <c r="E7010" t="s">
        <v>10</v>
      </c>
    </row>
    <row r="7011" spans="1:5" hidden="1" outlineLevel="2">
      <c r="A7011" s="3" t="e">
        <f>(HYPERLINK("http://www.autodoc.ru/Web/price/art/6554RGSS4FD?analog=on","6554RGSS4FD"))*1</f>
        <v>#VALUE!</v>
      </c>
      <c r="B7011" s="1">
        <v>6901915</v>
      </c>
      <c r="C7011" t="s">
        <v>290</v>
      </c>
      <c r="D7011" t="s">
        <v>7206</v>
      </c>
      <c r="E7011" t="s">
        <v>10</v>
      </c>
    </row>
    <row r="7012" spans="1:5" hidden="1" outlineLevel="2">
      <c r="A7012" s="3" t="e">
        <f>(HYPERLINK("http://www.autodoc.ru/Web/price/art/6554LGSS4FD?analog=on","6554LGSS4FD"))*1</f>
        <v>#VALUE!</v>
      </c>
      <c r="B7012" s="1">
        <v>6901916</v>
      </c>
      <c r="C7012" t="s">
        <v>290</v>
      </c>
      <c r="D7012" t="s">
        <v>7207</v>
      </c>
      <c r="E7012" t="s">
        <v>10</v>
      </c>
    </row>
    <row r="7013" spans="1:5" hidden="1" outlineLevel="1">
      <c r="A7013" s="2">
        <v>0</v>
      </c>
      <c r="B7013" s="26" t="s">
        <v>7208</v>
      </c>
      <c r="C7013" s="27">
        <v>0</v>
      </c>
      <c r="D7013" s="27">
        <v>0</v>
      </c>
      <c r="E7013" s="27">
        <v>0</v>
      </c>
    </row>
    <row r="7014" spans="1:5" hidden="1" outlineLevel="2">
      <c r="A7014" s="3" t="e">
        <f>(HYPERLINK("http://www.autodoc.ru/Web/price/art/6516ABZ1C?analog=on","6516ABZ1C"))*1</f>
        <v>#VALUE!</v>
      </c>
      <c r="B7014" s="1">
        <v>6965820</v>
      </c>
      <c r="C7014" t="s">
        <v>5047</v>
      </c>
      <c r="D7014" t="s">
        <v>7209</v>
      </c>
      <c r="E7014" t="s">
        <v>8</v>
      </c>
    </row>
    <row r="7015" spans="1:5" hidden="1" outlineLevel="2">
      <c r="A7015" s="3" t="e">
        <f>(HYPERLINK("http://www.autodoc.ru/Web/price/art/6516ABZBL?analog=on","6516ABZBL"))*1</f>
        <v>#VALUE!</v>
      </c>
      <c r="B7015" s="1">
        <v>6965830</v>
      </c>
      <c r="C7015" t="s">
        <v>5047</v>
      </c>
      <c r="D7015" t="s">
        <v>7210</v>
      </c>
      <c r="E7015" t="s">
        <v>8</v>
      </c>
    </row>
    <row r="7016" spans="1:5" hidden="1" outlineLevel="2">
      <c r="A7016" s="3" t="e">
        <f>(HYPERLINK("http://www.autodoc.ru/Web/price/art/6516ACL?analog=on","6516ACL"))*1</f>
        <v>#VALUE!</v>
      </c>
      <c r="B7016" s="1">
        <v>6965818</v>
      </c>
      <c r="C7016" t="s">
        <v>5047</v>
      </c>
      <c r="D7016" t="s">
        <v>7211</v>
      </c>
      <c r="E7016" t="s">
        <v>8</v>
      </c>
    </row>
    <row r="7017" spans="1:5" hidden="1" outlineLevel="2">
      <c r="A7017" s="3" t="e">
        <f>(HYPERLINK("http://www.autodoc.ru/Web/price/art/6516ASRH?analog=on","6516ASRH"))*1</f>
        <v>#VALUE!</v>
      </c>
      <c r="B7017" s="1">
        <v>6100303</v>
      </c>
      <c r="C7017" t="s">
        <v>19</v>
      </c>
      <c r="D7017" t="s">
        <v>7212</v>
      </c>
      <c r="E7017" t="s">
        <v>21</v>
      </c>
    </row>
    <row r="7018" spans="1:5" hidden="1" outlineLevel="2">
      <c r="A7018" s="3" t="e">
        <f>(HYPERLINK("http://www.autodoc.ru/Web/price/art/6516LCLH3RQO?analog=on","6516LCLH3RQO"))*1</f>
        <v>#VALUE!</v>
      </c>
      <c r="B7018" s="1">
        <v>6997051</v>
      </c>
      <c r="C7018" t="s">
        <v>5047</v>
      </c>
      <c r="D7018" t="s">
        <v>7213</v>
      </c>
      <c r="E7018" t="s">
        <v>10</v>
      </c>
    </row>
    <row r="7019" spans="1:5" hidden="1" outlineLevel="1">
      <c r="A7019" s="2">
        <v>0</v>
      </c>
      <c r="B7019" s="26" t="s">
        <v>7214</v>
      </c>
      <c r="C7019" s="27">
        <v>0</v>
      </c>
      <c r="D7019" s="27">
        <v>0</v>
      </c>
      <c r="E7019" s="27">
        <v>0</v>
      </c>
    </row>
    <row r="7020" spans="1:5" hidden="1" outlineLevel="2">
      <c r="A7020" s="3" t="e">
        <f>(HYPERLINK("http://www.autodoc.ru/Web/price/art/6518ABZ1C?analog=on","6518ABZ1C"))*1</f>
        <v>#VALUE!</v>
      </c>
      <c r="B7020" s="1">
        <v>6965800</v>
      </c>
      <c r="C7020" t="s">
        <v>6401</v>
      </c>
      <c r="D7020" t="s">
        <v>7215</v>
      </c>
      <c r="E7020" t="s">
        <v>8</v>
      </c>
    </row>
    <row r="7021" spans="1:5" hidden="1" outlineLevel="2">
      <c r="A7021" s="3" t="e">
        <f>(HYPERLINK("http://www.autodoc.ru/Web/price/art/6518ABZBL?analog=on","6518ABZBL"))*1</f>
        <v>#VALUE!</v>
      </c>
      <c r="B7021" s="1">
        <v>6965832</v>
      </c>
      <c r="C7021" t="s">
        <v>6401</v>
      </c>
      <c r="D7021" t="s">
        <v>7216</v>
      </c>
      <c r="E7021" t="s">
        <v>8</v>
      </c>
    </row>
    <row r="7022" spans="1:5" hidden="1" outlineLevel="2">
      <c r="A7022" s="3" t="e">
        <f>(HYPERLINK("http://www.autodoc.ru/Web/price/art/6518ACL?analog=on","6518ACL"))*1</f>
        <v>#VALUE!</v>
      </c>
      <c r="B7022" s="1">
        <v>6965804</v>
      </c>
      <c r="C7022" t="s">
        <v>6401</v>
      </c>
      <c r="D7022" t="s">
        <v>7217</v>
      </c>
      <c r="E7022" t="s">
        <v>8</v>
      </c>
    </row>
    <row r="7023" spans="1:5" hidden="1" outlineLevel="2">
      <c r="A7023" s="3" t="e">
        <f>(HYPERLINK("http://www.autodoc.ru/Web/price/art/6518AGN?analog=on","6518AGN"))*1</f>
        <v>#VALUE!</v>
      </c>
      <c r="B7023" s="1">
        <v>6965831</v>
      </c>
      <c r="C7023" t="s">
        <v>6401</v>
      </c>
      <c r="D7023" t="s">
        <v>7218</v>
      </c>
      <c r="E7023" t="s">
        <v>8</v>
      </c>
    </row>
    <row r="7024" spans="1:5" hidden="1" outlineLevel="2">
      <c r="A7024" s="3" t="e">
        <f>(HYPERLINK("http://www.autodoc.ru/Web/price/art/6518AGNGN?analog=on","6518AGNGN"))*1</f>
        <v>#VALUE!</v>
      </c>
      <c r="B7024" s="1">
        <v>6965819</v>
      </c>
      <c r="C7024" t="s">
        <v>6401</v>
      </c>
      <c r="D7024" t="s">
        <v>7219</v>
      </c>
      <c r="E7024" t="s">
        <v>8</v>
      </c>
    </row>
    <row r="7025" spans="1:5" hidden="1" outlineLevel="2">
      <c r="A7025" s="3" t="e">
        <f>(HYPERLINK("http://www.autodoc.ru/Web/price/art/6518ASMS?analog=on","6518ASMS"))*1</f>
        <v>#VALUE!</v>
      </c>
      <c r="B7025" s="1">
        <v>6100174</v>
      </c>
      <c r="C7025" t="s">
        <v>19</v>
      </c>
      <c r="D7025" t="s">
        <v>7220</v>
      </c>
      <c r="E7025" t="s">
        <v>21</v>
      </c>
    </row>
    <row r="7026" spans="1:5" hidden="1" outlineLevel="2">
      <c r="A7026" s="3" t="e">
        <f>(HYPERLINK("http://www.autodoc.ru/Web/price/art/6518BCLE?analog=on","6518BCLE"))*1</f>
        <v>#VALUE!</v>
      </c>
      <c r="B7026" s="1">
        <v>6997108</v>
      </c>
      <c r="C7026" t="s">
        <v>6401</v>
      </c>
      <c r="D7026" t="s">
        <v>7221</v>
      </c>
      <c r="E7026" t="s">
        <v>23</v>
      </c>
    </row>
    <row r="7027" spans="1:5" hidden="1" outlineLevel="2">
      <c r="A7027" s="3" t="e">
        <f>(HYPERLINK("http://www.autodoc.ru/Web/price/art/6518BCLS?analog=on","6518BCLS"))*1</f>
        <v>#VALUE!</v>
      </c>
      <c r="B7027" s="1">
        <v>6997082</v>
      </c>
      <c r="C7027" t="s">
        <v>6401</v>
      </c>
      <c r="D7027" t="s">
        <v>7222</v>
      </c>
      <c r="E7027" t="s">
        <v>23</v>
      </c>
    </row>
    <row r="7028" spans="1:5" hidden="1" outlineLevel="2">
      <c r="A7028" s="3" t="e">
        <f>(HYPERLINK("http://www.autodoc.ru/Web/price/art/6518BGNE?analog=on","6518BGNE"))*1</f>
        <v>#VALUE!</v>
      </c>
      <c r="B7028" s="1">
        <v>6997109</v>
      </c>
      <c r="C7028" t="s">
        <v>6401</v>
      </c>
      <c r="D7028" t="s">
        <v>7223</v>
      </c>
      <c r="E7028" t="s">
        <v>23</v>
      </c>
    </row>
    <row r="7029" spans="1:5" hidden="1" outlineLevel="2">
      <c r="A7029" s="3" t="e">
        <f>(HYPERLINK("http://www.autodoc.ru/Web/price/art/6518BGNS?analog=on","6518BGNS"))*1</f>
        <v>#VALUE!</v>
      </c>
      <c r="B7029" s="1">
        <v>6997103</v>
      </c>
      <c r="C7029" t="s">
        <v>6401</v>
      </c>
      <c r="D7029" t="s">
        <v>7224</v>
      </c>
      <c r="E7029" t="s">
        <v>23</v>
      </c>
    </row>
    <row r="7030" spans="1:5" hidden="1" outlineLevel="2">
      <c r="A7030" s="3" t="e">
        <f>(HYPERLINK("http://www.autodoc.ru/Web/price/art/6518BSMS?analog=on","6518BSMS"))*1</f>
        <v>#VALUE!</v>
      </c>
      <c r="B7030" s="1">
        <v>6100175</v>
      </c>
      <c r="C7030" t="s">
        <v>19</v>
      </c>
      <c r="D7030" t="s">
        <v>7225</v>
      </c>
      <c r="E7030" t="s">
        <v>21</v>
      </c>
    </row>
    <row r="7031" spans="1:5" hidden="1" outlineLevel="2">
      <c r="A7031" s="3" t="e">
        <f>(HYPERLINK("http://www.autodoc.ru/Web/price/art/6518LBZS4FD?analog=on","6518LBZS4FD"))*1</f>
        <v>#VALUE!</v>
      </c>
      <c r="B7031" s="1">
        <v>6996863</v>
      </c>
      <c r="C7031" t="s">
        <v>6401</v>
      </c>
      <c r="D7031" t="s">
        <v>7226</v>
      </c>
      <c r="E7031" t="s">
        <v>10</v>
      </c>
    </row>
    <row r="7032" spans="1:5" hidden="1" outlineLevel="2">
      <c r="A7032" s="3" t="e">
        <f>(HYPERLINK("http://www.autodoc.ru/Web/price/art/6518LBZS4RV?analog=on","6518LBZS4RV"))*1</f>
        <v>#VALUE!</v>
      </c>
      <c r="B7032" s="1">
        <v>6996517</v>
      </c>
      <c r="C7032" t="s">
        <v>6401</v>
      </c>
      <c r="D7032" t="s">
        <v>7227</v>
      </c>
      <c r="E7032" t="s">
        <v>10</v>
      </c>
    </row>
    <row r="7033" spans="1:5" hidden="1" outlineLevel="2">
      <c r="A7033" s="3" t="e">
        <f>(HYPERLINK("http://www.autodoc.ru/Web/price/art/6518LCLE5RV?analog=on","6518LCLE5RV"))*1</f>
        <v>#VALUE!</v>
      </c>
      <c r="B7033" s="1">
        <v>6996519</v>
      </c>
      <c r="C7033" t="s">
        <v>6401</v>
      </c>
      <c r="D7033" t="s">
        <v>7228</v>
      </c>
      <c r="E7033" t="s">
        <v>10</v>
      </c>
    </row>
    <row r="7034" spans="1:5" hidden="1" outlineLevel="2">
      <c r="A7034" s="3" t="e">
        <f>(HYPERLINK("http://www.autodoc.ru/Web/price/art/6518LCLS4FD?analog=on","6518LCLS4FD"))*1</f>
        <v>#VALUE!</v>
      </c>
      <c r="B7034" s="1">
        <v>6997506</v>
      </c>
      <c r="C7034" t="s">
        <v>6401</v>
      </c>
      <c r="D7034" t="s">
        <v>7229</v>
      </c>
      <c r="E7034" t="s">
        <v>10</v>
      </c>
    </row>
    <row r="7035" spans="1:5" hidden="1" outlineLevel="2">
      <c r="A7035" s="3" t="e">
        <f>(HYPERLINK("http://www.autodoc.ru/Web/price/art/6518LCLS4RD?analog=on","6518LCLS4RD"))*1</f>
        <v>#VALUE!</v>
      </c>
      <c r="B7035" s="1">
        <v>6995448</v>
      </c>
      <c r="C7035" t="s">
        <v>6401</v>
      </c>
      <c r="D7035" t="s">
        <v>7230</v>
      </c>
      <c r="E7035" t="s">
        <v>10</v>
      </c>
    </row>
    <row r="7036" spans="1:5" hidden="1" outlineLevel="2">
      <c r="A7036" s="3" t="e">
        <f>(HYPERLINK("http://www.autodoc.ru/Web/price/art/6518LCLS4RV?analog=on","6518LCLS4RV"))*1</f>
        <v>#VALUE!</v>
      </c>
      <c r="B7036" s="1">
        <v>6996513</v>
      </c>
      <c r="C7036" t="s">
        <v>6401</v>
      </c>
      <c r="D7036" t="s">
        <v>7231</v>
      </c>
      <c r="E7036" t="s">
        <v>10</v>
      </c>
    </row>
    <row r="7037" spans="1:5" hidden="1" outlineLevel="2">
      <c r="A7037" s="3" t="e">
        <f>(HYPERLINK("http://www.autodoc.ru/Web/price/art/6518LGNE5RD?analog=on","6518LGNE5RD"))*1</f>
        <v>#VALUE!</v>
      </c>
      <c r="B7037" s="1">
        <v>6996865</v>
      </c>
      <c r="C7037" t="s">
        <v>6401</v>
      </c>
      <c r="D7037" t="s">
        <v>7232</v>
      </c>
      <c r="E7037" t="s">
        <v>10</v>
      </c>
    </row>
    <row r="7038" spans="1:5" hidden="1" outlineLevel="2">
      <c r="A7038" s="3" t="e">
        <f>(HYPERLINK("http://www.autodoc.ru/Web/price/art/6518LGNE5RQ?analog=on","6518LGNE5RQ"))*1</f>
        <v>#VALUE!</v>
      </c>
      <c r="B7038" s="1">
        <v>6997114</v>
      </c>
      <c r="C7038" t="s">
        <v>6401</v>
      </c>
      <c r="D7038" t="s">
        <v>7233</v>
      </c>
      <c r="E7038" t="s">
        <v>10</v>
      </c>
    </row>
    <row r="7039" spans="1:5" hidden="1" outlineLevel="2">
      <c r="A7039" s="3" t="e">
        <f>(HYPERLINK("http://www.autodoc.ru/Web/price/art/6518LGNE5RV?analog=on","6518LGNE5RV"))*1</f>
        <v>#VALUE!</v>
      </c>
      <c r="B7039" s="1">
        <v>6996521</v>
      </c>
      <c r="C7039" t="s">
        <v>6401</v>
      </c>
      <c r="D7039" t="s">
        <v>7234</v>
      </c>
      <c r="E7039" t="s">
        <v>10</v>
      </c>
    </row>
    <row r="7040" spans="1:5" hidden="1" outlineLevel="2">
      <c r="A7040" s="3" t="e">
        <f>(HYPERLINK("http://www.autodoc.ru/Web/price/art/6518LGNS4FD?analog=on","6518LGNS4FD"))*1</f>
        <v>#VALUE!</v>
      </c>
      <c r="B7040" s="1">
        <v>6997508</v>
      </c>
      <c r="C7040" t="s">
        <v>6401</v>
      </c>
      <c r="D7040" t="s">
        <v>7235</v>
      </c>
      <c r="E7040" t="s">
        <v>10</v>
      </c>
    </row>
    <row r="7041" spans="1:5" hidden="1" outlineLevel="2">
      <c r="A7041" s="3" t="e">
        <f>(HYPERLINK("http://www.autodoc.ru/Web/price/art/6518LGNS4RD?analog=on","6518LGNS4RD"))*1</f>
        <v>#VALUE!</v>
      </c>
      <c r="B7041" s="1">
        <v>6996866</v>
      </c>
      <c r="C7041" t="s">
        <v>6401</v>
      </c>
      <c r="D7041" t="s">
        <v>7236</v>
      </c>
      <c r="E7041" t="s">
        <v>10</v>
      </c>
    </row>
    <row r="7042" spans="1:5" hidden="1" outlineLevel="2">
      <c r="A7042" s="3" t="e">
        <f>(HYPERLINK("http://www.autodoc.ru/Web/price/art/6518LGNS4RV?analog=on","6518LGNS4RV"))*1</f>
        <v>#VALUE!</v>
      </c>
      <c r="B7042" s="1">
        <v>6996515</v>
      </c>
      <c r="C7042" t="s">
        <v>6401</v>
      </c>
      <c r="D7042" t="s">
        <v>7237</v>
      </c>
      <c r="E7042" t="s">
        <v>10</v>
      </c>
    </row>
    <row r="7043" spans="1:5" hidden="1" outlineLevel="2">
      <c r="A7043" s="3" t="e">
        <f>(HYPERLINK("http://www.autodoc.ru/Web/price/art/6518RBZE5RV?analog=on","6518RBZE5RV"))*1</f>
        <v>#VALUE!</v>
      </c>
      <c r="B7043" s="1">
        <v>6996524</v>
      </c>
      <c r="C7043" t="s">
        <v>6401</v>
      </c>
      <c r="D7043" t="s">
        <v>7238</v>
      </c>
      <c r="E7043" t="s">
        <v>10</v>
      </c>
    </row>
    <row r="7044" spans="1:5" hidden="1" outlineLevel="2">
      <c r="A7044" s="3" t="e">
        <f>(HYPERLINK("http://www.autodoc.ru/Web/price/art/6518RBZS4FD?analog=on","6518RBZS4FD"))*1</f>
        <v>#VALUE!</v>
      </c>
      <c r="B7044" s="1">
        <v>6996864</v>
      </c>
      <c r="C7044" t="s">
        <v>6401</v>
      </c>
      <c r="D7044" t="s">
        <v>7239</v>
      </c>
      <c r="E7044" t="s">
        <v>10</v>
      </c>
    </row>
    <row r="7045" spans="1:5" hidden="1" outlineLevel="2">
      <c r="A7045" s="3" t="e">
        <f>(HYPERLINK("http://www.autodoc.ru/Web/price/art/6518RBZS4RV?analog=on","6518RBZS4RV"))*1</f>
        <v>#VALUE!</v>
      </c>
      <c r="B7045" s="1">
        <v>6996518</v>
      </c>
      <c r="C7045" t="s">
        <v>6401</v>
      </c>
      <c r="D7045" t="s">
        <v>7240</v>
      </c>
      <c r="E7045" t="s">
        <v>10</v>
      </c>
    </row>
    <row r="7046" spans="1:5" hidden="1" outlineLevel="2">
      <c r="A7046" s="3" t="e">
        <f>(HYPERLINK("http://www.autodoc.ru/Web/price/art/6518RCLE5RV?analog=on","6518RCLE5RV"))*1</f>
        <v>#VALUE!</v>
      </c>
      <c r="B7046" s="1">
        <v>6996520</v>
      </c>
      <c r="C7046" t="s">
        <v>6401</v>
      </c>
      <c r="D7046" t="s">
        <v>7241</v>
      </c>
      <c r="E7046" t="s">
        <v>10</v>
      </c>
    </row>
    <row r="7047" spans="1:5" hidden="1" outlineLevel="2">
      <c r="A7047" s="3" t="e">
        <f>(HYPERLINK("http://www.autodoc.ru/Web/price/art/6518RCLS4FD?analog=on","6518RCLS4FD"))*1</f>
        <v>#VALUE!</v>
      </c>
      <c r="B7047" s="1">
        <v>6997507</v>
      </c>
      <c r="C7047" t="s">
        <v>6401</v>
      </c>
      <c r="D7047" t="s">
        <v>7242</v>
      </c>
      <c r="E7047" t="s">
        <v>10</v>
      </c>
    </row>
    <row r="7048" spans="1:5" hidden="1" outlineLevel="2">
      <c r="A7048" s="3" t="e">
        <f>(HYPERLINK("http://www.autodoc.ru/Web/price/art/6518RCLS4RD?analog=on","6518RCLS4RD"))*1</f>
        <v>#VALUE!</v>
      </c>
      <c r="B7048" s="1">
        <v>6995449</v>
      </c>
      <c r="C7048" t="s">
        <v>6401</v>
      </c>
      <c r="D7048" t="s">
        <v>7243</v>
      </c>
      <c r="E7048" t="s">
        <v>10</v>
      </c>
    </row>
    <row r="7049" spans="1:5" hidden="1" outlineLevel="2">
      <c r="A7049" s="3" t="e">
        <f>(HYPERLINK("http://www.autodoc.ru/Web/price/art/6518RCLS4RV?analog=on","6518RCLS4RV"))*1</f>
        <v>#VALUE!</v>
      </c>
      <c r="B7049" s="1">
        <v>6996514</v>
      </c>
      <c r="C7049" t="s">
        <v>6401</v>
      </c>
      <c r="D7049" t="s">
        <v>7244</v>
      </c>
      <c r="E7049" t="s">
        <v>10</v>
      </c>
    </row>
    <row r="7050" spans="1:5" hidden="1" outlineLevel="2">
      <c r="A7050" s="3" t="e">
        <f>(HYPERLINK("http://www.autodoc.ru/Web/price/art/6518RGNE5RD?analog=on","6518RGNE5RD"))*1</f>
        <v>#VALUE!</v>
      </c>
      <c r="B7050" s="1">
        <v>6996867</v>
      </c>
      <c r="C7050" t="s">
        <v>6401</v>
      </c>
      <c r="D7050" t="s">
        <v>7245</v>
      </c>
      <c r="E7050" t="s">
        <v>10</v>
      </c>
    </row>
    <row r="7051" spans="1:5" hidden="1" outlineLevel="2">
      <c r="A7051" s="3" t="e">
        <f>(HYPERLINK("http://www.autodoc.ru/Web/price/art/6518RGNE5RQ?analog=on","6518RGNE5RQ"))*1</f>
        <v>#VALUE!</v>
      </c>
      <c r="B7051" s="1">
        <v>6997113</v>
      </c>
      <c r="C7051" t="s">
        <v>6401</v>
      </c>
      <c r="D7051" t="s">
        <v>7246</v>
      </c>
      <c r="E7051" t="s">
        <v>10</v>
      </c>
    </row>
    <row r="7052" spans="1:5" hidden="1" outlineLevel="2">
      <c r="A7052" s="3" t="e">
        <f>(HYPERLINK("http://www.autodoc.ru/Web/price/art/6518RGNE5RV?analog=on","6518RGNE5RV"))*1</f>
        <v>#VALUE!</v>
      </c>
      <c r="B7052" s="1">
        <v>6996522</v>
      </c>
      <c r="C7052" t="s">
        <v>6401</v>
      </c>
      <c r="D7052" t="s">
        <v>7247</v>
      </c>
      <c r="E7052" t="s">
        <v>10</v>
      </c>
    </row>
    <row r="7053" spans="1:5" hidden="1" outlineLevel="2">
      <c r="A7053" s="3" t="e">
        <f>(HYPERLINK("http://www.autodoc.ru/Web/price/art/6518RGNS4FD?analog=on","6518RGNS4FD"))*1</f>
        <v>#VALUE!</v>
      </c>
      <c r="B7053" s="1">
        <v>6997509</v>
      </c>
      <c r="C7053" t="s">
        <v>6401</v>
      </c>
      <c r="D7053" t="s">
        <v>7248</v>
      </c>
      <c r="E7053" t="s">
        <v>10</v>
      </c>
    </row>
    <row r="7054" spans="1:5" hidden="1" outlineLevel="2">
      <c r="A7054" s="3" t="e">
        <f>(HYPERLINK("http://www.autodoc.ru/Web/price/art/6518RGNS4RD?analog=on","6518RGNS4RD"))*1</f>
        <v>#VALUE!</v>
      </c>
      <c r="B7054" s="1">
        <v>6996868</v>
      </c>
      <c r="C7054" t="s">
        <v>6401</v>
      </c>
      <c r="D7054" t="s">
        <v>7249</v>
      </c>
      <c r="E7054" t="s">
        <v>10</v>
      </c>
    </row>
    <row r="7055" spans="1:5" hidden="1" outlineLevel="2">
      <c r="A7055" s="3" t="e">
        <f>(HYPERLINK("http://www.autodoc.ru/Web/price/art/6518RGNS4RV?analog=on","6518RGNS4RV"))*1</f>
        <v>#VALUE!</v>
      </c>
      <c r="B7055" s="1">
        <v>6996516</v>
      </c>
      <c r="C7055" t="s">
        <v>6401</v>
      </c>
      <c r="D7055" t="s">
        <v>7250</v>
      </c>
      <c r="E7055" t="s">
        <v>10</v>
      </c>
    </row>
    <row r="7056" spans="1:5" hidden="1" outlineLevel="1">
      <c r="A7056" s="2">
        <v>0</v>
      </c>
      <c r="B7056" s="26" t="s">
        <v>7251</v>
      </c>
      <c r="C7056" s="27">
        <v>0</v>
      </c>
      <c r="D7056" s="27">
        <v>0</v>
      </c>
      <c r="E7056" s="27">
        <v>0</v>
      </c>
    </row>
    <row r="7057" spans="1:5" hidden="1" outlineLevel="2">
      <c r="A7057" s="3" t="e">
        <f>(HYPERLINK("http://www.autodoc.ru/Web/price/art/6525ACCMV1T?analog=on","6525ACCMV1T"))*1</f>
        <v>#VALUE!</v>
      </c>
      <c r="B7057" s="1">
        <v>6960997</v>
      </c>
      <c r="C7057" t="s">
        <v>2662</v>
      </c>
      <c r="D7057" t="s">
        <v>7252</v>
      </c>
      <c r="E7057" t="s">
        <v>8</v>
      </c>
    </row>
    <row r="7058" spans="1:5" hidden="1" outlineLevel="2">
      <c r="A7058" s="3" t="e">
        <f>(HYPERLINK("http://www.autodoc.ru/Web/price/art/6525ACLV?analog=on","6525ACLV"))*1</f>
        <v>#VALUE!</v>
      </c>
      <c r="B7058" s="1">
        <v>6965833</v>
      </c>
      <c r="C7058" t="s">
        <v>134</v>
      </c>
      <c r="D7058" t="s">
        <v>7253</v>
      </c>
      <c r="E7058" t="s">
        <v>8</v>
      </c>
    </row>
    <row r="7059" spans="1:5" hidden="1" outlineLevel="2">
      <c r="A7059" s="3" t="e">
        <f>(HYPERLINK("http://www.autodoc.ru/Web/price/art/6525AGNGNV?analog=on","6525AGNGNV"))*1</f>
        <v>#VALUE!</v>
      </c>
      <c r="B7059" s="1">
        <v>6963249</v>
      </c>
      <c r="C7059" t="s">
        <v>134</v>
      </c>
      <c r="D7059" t="s">
        <v>7254</v>
      </c>
      <c r="E7059" t="s">
        <v>8</v>
      </c>
    </row>
    <row r="7060" spans="1:5" hidden="1" outlineLevel="2">
      <c r="A7060" s="3" t="e">
        <f>(HYPERLINK("http://www.autodoc.ru/Web/price/art/6525AGNMV?analog=on","6525AGNMV"))*1</f>
        <v>#VALUE!</v>
      </c>
      <c r="B7060" s="1">
        <v>6963323</v>
      </c>
      <c r="C7060" t="s">
        <v>134</v>
      </c>
      <c r="D7060" t="s">
        <v>7255</v>
      </c>
      <c r="E7060" t="s">
        <v>8</v>
      </c>
    </row>
    <row r="7061" spans="1:5" hidden="1" outlineLevel="2">
      <c r="A7061" s="3" t="e">
        <f>(HYPERLINK("http://www.autodoc.ru/Web/price/art/6525AGNV?analog=on","6525AGNV"))*1</f>
        <v>#VALUE!</v>
      </c>
      <c r="B7061" s="1">
        <v>6965834</v>
      </c>
      <c r="C7061" t="s">
        <v>134</v>
      </c>
      <c r="D7061" t="s">
        <v>7256</v>
      </c>
      <c r="E7061" t="s">
        <v>8</v>
      </c>
    </row>
    <row r="7062" spans="1:5" hidden="1" outlineLevel="2">
      <c r="A7062" s="3" t="e">
        <f>(HYPERLINK("http://www.autodoc.ru/Web/price/art/6525AKMST?analog=on","6525AKMST"))*1</f>
        <v>#VALUE!</v>
      </c>
      <c r="B7062" s="1">
        <v>6101157</v>
      </c>
      <c r="C7062" t="s">
        <v>19</v>
      </c>
      <c r="D7062" t="s">
        <v>7257</v>
      </c>
      <c r="E7062" t="s">
        <v>21</v>
      </c>
    </row>
    <row r="7063" spans="1:5" hidden="1" outlineLevel="2">
      <c r="A7063" s="3" t="e">
        <f>(HYPERLINK("http://www.autodoc.ru/Web/price/art/6525ASMST?analog=on","6525ASMST"))*1</f>
        <v>#VALUE!</v>
      </c>
      <c r="B7063" s="1">
        <v>6101106</v>
      </c>
      <c r="C7063" t="s">
        <v>19</v>
      </c>
      <c r="D7063" t="s">
        <v>7258</v>
      </c>
      <c r="E7063" t="s">
        <v>21</v>
      </c>
    </row>
    <row r="7064" spans="1:5" hidden="1" outlineLevel="2">
      <c r="A7064" s="3" t="e">
        <f>(HYPERLINK("http://www.autodoc.ru/Web/price/art/6525BCLE?analog=on","6525BCLE"))*1</f>
        <v>#VALUE!</v>
      </c>
      <c r="B7064" s="1">
        <v>6996540</v>
      </c>
      <c r="C7064" t="s">
        <v>1542</v>
      </c>
      <c r="D7064" t="s">
        <v>7259</v>
      </c>
      <c r="E7064" t="s">
        <v>23</v>
      </c>
    </row>
    <row r="7065" spans="1:5" hidden="1" outlineLevel="2">
      <c r="A7065" s="3" t="e">
        <f>(HYPERLINK("http://www.autodoc.ru/Web/price/art/6525BGNE?analog=on","6525BGNE"))*1</f>
        <v>#VALUE!</v>
      </c>
      <c r="B7065" s="1">
        <v>6996546</v>
      </c>
      <c r="C7065" t="s">
        <v>1542</v>
      </c>
      <c r="D7065" t="s">
        <v>7260</v>
      </c>
      <c r="E7065" t="s">
        <v>23</v>
      </c>
    </row>
    <row r="7066" spans="1:5" hidden="1" outlineLevel="2">
      <c r="A7066" s="3" t="e">
        <f>(HYPERLINK("http://www.autodoc.ru/Web/price/art/6525BGNSBW?analog=on","6525BGNSBW"))*1</f>
        <v>#VALUE!</v>
      </c>
      <c r="B7066" s="1">
        <v>6998607</v>
      </c>
      <c r="C7066" t="s">
        <v>134</v>
      </c>
      <c r="D7066" t="s">
        <v>7261</v>
      </c>
      <c r="E7066" t="s">
        <v>23</v>
      </c>
    </row>
    <row r="7067" spans="1:5" hidden="1" outlineLevel="2">
      <c r="A7067" s="3" t="e">
        <f>(HYPERLINK("http://www.autodoc.ru/Web/price/art/6525BGNSBW1H?analog=on","6525BGNSBW1H"))*1</f>
        <v>#VALUE!</v>
      </c>
      <c r="B7067" s="1">
        <v>6998610</v>
      </c>
      <c r="C7067" t="s">
        <v>134</v>
      </c>
      <c r="D7067" t="s">
        <v>7262</v>
      </c>
      <c r="E7067" t="s">
        <v>23</v>
      </c>
    </row>
    <row r="7068" spans="1:5" hidden="1" outlineLevel="2">
      <c r="A7068" s="3" t="e">
        <f>(HYPERLINK("http://www.autodoc.ru/Web/price/art/6525BGPE?analog=on","6525BGPE"))*1</f>
        <v>#VALUE!</v>
      </c>
      <c r="B7068" s="1">
        <v>6992590</v>
      </c>
      <c r="C7068" t="s">
        <v>321</v>
      </c>
      <c r="D7068" t="s">
        <v>7263</v>
      </c>
      <c r="E7068" t="s">
        <v>23</v>
      </c>
    </row>
    <row r="7069" spans="1:5" hidden="1" outlineLevel="2">
      <c r="A7069" s="3" t="e">
        <f>(HYPERLINK("http://www.autodoc.ru/Web/price/art/6525LCLS4FD?analog=on","6525LCLS4FD"))*1</f>
        <v>#VALUE!</v>
      </c>
      <c r="B7069" s="1">
        <v>6996527</v>
      </c>
      <c r="C7069" t="s">
        <v>134</v>
      </c>
      <c r="D7069" t="s">
        <v>7264</v>
      </c>
      <c r="E7069" t="s">
        <v>10</v>
      </c>
    </row>
    <row r="7070" spans="1:5" hidden="1" outlineLevel="2">
      <c r="A7070" s="3" t="e">
        <f>(HYPERLINK("http://www.autodoc.ru/Web/price/art/6525LCLS4RV?analog=on","6525LCLS4RV"))*1</f>
        <v>#VALUE!</v>
      </c>
      <c r="B7070" s="1">
        <v>6996535</v>
      </c>
      <c r="C7070" t="s">
        <v>134</v>
      </c>
      <c r="D7070" t="s">
        <v>7265</v>
      </c>
      <c r="E7070" t="s">
        <v>10</v>
      </c>
    </row>
    <row r="7071" spans="1:5" hidden="1" outlineLevel="2">
      <c r="A7071" s="3" t="e">
        <f>(HYPERLINK("http://www.autodoc.ru/Web/price/art/6525LGNE5RD?analog=on","6525LGNE5RD"))*1</f>
        <v>#VALUE!</v>
      </c>
      <c r="B7071" s="1">
        <v>6994566</v>
      </c>
      <c r="C7071" t="s">
        <v>1542</v>
      </c>
      <c r="D7071" t="s">
        <v>7266</v>
      </c>
      <c r="E7071" t="s">
        <v>10</v>
      </c>
    </row>
    <row r="7072" spans="1:5" hidden="1" outlineLevel="2">
      <c r="A7072" s="3" t="e">
        <f>(HYPERLINK("http://www.autodoc.ru/Web/price/art/6525LGNE5RQZ?analog=on","6525LGNE5RQZ"))*1</f>
        <v>#VALUE!</v>
      </c>
      <c r="B7072" s="1">
        <v>6996545</v>
      </c>
      <c r="C7072" t="s">
        <v>1542</v>
      </c>
      <c r="D7072" t="s">
        <v>7267</v>
      </c>
      <c r="E7072" t="s">
        <v>10</v>
      </c>
    </row>
    <row r="7073" spans="1:5" hidden="1" outlineLevel="2">
      <c r="A7073" s="3" t="e">
        <f>(HYPERLINK("http://www.autodoc.ru/Web/price/art/6525LGNE5RV?analog=on","6525LGNE5RV"))*1</f>
        <v>#VALUE!</v>
      </c>
      <c r="B7073" s="1">
        <v>6994567</v>
      </c>
      <c r="C7073" t="s">
        <v>1542</v>
      </c>
      <c r="D7073" t="s">
        <v>7268</v>
      </c>
      <c r="E7073" t="s">
        <v>10</v>
      </c>
    </row>
    <row r="7074" spans="1:5" hidden="1" outlineLevel="2">
      <c r="A7074" s="3" t="e">
        <f>(HYPERLINK("http://www.autodoc.ru/Web/price/art/6525LGNS4FD?analog=on","6525LGNS4FD"))*1</f>
        <v>#VALUE!</v>
      </c>
      <c r="B7074" s="1">
        <v>6996529</v>
      </c>
      <c r="C7074" t="s">
        <v>134</v>
      </c>
      <c r="D7074" t="s">
        <v>7269</v>
      </c>
      <c r="E7074" t="s">
        <v>10</v>
      </c>
    </row>
    <row r="7075" spans="1:5" hidden="1" outlineLevel="2">
      <c r="A7075" s="3" t="e">
        <f>(HYPERLINK("http://www.autodoc.ru/Web/price/art/6525LGNS4RD?analog=on","6525LGNS4RD"))*1</f>
        <v>#VALUE!</v>
      </c>
      <c r="B7075" s="1">
        <v>6996533</v>
      </c>
      <c r="C7075" t="s">
        <v>134</v>
      </c>
      <c r="D7075" t="s">
        <v>7270</v>
      </c>
      <c r="E7075" t="s">
        <v>10</v>
      </c>
    </row>
    <row r="7076" spans="1:5" hidden="1" outlineLevel="2">
      <c r="A7076" s="3" t="e">
        <f>(HYPERLINK("http://www.autodoc.ru/Web/price/art/6525LGNS4RV?analog=on","6525LGNS4RV"))*1</f>
        <v>#VALUE!</v>
      </c>
      <c r="B7076" s="1">
        <v>6990425</v>
      </c>
      <c r="C7076" t="s">
        <v>134</v>
      </c>
      <c r="D7076" t="s">
        <v>7271</v>
      </c>
      <c r="E7076" t="s">
        <v>10</v>
      </c>
    </row>
    <row r="7077" spans="1:5" hidden="1" outlineLevel="2">
      <c r="A7077" s="3" t="e">
        <f>(HYPERLINK("http://www.autodoc.ru/Web/price/art/6525RCLS4FD?analog=on","6525RCLS4FD"))*1</f>
        <v>#VALUE!</v>
      </c>
      <c r="B7077" s="1">
        <v>6996528</v>
      </c>
      <c r="C7077" t="s">
        <v>134</v>
      </c>
      <c r="D7077" t="s">
        <v>7272</v>
      </c>
      <c r="E7077" t="s">
        <v>10</v>
      </c>
    </row>
    <row r="7078" spans="1:5" hidden="1" outlineLevel="2">
      <c r="A7078" s="3" t="e">
        <f>(HYPERLINK("http://www.autodoc.ru/Web/price/art/6525RCLS4RD?analog=on","6525RCLS4RD"))*1</f>
        <v>#VALUE!</v>
      </c>
      <c r="B7078" s="1">
        <v>6996532</v>
      </c>
      <c r="C7078" t="s">
        <v>134</v>
      </c>
      <c r="D7078" t="s">
        <v>7273</v>
      </c>
      <c r="E7078" t="s">
        <v>10</v>
      </c>
    </row>
    <row r="7079" spans="1:5" hidden="1" outlineLevel="2">
      <c r="A7079" s="3" t="e">
        <f>(HYPERLINK("http://www.autodoc.ru/Web/price/art/6525RCLS4RV?analog=on","6525RCLS4RV"))*1</f>
        <v>#VALUE!</v>
      </c>
      <c r="B7079" s="1">
        <v>6996536</v>
      </c>
      <c r="C7079" t="s">
        <v>134</v>
      </c>
      <c r="D7079" t="s">
        <v>7274</v>
      </c>
      <c r="E7079" t="s">
        <v>10</v>
      </c>
    </row>
    <row r="7080" spans="1:5" hidden="1" outlineLevel="2">
      <c r="A7080" s="3" t="e">
        <f>(HYPERLINK("http://www.autodoc.ru/Web/price/art/6525RGNE5RD?analog=on","6525RGNE5RD"))*1</f>
        <v>#VALUE!</v>
      </c>
      <c r="B7080" s="1">
        <v>6994568</v>
      </c>
      <c r="C7080" t="s">
        <v>1542</v>
      </c>
      <c r="D7080" t="s">
        <v>7275</v>
      </c>
      <c r="E7080" t="s">
        <v>10</v>
      </c>
    </row>
    <row r="7081" spans="1:5" hidden="1" outlineLevel="2">
      <c r="A7081" s="3" t="e">
        <f>(HYPERLINK("http://www.autodoc.ru/Web/price/art/6525RGNE5RQZ?analog=on","6525RGNE5RQZ"))*1</f>
        <v>#VALUE!</v>
      </c>
      <c r="B7081" s="1">
        <v>6996544</v>
      </c>
      <c r="C7081" t="s">
        <v>1542</v>
      </c>
      <c r="D7081" t="s">
        <v>7276</v>
      </c>
      <c r="E7081" t="s">
        <v>10</v>
      </c>
    </row>
    <row r="7082" spans="1:5" hidden="1" outlineLevel="2">
      <c r="A7082" s="3" t="e">
        <f>(HYPERLINK("http://www.autodoc.ru/Web/price/art/6525RGNE5RV?analog=on","6525RGNE5RV"))*1</f>
        <v>#VALUE!</v>
      </c>
      <c r="B7082" s="1">
        <v>6994569</v>
      </c>
      <c r="C7082" t="s">
        <v>1542</v>
      </c>
      <c r="D7082" t="s">
        <v>7277</v>
      </c>
      <c r="E7082" t="s">
        <v>10</v>
      </c>
    </row>
    <row r="7083" spans="1:5" hidden="1" outlineLevel="2">
      <c r="A7083" s="3" t="e">
        <f>(HYPERLINK("http://www.autodoc.ru/Web/price/art/6525RGNS4FD?analog=on","6525RGNS4FD"))*1</f>
        <v>#VALUE!</v>
      </c>
      <c r="B7083" s="1">
        <v>6996530</v>
      </c>
      <c r="C7083" t="s">
        <v>134</v>
      </c>
      <c r="D7083" t="s">
        <v>7278</v>
      </c>
      <c r="E7083" t="s">
        <v>10</v>
      </c>
    </row>
    <row r="7084" spans="1:5" hidden="1" outlineLevel="2">
      <c r="A7084" s="3" t="e">
        <f>(HYPERLINK("http://www.autodoc.ru/Web/price/art/6525RGNS4RD?analog=on","6525RGNS4RD"))*1</f>
        <v>#VALUE!</v>
      </c>
      <c r="B7084" s="1">
        <v>6996534</v>
      </c>
      <c r="C7084" t="s">
        <v>134</v>
      </c>
      <c r="D7084" t="s">
        <v>7279</v>
      </c>
      <c r="E7084" t="s">
        <v>10</v>
      </c>
    </row>
    <row r="7085" spans="1:5" hidden="1" outlineLevel="2">
      <c r="A7085" s="3" t="e">
        <f>(HYPERLINK("http://www.autodoc.ru/Web/price/art/6525RGNS4RV?analog=on","6525RGNS4RV"))*1</f>
        <v>#VALUE!</v>
      </c>
      <c r="B7085" s="1">
        <v>6990424</v>
      </c>
      <c r="C7085" t="s">
        <v>134</v>
      </c>
      <c r="D7085" t="s">
        <v>7280</v>
      </c>
      <c r="E7085" t="s">
        <v>10</v>
      </c>
    </row>
    <row r="7086" spans="1:5" hidden="1" outlineLevel="1">
      <c r="A7086" s="2">
        <v>0</v>
      </c>
      <c r="B7086" s="26" t="s">
        <v>7281</v>
      </c>
      <c r="C7086" s="27">
        <v>0</v>
      </c>
      <c r="D7086" s="27">
        <v>0</v>
      </c>
      <c r="E7086" s="27">
        <v>0</v>
      </c>
    </row>
    <row r="7087" spans="1:5" hidden="1" outlineLevel="2">
      <c r="A7087" s="3" t="e">
        <f>(HYPERLINK("http://www.autodoc.ru/Web/price/art/6538AGN?analog=on","6538AGN"))*1</f>
        <v>#VALUE!</v>
      </c>
      <c r="B7087" s="1">
        <v>6965845</v>
      </c>
      <c r="C7087" t="s">
        <v>72</v>
      </c>
      <c r="D7087" t="s">
        <v>7282</v>
      </c>
      <c r="E7087" t="s">
        <v>8</v>
      </c>
    </row>
    <row r="7088" spans="1:5" hidden="1" outlineLevel="2">
      <c r="A7088" s="3" t="e">
        <f>(HYPERLINK("http://www.autodoc.ru/Web/price/art/6538AGNM?analog=on","6538AGNM"))*1</f>
        <v>#VALUE!</v>
      </c>
      <c r="B7088" s="1">
        <v>6963703</v>
      </c>
      <c r="C7088" t="s">
        <v>72</v>
      </c>
      <c r="D7088" t="s">
        <v>7283</v>
      </c>
      <c r="E7088" t="s">
        <v>8</v>
      </c>
    </row>
    <row r="7089" spans="1:5" hidden="1" outlineLevel="2">
      <c r="A7089" s="3" t="e">
        <f>(HYPERLINK("http://www.autodoc.ru/Web/price/art/6538ASMC?analog=on","6538ASMC"))*1</f>
        <v>#VALUE!</v>
      </c>
      <c r="B7089" s="1">
        <v>6100180</v>
      </c>
      <c r="C7089" t="s">
        <v>19</v>
      </c>
      <c r="D7089" t="s">
        <v>7284</v>
      </c>
      <c r="E7089" t="s">
        <v>21</v>
      </c>
    </row>
    <row r="7090" spans="1:5" hidden="1" outlineLevel="2">
      <c r="A7090" s="3" t="e">
        <f>(HYPERLINK("http://www.autodoc.ru/Web/price/art/6538LGNC2FDW1B?analog=on","6538LGNC2FDW1B"))*1</f>
        <v>#VALUE!</v>
      </c>
      <c r="B7090" s="1">
        <v>6900537</v>
      </c>
      <c r="C7090" t="s">
        <v>1134</v>
      </c>
      <c r="D7090" t="s">
        <v>7285</v>
      </c>
      <c r="E7090" t="s">
        <v>10</v>
      </c>
    </row>
    <row r="7091" spans="1:5" hidden="1" outlineLevel="2">
      <c r="A7091" s="3" t="e">
        <f>(HYPERLINK("http://www.autodoc.ru/Web/price/art/6538RGNC2FDW?analog=on","6538RGNC2FDW"))*1</f>
        <v>#VALUE!</v>
      </c>
      <c r="B7091" s="1">
        <v>6995589</v>
      </c>
      <c r="C7091" t="s">
        <v>72</v>
      </c>
      <c r="D7091" t="s">
        <v>7286</v>
      </c>
      <c r="E7091" t="s">
        <v>10</v>
      </c>
    </row>
    <row r="7092" spans="1:5" hidden="1" outlineLevel="2">
      <c r="A7092" s="3" t="e">
        <f>(HYPERLINK("http://www.autodoc.ru/Web/price/art/6538RGNC2FDW1B?analog=on","6538RGNC2FDW1B"))*1</f>
        <v>#VALUE!</v>
      </c>
      <c r="B7092" s="1">
        <v>6900538</v>
      </c>
      <c r="C7092" t="s">
        <v>1134</v>
      </c>
      <c r="D7092" t="s">
        <v>7287</v>
      </c>
      <c r="E7092" t="s">
        <v>10</v>
      </c>
    </row>
    <row r="7093" spans="1:5" hidden="1" outlineLevel="1">
      <c r="A7093" s="2">
        <v>0</v>
      </c>
      <c r="B7093" s="26" t="s">
        <v>7288</v>
      </c>
      <c r="C7093" s="27">
        <v>0</v>
      </c>
      <c r="D7093" s="27">
        <v>0</v>
      </c>
      <c r="E7093" s="27">
        <v>0</v>
      </c>
    </row>
    <row r="7094" spans="1:5" hidden="1" outlineLevel="2">
      <c r="A7094" s="3" t="e">
        <f>(HYPERLINK("http://www.autodoc.ru/Web/price/art/6544ACCMVZ1B?analog=on","6544ACCMVZ1B"))*1</f>
        <v>#VALUE!</v>
      </c>
      <c r="B7094" s="1">
        <v>6961686</v>
      </c>
      <c r="C7094" t="s">
        <v>122</v>
      </c>
      <c r="D7094" t="s">
        <v>7289</v>
      </c>
      <c r="E7094" t="s">
        <v>8</v>
      </c>
    </row>
    <row r="7095" spans="1:5" hidden="1" outlineLevel="2">
      <c r="A7095" s="3" t="e">
        <f>(HYPERLINK("http://www.autodoc.ru/Web/price/art/6544AGSGMVZ2P?analog=on","6544AGSGMVZ2P"))*1</f>
        <v>#VALUE!</v>
      </c>
      <c r="B7095" s="1">
        <v>6961253</v>
      </c>
      <c r="C7095" t="s">
        <v>122</v>
      </c>
      <c r="D7095" t="s">
        <v>7290</v>
      </c>
      <c r="E7095" t="s">
        <v>8</v>
      </c>
    </row>
    <row r="7096" spans="1:5" hidden="1" outlineLevel="2">
      <c r="A7096" s="3" t="e">
        <f>(HYPERLINK("http://www.autodoc.ru/Web/price/art/6544AGSMVZ1B?analog=on","6544AGSMVZ1B"))*1</f>
        <v>#VALUE!</v>
      </c>
      <c r="B7096" s="1">
        <v>6961254</v>
      </c>
      <c r="C7096" t="s">
        <v>122</v>
      </c>
      <c r="D7096" t="s">
        <v>7290</v>
      </c>
      <c r="E7096" t="s">
        <v>8</v>
      </c>
    </row>
    <row r="7097" spans="1:5" hidden="1" outlineLevel="2">
      <c r="A7097" s="3" t="e">
        <f>(HYPERLINK("http://www.autodoc.ru/Web/price/art/6544AGSMVZ2P?analog=on","6544AGSMVZ2P"))*1</f>
        <v>#VALUE!</v>
      </c>
      <c r="B7097" s="1">
        <v>6961255</v>
      </c>
      <c r="C7097" t="s">
        <v>122</v>
      </c>
      <c r="D7097" t="s">
        <v>7291</v>
      </c>
      <c r="E7097" t="s">
        <v>8</v>
      </c>
    </row>
    <row r="7098" spans="1:5" hidden="1" outlineLevel="2">
      <c r="A7098" s="3" t="e">
        <f>(HYPERLINK("http://www.autodoc.ru/Web/price/art/6544AGSVZ?analog=on","6544AGSVZ"))*1</f>
        <v>#VALUE!</v>
      </c>
      <c r="B7098" s="1">
        <v>6961256</v>
      </c>
      <c r="C7098" t="s">
        <v>122</v>
      </c>
      <c r="D7098" t="s">
        <v>7292</v>
      </c>
      <c r="E7098" t="s">
        <v>8</v>
      </c>
    </row>
    <row r="7099" spans="1:5" hidden="1" outlineLevel="2">
      <c r="A7099" s="3" t="e">
        <f>(HYPERLINK("http://www.autodoc.ru/Web/price/art/6544BGSSABZ?analog=on","6544BGSSABZ"))*1</f>
        <v>#VALUE!</v>
      </c>
      <c r="B7099" s="1">
        <v>6996557</v>
      </c>
      <c r="C7099" t="s">
        <v>122</v>
      </c>
      <c r="D7099" t="s">
        <v>7293</v>
      </c>
      <c r="E7099" t="s">
        <v>23</v>
      </c>
    </row>
    <row r="7100" spans="1:5" hidden="1" outlineLevel="2">
      <c r="A7100" s="3" t="e">
        <f>(HYPERLINK("http://www.autodoc.ru/Web/price/art/6544LGSS4FD?analog=on","6544LGSS4FD"))*1</f>
        <v>#VALUE!</v>
      </c>
      <c r="B7100" s="1">
        <v>6993667</v>
      </c>
      <c r="C7100" t="s">
        <v>122</v>
      </c>
      <c r="D7100" t="s">
        <v>7294</v>
      </c>
      <c r="E7100" t="s">
        <v>10</v>
      </c>
    </row>
    <row r="7101" spans="1:5" hidden="1" outlineLevel="2">
      <c r="A7101" s="3" t="e">
        <f>(HYPERLINK("http://www.autodoc.ru/Web/price/art/6544LGSS4FDKW?analog=on","6544LGSS4FDKW"))*1</f>
        <v>#VALUE!</v>
      </c>
      <c r="B7101" s="1">
        <v>6961184</v>
      </c>
      <c r="C7101" t="s">
        <v>122</v>
      </c>
      <c r="D7101" t="s">
        <v>7295</v>
      </c>
      <c r="E7101" t="s">
        <v>10</v>
      </c>
    </row>
    <row r="7102" spans="1:5" hidden="1" outlineLevel="2">
      <c r="A7102" s="3" t="e">
        <f>(HYPERLINK("http://www.autodoc.ru/Web/price/art/6544LGSS4FVZ?analog=on","6544LGSS4FVZ"))*1</f>
        <v>#VALUE!</v>
      </c>
      <c r="B7102" s="1">
        <v>6997796</v>
      </c>
      <c r="C7102" t="s">
        <v>122</v>
      </c>
      <c r="D7102" t="s">
        <v>7296</v>
      </c>
      <c r="E7102" t="s">
        <v>10</v>
      </c>
    </row>
    <row r="7103" spans="1:5" hidden="1" outlineLevel="2">
      <c r="A7103" s="3" t="e">
        <f>(HYPERLINK("http://www.autodoc.ru/Web/price/art/6544LGSS4RD?analog=on","6544LGSS4RD"))*1</f>
        <v>#VALUE!</v>
      </c>
      <c r="B7103" s="1">
        <v>6993668</v>
      </c>
      <c r="C7103" t="s">
        <v>122</v>
      </c>
      <c r="D7103" t="s">
        <v>7297</v>
      </c>
      <c r="E7103" t="s">
        <v>10</v>
      </c>
    </row>
    <row r="7104" spans="1:5" hidden="1" outlineLevel="2">
      <c r="A7104" s="3" t="e">
        <f>(HYPERLINK("http://www.autodoc.ru/Web/price/art/6544LGSS4RDKW?analog=on","6544LGSS4RDKW"))*1</f>
        <v>#VALUE!</v>
      </c>
      <c r="B7104" s="1">
        <v>6961186</v>
      </c>
      <c r="C7104" t="s">
        <v>122</v>
      </c>
      <c r="D7104" t="s">
        <v>7298</v>
      </c>
      <c r="E7104" t="s">
        <v>10</v>
      </c>
    </row>
    <row r="7105" spans="1:5" hidden="1" outlineLevel="2">
      <c r="A7105" s="3" t="e">
        <f>(HYPERLINK("http://www.autodoc.ru/Web/price/art/6544RGSE5RD?analog=on","6544RGSE5RD"))*1</f>
        <v>#VALUE!</v>
      </c>
      <c r="B7105" s="1">
        <v>6993887</v>
      </c>
      <c r="C7105" t="s">
        <v>122</v>
      </c>
      <c r="D7105" t="s">
        <v>7299</v>
      </c>
      <c r="E7105" t="s">
        <v>10</v>
      </c>
    </row>
    <row r="7106" spans="1:5" hidden="1" outlineLevel="2">
      <c r="A7106" s="3" t="e">
        <f>(HYPERLINK("http://www.autodoc.ru/Web/price/art/6544RGSS4FD?analog=on","6544RGSS4FD"))*1</f>
        <v>#VALUE!</v>
      </c>
      <c r="B7106" s="1">
        <v>6991088</v>
      </c>
      <c r="C7106" t="s">
        <v>122</v>
      </c>
      <c r="D7106" t="s">
        <v>7300</v>
      </c>
      <c r="E7106" t="s">
        <v>10</v>
      </c>
    </row>
    <row r="7107" spans="1:5" hidden="1" outlineLevel="2">
      <c r="A7107" s="3" t="e">
        <f>(HYPERLINK("http://www.autodoc.ru/Web/price/art/6544RGSS4FDKW?analog=on","6544RGSS4FDKW"))*1</f>
        <v>#VALUE!</v>
      </c>
      <c r="B7107" s="1">
        <v>6961183</v>
      </c>
      <c r="C7107" t="s">
        <v>122</v>
      </c>
      <c r="D7107" t="s">
        <v>7301</v>
      </c>
      <c r="E7107" t="s">
        <v>10</v>
      </c>
    </row>
    <row r="7108" spans="1:5" hidden="1" outlineLevel="2">
      <c r="A7108" s="3" t="e">
        <f>(HYPERLINK("http://www.autodoc.ru/Web/price/art/6544RGSS4FVZ?analog=on","6544RGSS4FVZ"))*1</f>
        <v>#VALUE!</v>
      </c>
      <c r="B7108" s="1">
        <v>6997795</v>
      </c>
      <c r="C7108" t="s">
        <v>122</v>
      </c>
      <c r="D7108" t="s">
        <v>7302</v>
      </c>
      <c r="E7108" t="s">
        <v>10</v>
      </c>
    </row>
    <row r="7109" spans="1:5" hidden="1" outlineLevel="2">
      <c r="A7109" s="3" t="e">
        <f>(HYPERLINK("http://www.autodoc.ru/Web/price/art/6544RGSS4RD?analog=on","6544RGSS4RD"))*1</f>
        <v>#VALUE!</v>
      </c>
      <c r="B7109" s="1">
        <v>6991089</v>
      </c>
      <c r="C7109" t="s">
        <v>122</v>
      </c>
      <c r="D7109" t="s">
        <v>7303</v>
      </c>
      <c r="E7109" t="s">
        <v>10</v>
      </c>
    </row>
    <row r="7110" spans="1:5" hidden="1" outlineLevel="2">
      <c r="A7110" s="3" t="e">
        <f>(HYPERLINK("http://www.autodoc.ru/Web/price/art/6544RGSS4RDKW?analog=on","6544RGSS4RDKW"))*1</f>
        <v>#VALUE!</v>
      </c>
      <c r="B7110" s="1">
        <v>6961185</v>
      </c>
      <c r="C7110" t="s">
        <v>122</v>
      </c>
      <c r="D7110" t="s">
        <v>7304</v>
      </c>
      <c r="E7110" t="s">
        <v>10</v>
      </c>
    </row>
    <row r="7111" spans="1:5" hidden="1" outlineLevel="1">
      <c r="A7111" s="2">
        <v>0</v>
      </c>
      <c r="B7111" s="26" t="s">
        <v>7305</v>
      </c>
      <c r="C7111" s="27">
        <v>0</v>
      </c>
      <c r="D7111" s="27">
        <v>0</v>
      </c>
      <c r="E7111" s="27">
        <v>0</v>
      </c>
    </row>
    <row r="7112" spans="1:5" hidden="1" outlineLevel="2">
      <c r="A7112" s="3" t="e">
        <f>(HYPERLINK("http://www.autodoc.ru/Web/price/art/6550ACDGMVZ1P?analog=on","6550ACDGMVZ1P"))*1</f>
        <v>#VALUE!</v>
      </c>
      <c r="B7112" s="1">
        <v>6961116</v>
      </c>
      <c r="C7112" t="s">
        <v>904</v>
      </c>
      <c r="D7112" t="s">
        <v>7306</v>
      </c>
      <c r="E7112" t="s">
        <v>8</v>
      </c>
    </row>
    <row r="7113" spans="1:5" hidden="1" outlineLevel="2">
      <c r="A7113" s="3" t="e">
        <f>(HYPERLINK("http://www.autodoc.ru/Web/price/art/6550ACDGMVZ6L?analog=on","6550ACDGMVZ6L"))*1</f>
        <v>#VALUE!</v>
      </c>
      <c r="B7113" s="1">
        <v>6961172</v>
      </c>
      <c r="C7113" t="s">
        <v>904</v>
      </c>
      <c r="D7113" t="s">
        <v>7307</v>
      </c>
      <c r="E7113" t="s">
        <v>8</v>
      </c>
    </row>
    <row r="7114" spans="1:5" hidden="1" outlineLevel="2">
      <c r="A7114" s="3" t="e">
        <f>(HYPERLINK("http://www.autodoc.ru/Web/price/art/6550ACDMVZ?analog=on","6550ACDMVZ"))*1</f>
        <v>#VALUE!</v>
      </c>
      <c r="B7114" s="1">
        <v>6960760</v>
      </c>
      <c r="C7114" t="s">
        <v>904</v>
      </c>
      <c r="D7114" t="s">
        <v>7308</v>
      </c>
      <c r="E7114" t="s">
        <v>8</v>
      </c>
    </row>
    <row r="7115" spans="1:5" hidden="1" outlineLevel="2">
      <c r="A7115" s="3" t="e">
        <f>(HYPERLINK("http://www.autodoc.ru/Web/price/art/6550ACDMVZ1P?analog=on","6550ACDMVZ1P"))*1</f>
        <v>#VALUE!</v>
      </c>
      <c r="B7115" s="1">
        <v>6961171</v>
      </c>
      <c r="C7115" t="s">
        <v>904</v>
      </c>
      <c r="D7115" t="s">
        <v>7309</v>
      </c>
      <c r="E7115" t="s">
        <v>8</v>
      </c>
    </row>
    <row r="7116" spans="1:5" hidden="1" outlineLevel="2">
      <c r="A7116" s="3" t="e">
        <f>(HYPERLINK("http://www.autodoc.ru/Web/price/art/6550BGSCAZ?analog=on","6550BGSCAZ"))*1</f>
        <v>#VALUE!</v>
      </c>
      <c r="B7116" s="1">
        <v>6992726</v>
      </c>
      <c r="C7116" t="s">
        <v>904</v>
      </c>
      <c r="D7116" t="s">
        <v>7310</v>
      </c>
      <c r="E7116" t="s">
        <v>23</v>
      </c>
    </row>
    <row r="7117" spans="1:5" hidden="1" outlineLevel="1">
      <c r="A7117" s="2">
        <v>0</v>
      </c>
      <c r="B7117" s="26" t="s">
        <v>7311</v>
      </c>
      <c r="C7117" s="27">
        <v>0</v>
      </c>
      <c r="D7117" s="27">
        <v>0</v>
      </c>
      <c r="E7117" s="27">
        <v>0</v>
      </c>
    </row>
    <row r="7118" spans="1:5" hidden="1" outlineLevel="2">
      <c r="A7118" s="3" t="e">
        <f>(HYPERLINK("http://www.autodoc.ru/Web/price/art/6555AGNH?analog=on","6555AGNH"))*1</f>
        <v>#VALUE!</v>
      </c>
      <c r="B7118" s="1">
        <v>6190853</v>
      </c>
      <c r="C7118" t="s">
        <v>290</v>
      </c>
      <c r="D7118" t="s">
        <v>7312</v>
      </c>
      <c r="E7118" t="s">
        <v>8</v>
      </c>
    </row>
    <row r="7119" spans="1:5" hidden="1" outlineLevel="2">
      <c r="A7119" s="3" t="e">
        <f>(HYPERLINK("http://www.autodoc.ru/Web/price/art/6555LGNR5FDW?analog=on","6555LGNR5FDW"))*1</f>
        <v>#VALUE!</v>
      </c>
      <c r="B7119" s="1">
        <v>6190934</v>
      </c>
      <c r="C7119" t="s">
        <v>290</v>
      </c>
      <c r="D7119" t="s">
        <v>7313</v>
      </c>
      <c r="E7119" t="s">
        <v>10</v>
      </c>
    </row>
    <row r="7120" spans="1:5" hidden="1" outlineLevel="2">
      <c r="A7120" s="3" t="e">
        <f>(HYPERLINK("http://www.autodoc.ru/Web/price/art/6555LGNR5RDW?analog=on","6555LGNR5RDW"))*1</f>
        <v>#VALUE!</v>
      </c>
      <c r="B7120" s="1">
        <v>6190935</v>
      </c>
      <c r="C7120" t="s">
        <v>290</v>
      </c>
      <c r="D7120" t="s">
        <v>7314</v>
      </c>
      <c r="E7120" t="s">
        <v>10</v>
      </c>
    </row>
    <row r="7121" spans="1:5" hidden="1" outlineLevel="2">
      <c r="A7121" s="3" t="e">
        <f>(HYPERLINK("http://www.autodoc.ru/Web/price/art/6555RGNR5FDW?analog=on","6555RGNR5FDW"))*1</f>
        <v>#VALUE!</v>
      </c>
      <c r="B7121" s="1">
        <v>6190937</v>
      </c>
      <c r="C7121" t="s">
        <v>290</v>
      </c>
      <c r="D7121" t="s">
        <v>7315</v>
      </c>
      <c r="E7121" t="s">
        <v>10</v>
      </c>
    </row>
    <row r="7122" spans="1:5" hidden="1" outlineLevel="2">
      <c r="A7122" s="3" t="e">
        <f>(HYPERLINK("http://www.autodoc.ru/Web/price/art/6555RGNR5RDW?analog=on","6555RGNR5RDW"))*1</f>
        <v>#VALUE!</v>
      </c>
      <c r="B7122" s="1">
        <v>6190938</v>
      </c>
      <c r="C7122" t="s">
        <v>290</v>
      </c>
      <c r="D7122" t="s">
        <v>7316</v>
      </c>
      <c r="E7122" t="s">
        <v>10</v>
      </c>
    </row>
    <row r="7123" spans="1:5" hidden="1" outlineLevel="1">
      <c r="A7123" s="2">
        <v>0</v>
      </c>
      <c r="B7123" s="26" t="s">
        <v>7317</v>
      </c>
      <c r="C7123" s="27">
        <v>0</v>
      </c>
      <c r="D7123" s="27">
        <v>0</v>
      </c>
      <c r="E7123" s="27">
        <v>0</v>
      </c>
    </row>
    <row r="7124" spans="1:5" hidden="1" outlineLevel="2">
      <c r="A7124" s="3" t="e">
        <f>(HYPERLINK("http://www.autodoc.ru/Web/price/art/6506ACL?analog=on","6506ACL"))*1</f>
        <v>#VALUE!</v>
      </c>
      <c r="B7124" s="1">
        <v>6965809</v>
      </c>
      <c r="C7124" t="s">
        <v>7318</v>
      </c>
      <c r="D7124" t="s">
        <v>7319</v>
      </c>
      <c r="E7124" t="s">
        <v>8</v>
      </c>
    </row>
    <row r="7125" spans="1:5" hidden="1" outlineLevel="1">
      <c r="A7125" s="2">
        <v>0</v>
      </c>
      <c r="B7125" s="26" t="s">
        <v>7320</v>
      </c>
      <c r="C7125" s="27">
        <v>0</v>
      </c>
      <c r="D7125" s="27">
        <v>0</v>
      </c>
      <c r="E7125" s="27">
        <v>0</v>
      </c>
    </row>
    <row r="7126" spans="1:5" hidden="1" outlineLevel="2">
      <c r="A7126" s="3" t="e">
        <f>(HYPERLINK("http://www.autodoc.ru/Web/price/art/6513ACL1C?analog=on","6513ACL1C"))*1</f>
        <v>#VALUE!</v>
      </c>
      <c r="B7126" s="1">
        <v>6965810</v>
      </c>
      <c r="C7126" t="s">
        <v>146</v>
      </c>
      <c r="D7126" t="s">
        <v>7321</v>
      </c>
      <c r="E7126" t="s">
        <v>8</v>
      </c>
    </row>
    <row r="7127" spans="1:5" hidden="1" outlineLevel="2">
      <c r="A7127" s="3" t="e">
        <f>(HYPERLINK("http://www.autodoc.ru/Web/price/art/6513RCLS4FD?analog=on","6513RCLS4FD"))*1</f>
        <v>#VALUE!</v>
      </c>
      <c r="B7127" s="1">
        <v>6997360</v>
      </c>
      <c r="C7127" t="s">
        <v>146</v>
      </c>
      <c r="D7127" t="s">
        <v>7322</v>
      </c>
      <c r="E7127" t="s">
        <v>10</v>
      </c>
    </row>
    <row r="7128" spans="1:5" hidden="1" outlineLevel="1">
      <c r="A7128" s="2">
        <v>0</v>
      </c>
      <c r="B7128" s="26" t="s">
        <v>7323</v>
      </c>
      <c r="C7128" s="27">
        <v>0</v>
      </c>
      <c r="D7128" s="27">
        <v>0</v>
      </c>
      <c r="E7128" s="27">
        <v>0</v>
      </c>
    </row>
    <row r="7129" spans="1:5" hidden="1" outlineLevel="2">
      <c r="A7129" s="3" t="e">
        <f>(HYPERLINK("http://www.autodoc.ru/Web/price/art/6562AGAGMVZ1R?analog=on","6562AGAGMVZ1R"))*1</f>
        <v>#VALUE!</v>
      </c>
      <c r="B7129" s="1">
        <v>6965148</v>
      </c>
      <c r="C7129" t="s">
        <v>341</v>
      </c>
      <c r="D7129" t="s">
        <v>7324</v>
      </c>
      <c r="E7129" t="s">
        <v>8</v>
      </c>
    </row>
    <row r="7130" spans="1:5" hidden="1" outlineLevel="1">
      <c r="A7130" s="2">
        <v>0</v>
      </c>
      <c r="B7130" s="26" t="s">
        <v>7325</v>
      </c>
      <c r="C7130" s="27">
        <v>0</v>
      </c>
      <c r="D7130" s="27">
        <v>0</v>
      </c>
      <c r="E7130" s="27">
        <v>0</v>
      </c>
    </row>
    <row r="7131" spans="1:5" hidden="1" outlineLevel="2">
      <c r="A7131" s="3" t="e">
        <f>(HYPERLINK("http://www.autodoc.ru/Web/price/art/6519AGN?analog=on","6519AGN"))*1</f>
        <v>#VALUE!</v>
      </c>
      <c r="B7131" s="1">
        <v>6965824</v>
      </c>
      <c r="C7131" t="s">
        <v>1589</v>
      </c>
      <c r="D7131" t="s">
        <v>7326</v>
      </c>
      <c r="E7131" t="s">
        <v>8</v>
      </c>
    </row>
    <row r="7132" spans="1:5" hidden="1" outlineLevel="2">
      <c r="A7132" s="3" t="e">
        <f>(HYPERLINK("http://www.autodoc.ru/Web/price/art/6519AGNBL?analog=on","6519AGNBL"))*1</f>
        <v>#VALUE!</v>
      </c>
      <c r="B7132" s="1">
        <v>6963756</v>
      </c>
      <c r="C7132" t="s">
        <v>1589</v>
      </c>
      <c r="D7132" t="s">
        <v>7327</v>
      </c>
      <c r="E7132" t="s">
        <v>8</v>
      </c>
    </row>
    <row r="7133" spans="1:5" hidden="1" outlineLevel="2">
      <c r="A7133" s="3" t="e">
        <f>(HYPERLINK("http://www.autodoc.ru/Web/price/art/6519AGNGN?analog=on","6519AGNGN"))*1</f>
        <v>#VALUE!</v>
      </c>
      <c r="B7133" s="1">
        <v>6963757</v>
      </c>
      <c r="C7133" t="s">
        <v>1589</v>
      </c>
      <c r="D7133" t="s">
        <v>7328</v>
      </c>
      <c r="E7133" t="s">
        <v>8</v>
      </c>
    </row>
    <row r="7134" spans="1:5" hidden="1" outlineLevel="2">
      <c r="A7134" s="3" t="e">
        <f>(HYPERLINK("http://www.autodoc.ru/Web/price/art/6519AGNM?analog=on","6519AGNM"))*1</f>
        <v>#VALUE!</v>
      </c>
      <c r="B7134" s="1">
        <v>6960883</v>
      </c>
      <c r="C7134" t="s">
        <v>3612</v>
      </c>
      <c r="D7134" t="s">
        <v>7329</v>
      </c>
      <c r="E7134" t="s">
        <v>8</v>
      </c>
    </row>
    <row r="7135" spans="1:5" hidden="1" outlineLevel="2">
      <c r="A7135" s="3" t="e">
        <f>(HYPERLINK("http://www.autodoc.ru/Web/price/art/6519LGNS4FD?analog=on","6519LGNS4FD"))*1</f>
        <v>#VALUE!</v>
      </c>
      <c r="B7135" s="1">
        <v>6996869</v>
      </c>
      <c r="C7135" t="s">
        <v>1589</v>
      </c>
      <c r="D7135" t="s">
        <v>7330</v>
      </c>
      <c r="E7135" t="s">
        <v>10</v>
      </c>
    </row>
    <row r="7136" spans="1:5" hidden="1" outlineLevel="2">
      <c r="A7136" s="3" t="e">
        <f>(HYPERLINK("http://www.autodoc.ru/Web/price/art/6519LGNS4RD?analog=on","6519LGNS4RD"))*1</f>
        <v>#VALUE!</v>
      </c>
      <c r="B7136" s="1">
        <v>6996870</v>
      </c>
      <c r="C7136" t="s">
        <v>1589</v>
      </c>
      <c r="D7136" t="s">
        <v>7331</v>
      </c>
      <c r="E7136" t="s">
        <v>10</v>
      </c>
    </row>
    <row r="7137" spans="1:5" hidden="1" outlineLevel="2">
      <c r="A7137" s="3" t="e">
        <f>(HYPERLINK("http://www.autodoc.ru/Web/price/art/6519RGNS4FD?analog=on","6519RGNS4FD"))*1</f>
        <v>#VALUE!</v>
      </c>
      <c r="B7137" s="1">
        <v>6996872</v>
      </c>
      <c r="C7137" t="s">
        <v>1589</v>
      </c>
      <c r="D7137" t="s">
        <v>7332</v>
      </c>
      <c r="E7137" t="s">
        <v>10</v>
      </c>
    </row>
    <row r="7138" spans="1:5" hidden="1" outlineLevel="2">
      <c r="A7138" s="3" t="e">
        <f>(HYPERLINK("http://www.autodoc.ru/Web/price/art/6519RGNS4RD?analog=on","6519RGNS4RD"))*1</f>
        <v>#VALUE!</v>
      </c>
      <c r="B7138" s="1">
        <v>6996873</v>
      </c>
      <c r="C7138" t="s">
        <v>1589</v>
      </c>
      <c r="D7138" t="s">
        <v>7333</v>
      </c>
      <c r="E7138" t="s">
        <v>10</v>
      </c>
    </row>
    <row r="7139" spans="1:5" hidden="1" outlineLevel="2">
      <c r="A7139" s="3" t="e">
        <f>(HYPERLINK("http://www.autodoc.ru/Web/price/art/6519RGNS4RV?analog=on","6519RGNS4RV"))*1</f>
        <v>#VALUE!</v>
      </c>
      <c r="B7139" s="1">
        <v>6996874</v>
      </c>
      <c r="C7139" t="s">
        <v>1589</v>
      </c>
      <c r="D7139" t="s">
        <v>7334</v>
      </c>
      <c r="E7139" t="s">
        <v>10</v>
      </c>
    </row>
    <row r="7140" spans="1:5" hidden="1" outlineLevel="1">
      <c r="A7140" s="2">
        <v>0</v>
      </c>
      <c r="B7140" s="26" t="s">
        <v>7335</v>
      </c>
      <c r="C7140" s="27">
        <v>0</v>
      </c>
      <c r="D7140" s="27">
        <v>0</v>
      </c>
      <c r="E7140" s="27">
        <v>0</v>
      </c>
    </row>
    <row r="7141" spans="1:5" hidden="1" outlineLevel="2">
      <c r="A7141" s="3" t="e">
        <f>(HYPERLINK("http://www.autodoc.ru/Web/price/art/6540ACCMVZ?analog=on","6540ACCMVZ"))*1</f>
        <v>#VALUE!</v>
      </c>
      <c r="B7141" s="1">
        <v>6960167</v>
      </c>
      <c r="C7141" t="s">
        <v>48</v>
      </c>
      <c r="D7141" t="s">
        <v>7336</v>
      </c>
      <c r="E7141" t="s">
        <v>8</v>
      </c>
    </row>
    <row r="7142" spans="1:5" hidden="1" outlineLevel="2">
      <c r="A7142" s="3" t="e">
        <f>(HYPERLINK("http://www.autodoc.ru/Web/price/art/6540ACCMVZ6T?analog=on","6540ACCMVZ6T"))*1</f>
        <v>#VALUE!</v>
      </c>
      <c r="B7142" s="1">
        <v>6961028</v>
      </c>
      <c r="C7142" t="s">
        <v>48</v>
      </c>
      <c r="D7142" t="s">
        <v>7337</v>
      </c>
      <c r="E7142" t="s">
        <v>8</v>
      </c>
    </row>
    <row r="7143" spans="1:5" hidden="1" outlineLevel="2">
      <c r="A7143" s="3" t="e">
        <f>(HYPERLINK("http://www.autodoc.ru/Web/price/art/6540ACDMVZ6T?analog=on","6540ACDMVZ6T"))*1</f>
        <v>#VALUE!</v>
      </c>
      <c r="B7143" s="1">
        <v>6961452</v>
      </c>
      <c r="C7143" t="s">
        <v>48</v>
      </c>
      <c r="D7143" t="s">
        <v>7338</v>
      </c>
      <c r="E7143" t="s">
        <v>8</v>
      </c>
    </row>
    <row r="7144" spans="1:5" hidden="1" outlineLevel="2">
      <c r="A7144" s="3" t="e">
        <f>(HYPERLINK("http://www.autodoc.ru/Web/price/art/6540BGSSABZ?analog=on","6540BGSSABZ"))*1</f>
        <v>#VALUE!</v>
      </c>
      <c r="B7144" s="1">
        <v>6990431</v>
      </c>
      <c r="C7144" t="s">
        <v>48</v>
      </c>
      <c r="D7144" t="s">
        <v>7339</v>
      </c>
      <c r="E7144" t="s">
        <v>23</v>
      </c>
    </row>
    <row r="7145" spans="1:5" hidden="1" outlineLevel="2">
      <c r="A7145" s="3" t="e">
        <f>(HYPERLINK("http://www.autodoc.ru/Web/price/art/6540BGSSABZ1B?analog=on","6540BGSSABZ1B"))*1</f>
        <v>#VALUE!</v>
      </c>
      <c r="B7145" s="1">
        <v>6992694</v>
      </c>
      <c r="C7145" t="s">
        <v>122</v>
      </c>
      <c r="D7145" t="s">
        <v>7340</v>
      </c>
      <c r="E7145" t="s">
        <v>23</v>
      </c>
    </row>
    <row r="7146" spans="1:5" hidden="1" outlineLevel="2">
      <c r="A7146" s="3" t="e">
        <f>(HYPERLINK("http://www.autodoc.ru/Web/price/art/6540LGSS4FD?analog=on","6540LGSS4FD"))*1</f>
        <v>#VALUE!</v>
      </c>
      <c r="B7146" s="1">
        <v>6999993</v>
      </c>
      <c r="C7146" t="s">
        <v>48</v>
      </c>
      <c r="D7146" t="s">
        <v>7341</v>
      </c>
      <c r="E7146" t="s">
        <v>10</v>
      </c>
    </row>
    <row r="7147" spans="1:5" hidden="1" outlineLevel="2">
      <c r="A7147" s="3" t="e">
        <f>(HYPERLINK("http://www.autodoc.ru/Web/price/art/6540LGSS4FDKW?analog=on","6540LGSS4FDKW"))*1</f>
        <v>#VALUE!</v>
      </c>
      <c r="B7147" s="1">
        <v>6962027</v>
      </c>
      <c r="C7147" t="s">
        <v>48</v>
      </c>
      <c r="D7147" t="s">
        <v>7342</v>
      </c>
      <c r="E7147" t="s">
        <v>10</v>
      </c>
    </row>
    <row r="7148" spans="1:5" hidden="1" outlineLevel="2">
      <c r="A7148" s="3" t="e">
        <f>(HYPERLINK("http://www.autodoc.ru/Web/price/art/6540LGSS4RD?analog=on","6540LGSS4RD"))*1</f>
        <v>#VALUE!</v>
      </c>
      <c r="B7148" s="1">
        <v>6900186</v>
      </c>
      <c r="C7148" t="s">
        <v>48</v>
      </c>
      <c r="D7148" t="s">
        <v>7343</v>
      </c>
      <c r="E7148" t="s">
        <v>10</v>
      </c>
    </row>
    <row r="7149" spans="1:5" hidden="1" outlineLevel="2">
      <c r="A7149" s="3" t="e">
        <f>(HYPERLINK("http://www.autodoc.ru/Web/price/art/6540LGSS4RDKW?analog=on","6540LGSS4RDKW"))*1</f>
        <v>#VALUE!</v>
      </c>
      <c r="B7149" s="1">
        <v>6962927</v>
      </c>
      <c r="C7149" t="s">
        <v>48</v>
      </c>
      <c r="D7149" t="s">
        <v>7344</v>
      </c>
      <c r="E7149" t="s">
        <v>10</v>
      </c>
    </row>
    <row r="7150" spans="1:5" hidden="1" outlineLevel="2">
      <c r="A7150" s="3" t="e">
        <f>(HYPERLINK("http://www.autodoc.ru/Web/price/art/6540RGSS4FD?analog=on","6540RGSS4FD"))*1</f>
        <v>#VALUE!</v>
      </c>
      <c r="B7150" s="1">
        <v>6900082</v>
      </c>
      <c r="C7150" t="s">
        <v>48</v>
      </c>
      <c r="D7150" t="s">
        <v>7345</v>
      </c>
      <c r="E7150" t="s">
        <v>10</v>
      </c>
    </row>
    <row r="7151" spans="1:5" hidden="1" outlineLevel="2">
      <c r="A7151" s="3" t="e">
        <f>(HYPERLINK("http://www.autodoc.ru/Web/price/art/6540RGSS4RD?analog=on","6540RGSS4RD"))*1</f>
        <v>#VALUE!</v>
      </c>
      <c r="B7151" s="1">
        <v>6900269</v>
      </c>
      <c r="C7151" t="s">
        <v>48</v>
      </c>
      <c r="D7151" t="s">
        <v>7346</v>
      </c>
      <c r="E7151" t="s">
        <v>10</v>
      </c>
    </row>
    <row r="7152" spans="1:5" hidden="1" outlineLevel="2">
      <c r="A7152" s="3" t="e">
        <f>(HYPERLINK("http://www.autodoc.ru/Web/price/art/6540RGSS4RDKW?analog=on","6540RGSS4RDKW"))*1</f>
        <v>#VALUE!</v>
      </c>
      <c r="B7152" s="1">
        <v>6962930</v>
      </c>
      <c r="C7152" t="s">
        <v>48</v>
      </c>
      <c r="D7152" t="s">
        <v>7347</v>
      </c>
      <c r="E7152" t="s">
        <v>10</v>
      </c>
    </row>
    <row r="7153" spans="1:5" hidden="1" outlineLevel="1">
      <c r="A7153" s="2">
        <v>0</v>
      </c>
      <c r="B7153" s="26" t="s">
        <v>7348</v>
      </c>
      <c r="C7153" s="27">
        <v>0</v>
      </c>
      <c r="D7153" s="27">
        <v>0</v>
      </c>
      <c r="E7153" s="27">
        <v>0</v>
      </c>
    </row>
    <row r="7154" spans="1:5" hidden="1" outlineLevel="2">
      <c r="A7154" s="3" t="e">
        <f>(HYPERLINK("http://www.autodoc.ru/Web/price/art/6546ACCMVZ?analog=on","6546ACCMVZ"))*1</f>
        <v>#VALUE!</v>
      </c>
      <c r="B7154" s="1">
        <v>6960240</v>
      </c>
      <c r="C7154" t="s">
        <v>2349</v>
      </c>
      <c r="D7154" t="s">
        <v>7349</v>
      </c>
      <c r="E7154" t="s">
        <v>8</v>
      </c>
    </row>
    <row r="7155" spans="1:5" hidden="1" outlineLevel="2">
      <c r="A7155" s="3" t="e">
        <f>(HYPERLINK("http://www.autodoc.ru/Web/price/art/6546ACCMVZ1T?analog=on","6546ACCMVZ1T"))*1</f>
        <v>#VALUE!</v>
      </c>
      <c r="B7155" s="1">
        <v>6961365</v>
      </c>
      <c r="C7155" t="s">
        <v>2349</v>
      </c>
      <c r="D7155" t="s">
        <v>7350</v>
      </c>
      <c r="E7155" t="s">
        <v>8</v>
      </c>
    </row>
    <row r="7156" spans="1:5" hidden="1" outlineLevel="2">
      <c r="A7156" s="3" t="e">
        <f>(HYPERLINK("http://www.autodoc.ru/Web/price/art/6546ACCIMVZ6P?analog=on","6546ACCIMVZ6P"))*1</f>
        <v>#VALUE!</v>
      </c>
      <c r="B7156" s="1">
        <v>6961515</v>
      </c>
      <c r="C7156" t="s">
        <v>2349</v>
      </c>
      <c r="D7156" t="s">
        <v>7351</v>
      </c>
      <c r="E7156" t="s">
        <v>8</v>
      </c>
    </row>
    <row r="7157" spans="1:5" hidden="1" outlineLevel="2">
      <c r="A7157" s="3" t="e">
        <f>(HYPERLINK("http://www.autodoc.ru/Web/price/art/6546ACCVZ?analog=on","6546ACCVZ"))*1</f>
        <v>#VALUE!</v>
      </c>
      <c r="B7157" s="1">
        <v>6960165</v>
      </c>
      <c r="C7157" t="s">
        <v>2349</v>
      </c>
      <c r="D7157" t="s">
        <v>7352</v>
      </c>
      <c r="E7157" t="s">
        <v>8</v>
      </c>
    </row>
    <row r="7158" spans="1:5" hidden="1" outlineLevel="2">
      <c r="A7158" s="3" t="e">
        <f>(HYPERLINK("http://www.autodoc.ru/Web/price/art/6546AGSVZ?analog=on","6546AGSVZ"))*1</f>
        <v>#VALUE!</v>
      </c>
      <c r="B7158" s="1">
        <v>6960448</v>
      </c>
      <c r="C7158" t="s">
        <v>2349</v>
      </c>
      <c r="D7158" t="s">
        <v>7353</v>
      </c>
      <c r="E7158" t="s">
        <v>8</v>
      </c>
    </row>
    <row r="7159" spans="1:5" hidden="1" outlineLevel="2">
      <c r="A7159" s="3" t="e">
        <f>(HYPERLINK("http://www.autodoc.ru/Web/price/art/6546BGSVB?analog=on","6546BGSVB"))*1</f>
        <v>#VALUE!</v>
      </c>
      <c r="B7159" s="1">
        <v>6999915</v>
      </c>
      <c r="C7159" t="s">
        <v>2349</v>
      </c>
      <c r="D7159" t="s">
        <v>7354</v>
      </c>
      <c r="E7159" t="s">
        <v>23</v>
      </c>
    </row>
    <row r="7160" spans="1:5" hidden="1" outlineLevel="2">
      <c r="A7160" s="3" t="e">
        <f>(HYPERLINK("http://www.autodoc.ru/Web/price/art/6546LGSV5FD?analog=on","6546LGSV5FD"))*1</f>
        <v>#VALUE!</v>
      </c>
      <c r="B7160" s="1">
        <v>6190076</v>
      </c>
      <c r="C7160" t="s">
        <v>2349</v>
      </c>
      <c r="D7160" t="s">
        <v>7355</v>
      </c>
      <c r="E7160" t="s">
        <v>10</v>
      </c>
    </row>
    <row r="7161" spans="1:5" hidden="1" outlineLevel="2">
      <c r="A7161" s="3" t="e">
        <f>(HYPERLINK("http://www.autodoc.ru/Web/price/art/6546LGSV5RD?analog=on","6546LGSV5RD"))*1</f>
        <v>#VALUE!</v>
      </c>
      <c r="B7161" s="1">
        <v>6900240</v>
      </c>
      <c r="C7161" t="s">
        <v>2349</v>
      </c>
      <c r="D7161" t="s">
        <v>7356</v>
      </c>
      <c r="E7161" t="s">
        <v>10</v>
      </c>
    </row>
    <row r="7162" spans="1:5" hidden="1" outlineLevel="2">
      <c r="A7162" s="3" t="e">
        <f>(HYPERLINK("http://www.autodoc.ru/Web/price/art/6546RGSV5FD?analog=on","6546RGSV5FD"))*1</f>
        <v>#VALUE!</v>
      </c>
      <c r="B7162" s="1">
        <v>6190077</v>
      </c>
      <c r="C7162" t="s">
        <v>2349</v>
      </c>
      <c r="D7162" t="s">
        <v>7357</v>
      </c>
      <c r="E7162" t="s">
        <v>10</v>
      </c>
    </row>
    <row r="7163" spans="1:5" hidden="1" outlineLevel="2">
      <c r="A7163" s="3" t="e">
        <f>(HYPERLINK("http://www.autodoc.ru/Web/price/art/6546RGSV5RD?analog=on","6546RGSV5RD"))*1</f>
        <v>#VALUE!</v>
      </c>
      <c r="B7163" s="1">
        <v>6900268</v>
      </c>
      <c r="C7163" t="s">
        <v>2349</v>
      </c>
      <c r="D7163" t="s">
        <v>7358</v>
      </c>
      <c r="E7163" t="s">
        <v>10</v>
      </c>
    </row>
    <row r="7164" spans="1:5" hidden="1" outlineLevel="1">
      <c r="A7164" s="2">
        <v>0</v>
      </c>
      <c r="B7164" s="26" t="s">
        <v>7359</v>
      </c>
      <c r="C7164" s="27">
        <v>0</v>
      </c>
      <c r="D7164" s="27">
        <v>0</v>
      </c>
      <c r="E7164" s="27">
        <v>0</v>
      </c>
    </row>
    <row r="7165" spans="1:5" hidden="1" outlineLevel="2">
      <c r="A7165" s="3" t="e">
        <f>(HYPERLINK("http://www.autodoc.ru/Web/price/art/6547ACC?analog=on","6547ACC"))*1</f>
        <v>#VALUE!</v>
      </c>
      <c r="B7165" s="1">
        <v>6960459</v>
      </c>
      <c r="C7165" t="s">
        <v>122</v>
      </c>
      <c r="D7165" t="s">
        <v>7360</v>
      </c>
      <c r="E7165" t="s">
        <v>8</v>
      </c>
    </row>
    <row r="7166" spans="1:5" hidden="1" outlineLevel="2">
      <c r="A7166" s="3" t="e">
        <f>(HYPERLINK("http://www.autodoc.ru/Web/price/art/6547ACCM1P?analog=on","6547ACCM1P"))*1</f>
        <v>#VALUE!</v>
      </c>
      <c r="B7166" s="1">
        <v>6960611</v>
      </c>
      <c r="C7166" t="s">
        <v>122</v>
      </c>
      <c r="D7166" t="s">
        <v>7361</v>
      </c>
      <c r="E7166" t="s">
        <v>8</v>
      </c>
    </row>
    <row r="7167" spans="1:5" hidden="1" outlineLevel="2">
      <c r="A7167" s="3" t="e">
        <f>(HYPERLINK("http://www.autodoc.ru/Web/price/art/6547AGS?analog=on","6547AGS"))*1</f>
        <v>#VALUE!</v>
      </c>
      <c r="B7167" s="1">
        <v>6960460</v>
      </c>
      <c r="C7167" t="s">
        <v>122</v>
      </c>
      <c r="D7167" t="s">
        <v>7362</v>
      </c>
      <c r="E7167" t="s">
        <v>8</v>
      </c>
    </row>
    <row r="7168" spans="1:5" hidden="1" outlineLevel="2">
      <c r="A7168" s="3" t="e">
        <f>(HYPERLINK("http://www.autodoc.ru/Web/price/art/6547AGSM1P?analog=on","6547AGSM1P"))*1</f>
        <v>#VALUE!</v>
      </c>
      <c r="B7168" s="1">
        <v>6960610</v>
      </c>
      <c r="C7168" t="s">
        <v>904</v>
      </c>
      <c r="D7168" t="s">
        <v>7363</v>
      </c>
      <c r="E7168" t="s">
        <v>8</v>
      </c>
    </row>
    <row r="7169" spans="1:5" hidden="1" outlineLevel="2">
      <c r="A7169" s="3" t="e">
        <f>(HYPERLINK("http://www.autodoc.ru/Web/price/art/6547BGSH?analog=on","6547BGSH"))*1</f>
        <v>#VALUE!</v>
      </c>
      <c r="B7169" s="1">
        <v>6991886</v>
      </c>
      <c r="C7169" t="s">
        <v>904</v>
      </c>
      <c r="D7169" t="s">
        <v>7364</v>
      </c>
      <c r="E7169" t="s">
        <v>23</v>
      </c>
    </row>
    <row r="7170" spans="1:5" hidden="1" outlineLevel="2">
      <c r="A7170" s="3" t="e">
        <f>(HYPERLINK("http://www.autodoc.ru/Web/price/art/6547BYPH?analog=on","6547BYPH"))*1</f>
        <v>#VALUE!</v>
      </c>
      <c r="B7170" s="1">
        <v>6993326</v>
      </c>
      <c r="C7170" t="s">
        <v>904</v>
      </c>
      <c r="D7170" t="s">
        <v>7365</v>
      </c>
      <c r="E7170" t="s">
        <v>23</v>
      </c>
    </row>
    <row r="7171" spans="1:5" hidden="1" outlineLevel="2">
      <c r="A7171" s="3" t="e">
        <f>(HYPERLINK("http://www.autodoc.ru/Web/price/art/6547LGDH3RQ?analog=on","6547LGDH3RQ"))*1</f>
        <v>#VALUE!</v>
      </c>
      <c r="B7171" s="1">
        <v>6992260</v>
      </c>
      <c r="C7171" t="s">
        <v>122</v>
      </c>
      <c r="D7171" t="s">
        <v>7366</v>
      </c>
      <c r="E7171" t="s">
        <v>10</v>
      </c>
    </row>
    <row r="7172" spans="1:5" hidden="1" outlineLevel="2">
      <c r="A7172" s="3" t="e">
        <f>(HYPERLINK("http://www.autodoc.ru/Web/price/art/6547LGSH3FD?analog=on","6547LGSH3FD"))*1</f>
        <v>#VALUE!</v>
      </c>
      <c r="B7172" s="1">
        <v>6991889</v>
      </c>
      <c r="C7172" t="s">
        <v>904</v>
      </c>
      <c r="D7172" t="s">
        <v>7367</v>
      </c>
      <c r="E7172" t="s">
        <v>10</v>
      </c>
    </row>
    <row r="7173" spans="1:5" hidden="1" outlineLevel="2">
      <c r="A7173" s="3" t="e">
        <f>(HYPERLINK("http://www.autodoc.ru/Web/price/art/6547LGSH3FQV?analog=on","6547LGSH3FQV"))*1</f>
        <v>#VALUE!</v>
      </c>
      <c r="B7173" s="1">
        <v>6992254</v>
      </c>
      <c r="C7173" t="s">
        <v>904</v>
      </c>
      <c r="D7173" t="s">
        <v>7368</v>
      </c>
      <c r="E7173" t="s">
        <v>10</v>
      </c>
    </row>
    <row r="7174" spans="1:5" hidden="1" outlineLevel="2">
      <c r="A7174" s="3" t="e">
        <f>(HYPERLINK("http://www.autodoc.ru/Web/price/art/6547LGSH3RQ?analog=on","6547LGSH3RQ"))*1</f>
        <v>#VALUE!</v>
      </c>
      <c r="B7174" s="1">
        <v>6992261</v>
      </c>
      <c r="C7174" t="s">
        <v>904</v>
      </c>
      <c r="D7174" t="s">
        <v>7369</v>
      </c>
      <c r="E7174" t="s">
        <v>10</v>
      </c>
    </row>
    <row r="7175" spans="1:5" hidden="1" outlineLevel="2">
      <c r="A7175" s="3" t="e">
        <f>(HYPERLINK("http://www.autodoc.ru/Web/price/art/6547LGSH3RQ1J?analog=on","6547LGSH3RQ1J"))*1</f>
        <v>#VALUE!</v>
      </c>
      <c r="B7175" s="1">
        <v>6991888</v>
      </c>
      <c r="C7175" t="s">
        <v>904</v>
      </c>
      <c r="D7175" t="s">
        <v>7370</v>
      </c>
      <c r="E7175" t="s">
        <v>10</v>
      </c>
    </row>
    <row r="7176" spans="1:5" hidden="1" outlineLevel="2">
      <c r="A7176" s="3" t="e">
        <f>(HYPERLINK("http://www.autodoc.ru/Web/price/art/6547LYPH3RQ1J?analog=on","6547LYPH3RQ1J"))*1</f>
        <v>#VALUE!</v>
      </c>
      <c r="B7176" s="1">
        <v>6993194</v>
      </c>
      <c r="C7176" t="s">
        <v>904</v>
      </c>
      <c r="D7176" t="s">
        <v>7371</v>
      </c>
      <c r="E7176" t="s">
        <v>10</v>
      </c>
    </row>
    <row r="7177" spans="1:5" hidden="1" outlineLevel="2">
      <c r="A7177" s="3" t="e">
        <f>(HYPERLINK("http://www.autodoc.ru/Web/price/art/6547RGDH3RQ?analog=on","6547RGDH3RQ"))*1</f>
        <v>#VALUE!</v>
      </c>
      <c r="B7177" s="1">
        <v>6992258</v>
      </c>
      <c r="C7177" t="s">
        <v>122</v>
      </c>
      <c r="D7177" t="s">
        <v>7372</v>
      </c>
      <c r="E7177" t="s">
        <v>10</v>
      </c>
    </row>
    <row r="7178" spans="1:5" hidden="1" outlineLevel="2">
      <c r="A7178" s="3" t="e">
        <f>(HYPERLINK("http://www.autodoc.ru/Web/price/art/6547RGSH3FD?analog=on","6547RGSH3FD"))*1</f>
        <v>#VALUE!</v>
      </c>
      <c r="B7178" s="1">
        <v>6991890</v>
      </c>
      <c r="C7178" t="s">
        <v>904</v>
      </c>
      <c r="D7178" t="s">
        <v>7373</v>
      </c>
      <c r="E7178" t="s">
        <v>10</v>
      </c>
    </row>
    <row r="7179" spans="1:5" hidden="1" outlineLevel="2">
      <c r="A7179" s="3" t="e">
        <f>(HYPERLINK("http://www.autodoc.ru/Web/price/art/6547RGSH3FQ?analog=on","6547RGSH3FQ"))*1</f>
        <v>#VALUE!</v>
      </c>
      <c r="B7179" s="1">
        <v>6992255</v>
      </c>
      <c r="C7179" t="s">
        <v>904</v>
      </c>
      <c r="D7179" t="s">
        <v>7374</v>
      </c>
      <c r="E7179" t="s">
        <v>10</v>
      </c>
    </row>
    <row r="7180" spans="1:5" hidden="1" outlineLevel="2">
      <c r="A7180" s="3" t="e">
        <f>(HYPERLINK("http://www.autodoc.ru/Web/price/art/6547RGSH3RQ?analog=on","6547RGSH3RQ"))*1</f>
        <v>#VALUE!</v>
      </c>
      <c r="B7180" s="1">
        <v>6992262</v>
      </c>
      <c r="C7180" t="s">
        <v>904</v>
      </c>
      <c r="D7180" t="s">
        <v>7375</v>
      </c>
      <c r="E7180" t="s">
        <v>10</v>
      </c>
    </row>
    <row r="7181" spans="1:5" hidden="1" outlineLevel="2">
      <c r="A7181" s="3" t="e">
        <f>(HYPERLINK("http://www.autodoc.ru/Web/price/art/6547RGSH3RQ1J?analog=on","6547RGSH3RQ1J"))*1</f>
        <v>#VALUE!</v>
      </c>
      <c r="B7181" s="1">
        <v>6991887</v>
      </c>
      <c r="C7181" t="s">
        <v>904</v>
      </c>
      <c r="D7181" t="s">
        <v>7376</v>
      </c>
      <c r="E7181" t="s">
        <v>10</v>
      </c>
    </row>
    <row r="7182" spans="1:5" hidden="1" outlineLevel="2">
      <c r="A7182" s="3" t="e">
        <f>(HYPERLINK("http://www.autodoc.ru/Web/price/art/6547RYPH3RQ1J?analog=on","6547RYPH3RQ1J"))*1</f>
        <v>#VALUE!</v>
      </c>
      <c r="B7182" s="1">
        <v>6993193</v>
      </c>
      <c r="C7182" t="s">
        <v>904</v>
      </c>
      <c r="D7182" t="s">
        <v>7377</v>
      </c>
      <c r="E7182" t="s">
        <v>10</v>
      </c>
    </row>
    <row r="7183" spans="1:5" hidden="1" outlineLevel="1">
      <c r="A7183" s="2">
        <v>0</v>
      </c>
      <c r="B7183" s="26" t="s">
        <v>7378</v>
      </c>
      <c r="C7183" s="27">
        <v>0</v>
      </c>
      <c r="D7183" s="27">
        <v>0</v>
      </c>
      <c r="E7183" s="27">
        <v>0</v>
      </c>
    </row>
    <row r="7184" spans="1:5" hidden="1" outlineLevel="2">
      <c r="A7184" s="3" t="e">
        <f>(HYPERLINK("http://www.autodoc.ru/Web/price/art/6560AGAMVW1B?analog=on","6560AGAMVW1B"))*1</f>
        <v>#VALUE!</v>
      </c>
      <c r="B7184" s="1">
        <v>6962358</v>
      </c>
      <c r="C7184" t="s">
        <v>211</v>
      </c>
      <c r="D7184" t="s">
        <v>7379</v>
      </c>
      <c r="E7184" t="s">
        <v>8</v>
      </c>
    </row>
    <row r="7185" spans="1:5" hidden="1" outlineLevel="2">
      <c r="A7185" s="3" t="e">
        <f>(HYPERLINK("http://www.autodoc.ru/Web/price/art/6560AGAVW?analog=on","6560AGAVW"))*1</f>
        <v>#VALUE!</v>
      </c>
      <c r="B7185" s="1">
        <v>6963187</v>
      </c>
      <c r="C7185" t="s">
        <v>211</v>
      </c>
      <c r="D7185" t="s">
        <v>7380</v>
      </c>
      <c r="E7185" t="s">
        <v>8</v>
      </c>
    </row>
    <row r="7186" spans="1:5" hidden="1" outlineLevel="1">
      <c r="A7186" s="2">
        <v>0</v>
      </c>
      <c r="B7186" s="26" t="s">
        <v>7381</v>
      </c>
      <c r="C7186" s="27">
        <v>0</v>
      </c>
      <c r="D7186" s="27">
        <v>0</v>
      </c>
      <c r="E7186" s="27">
        <v>0</v>
      </c>
    </row>
    <row r="7187" spans="1:5" hidden="1" outlineLevel="2">
      <c r="A7187" s="3" t="e">
        <f>(HYPERLINK("http://www.autodoc.ru/Web/price/art/6557AGSV?analog=on","6557AGSV"))*1</f>
        <v>#VALUE!</v>
      </c>
      <c r="B7187" s="1">
        <v>6190916</v>
      </c>
      <c r="C7187" t="s">
        <v>366</v>
      </c>
      <c r="D7187" t="s">
        <v>7382</v>
      </c>
      <c r="E7187" t="s">
        <v>8</v>
      </c>
    </row>
    <row r="7188" spans="1:5" hidden="1" outlineLevel="1">
      <c r="A7188" s="2">
        <v>0</v>
      </c>
      <c r="B7188" s="26" t="s">
        <v>7383</v>
      </c>
      <c r="C7188" s="27">
        <v>0</v>
      </c>
      <c r="D7188" s="27">
        <v>0</v>
      </c>
      <c r="E7188" s="27">
        <v>0</v>
      </c>
    </row>
    <row r="7189" spans="1:5" hidden="1" outlineLevel="2">
      <c r="A7189" s="3" t="e">
        <f>(HYPERLINK("http://www.autodoc.ru/Web/price/art/6523ACL1B?analog=on","6523ACL1B"))*1</f>
        <v>#VALUE!</v>
      </c>
      <c r="B7189" s="1">
        <v>6190651</v>
      </c>
      <c r="C7189" t="s">
        <v>411</v>
      </c>
      <c r="D7189" t="s">
        <v>7384</v>
      </c>
      <c r="E7189" t="s">
        <v>8</v>
      </c>
    </row>
    <row r="7190" spans="1:5" hidden="1" outlineLevel="2">
      <c r="A7190" s="3" t="e">
        <f>(HYPERLINK("http://www.autodoc.ru/Web/price/art/6523AGN1B?analog=on","6523AGN1B"))*1</f>
        <v>#VALUE!</v>
      </c>
      <c r="B7190" s="1">
        <v>6190652</v>
      </c>
      <c r="C7190" t="s">
        <v>411</v>
      </c>
      <c r="D7190" t="s">
        <v>7385</v>
      </c>
      <c r="E7190" t="s">
        <v>8</v>
      </c>
    </row>
    <row r="7191" spans="1:5" hidden="1" outlineLevel="2">
      <c r="A7191" s="3" t="e">
        <f>(HYPERLINK("http://www.autodoc.ru/Web/price/art/6523AGNGN1B?analog=on","6523AGNGN1B"))*1</f>
        <v>#VALUE!</v>
      </c>
      <c r="B7191" s="1">
        <v>6190654</v>
      </c>
      <c r="C7191" t="s">
        <v>411</v>
      </c>
      <c r="D7191" t="s">
        <v>7386</v>
      </c>
      <c r="E7191" t="s">
        <v>8</v>
      </c>
    </row>
    <row r="7192" spans="1:5" hidden="1" outlineLevel="2">
      <c r="A7192" s="3" t="e">
        <f>(HYPERLINK("http://www.autodoc.ru/Web/price/art/2722ASMV?analog=on","2722ASMV"))*1</f>
        <v>#VALUE!</v>
      </c>
      <c r="B7192" s="1">
        <v>6101284</v>
      </c>
      <c r="C7192" t="s">
        <v>19</v>
      </c>
      <c r="D7192" t="s">
        <v>7387</v>
      </c>
      <c r="E7192" t="s">
        <v>21</v>
      </c>
    </row>
    <row r="7193" spans="1:5" hidden="1" outlineLevel="2">
      <c r="A7193" s="3" t="e">
        <f>(HYPERLINK("http://www.autodoc.ru/Web/price/art/6523BCLVRU?analog=on","6523BCLVRU"))*1</f>
        <v>#VALUE!</v>
      </c>
      <c r="B7193" s="1">
        <v>6190756</v>
      </c>
      <c r="C7193" t="s">
        <v>1471</v>
      </c>
      <c r="D7193" t="s">
        <v>7388</v>
      </c>
      <c r="E7193" t="s">
        <v>23</v>
      </c>
    </row>
    <row r="7194" spans="1:5" hidden="1" outlineLevel="2">
      <c r="A7194" s="3" t="e">
        <f>(HYPERLINK("http://www.autodoc.ru/Web/price/art/6523LCLV2FD?analog=on","6523LCLV2FD"))*1</f>
        <v>#VALUE!</v>
      </c>
      <c r="B7194" s="1">
        <v>6190655</v>
      </c>
      <c r="C7194" t="s">
        <v>1471</v>
      </c>
      <c r="D7194" t="s">
        <v>7389</v>
      </c>
      <c r="E7194" t="s">
        <v>10</v>
      </c>
    </row>
    <row r="7195" spans="1:5" hidden="1" outlineLevel="2">
      <c r="A7195" s="3" t="e">
        <f>(HYPERLINK("http://www.autodoc.ru/Web/price/art/6523LCLV2FV?analog=on","6523LCLV2FV"))*1</f>
        <v>#VALUE!</v>
      </c>
      <c r="B7195" s="1">
        <v>6190656</v>
      </c>
      <c r="C7195" t="s">
        <v>1471</v>
      </c>
      <c r="D7195" t="s">
        <v>7390</v>
      </c>
      <c r="E7195" t="s">
        <v>10</v>
      </c>
    </row>
    <row r="7196" spans="1:5" hidden="1" outlineLevel="2">
      <c r="A7196" s="3" t="e">
        <f>(HYPERLINK("http://www.autodoc.ru/Web/price/art/6523LGNV2FD?analog=on","6523LGNV2FD"))*1</f>
        <v>#VALUE!</v>
      </c>
      <c r="B7196" s="1">
        <v>6190657</v>
      </c>
      <c r="C7196" t="s">
        <v>1471</v>
      </c>
      <c r="D7196" t="s">
        <v>7391</v>
      </c>
      <c r="E7196" t="s">
        <v>10</v>
      </c>
    </row>
    <row r="7197" spans="1:5" hidden="1" outlineLevel="2">
      <c r="A7197" s="3" t="e">
        <f>(HYPERLINK("http://www.autodoc.ru/Web/price/art/6523RCLV2FD?analog=on","6523RCLV2FD"))*1</f>
        <v>#VALUE!</v>
      </c>
      <c r="B7197" s="1">
        <v>6190659</v>
      </c>
      <c r="C7197" t="s">
        <v>1471</v>
      </c>
      <c r="D7197" t="s">
        <v>7392</v>
      </c>
      <c r="E7197" t="s">
        <v>10</v>
      </c>
    </row>
    <row r="7198" spans="1:5" hidden="1" outlineLevel="2">
      <c r="A7198" s="3" t="e">
        <f>(HYPERLINK("http://www.autodoc.ru/Web/price/art/6523RGNV2FD?analog=on","6523RGNV2FD"))*1</f>
        <v>#VALUE!</v>
      </c>
      <c r="B7198" s="1">
        <v>6190661</v>
      </c>
      <c r="C7198" t="s">
        <v>1471</v>
      </c>
      <c r="D7198" t="s">
        <v>7393</v>
      </c>
      <c r="E7198" t="s">
        <v>10</v>
      </c>
    </row>
    <row r="7199" spans="1:5" hidden="1" outlineLevel="1">
      <c r="A7199" s="2">
        <v>0</v>
      </c>
      <c r="B7199" s="26" t="s">
        <v>7394</v>
      </c>
      <c r="C7199" s="27">
        <v>0</v>
      </c>
      <c r="D7199" s="27">
        <v>0</v>
      </c>
      <c r="E7199" s="27">
        <v>0</v>
      </c>
    </row>
    <row r="7200" spans="1:5" hidden="1" outlineLevel="2">
      <c r="A7200" s="3" t="e">
        <f>(HYPERLINK("http://www.autodoc.ru/Web/price/art/6552ACCMVZ1B?analog=on","6552ACCMVZ1B"))*1</f>
        <v>#VALUE!</v>
      </c>
      <c r="B7200" s="1">
        <v>6190833</v>
      </c>
      <c r="C7200" t="s">
        <v>389</v>
      </c>
      <c r="D7200" t="s">
        <v>7395</v>
      </c>
      <c r="E7200" t="s">
        <v>8</v>
      </c>
    </row>
    <row r="7201" spans="1:5" hidden="1" outlineLevel="2">
      <c r="A7201" s="3" t="e">
        <f>(HYPERLINK("http://www.autodoc.ru/Web/price/art/6552ACCVZ?analog=on","6552ACCVZ"))*1</f>
        <v>#VALUE!</v>
      </c>
      <c r="B7201" s="1">
        <v>6190880</v>
      </c>
      <c r="C7201" t="s">
        <v>389</v>
      </c>
      <c r="D7201" t="s">
        <v>7396</v>
      </c>
      <c r="E7201" t="s">
        <v>8</v>
      </c>
    </row>
    <row r="7202" spans="1:5" hidden="1" outlineLevel="2">
      <c r="A7202" s="3" t="e">
        <f>(HYPERLINK("http://www.autodoc.ru/Web/price/art/6552AGSMVZ1B?analog=on","6552AGSMVZ1B"))*1</f>
        <v>#VALUE!</v>
      </c>
      <c r="B7202" s="1">
        <v>6190835</v>
      </c>
      <c r="C7202" t="s">
        <v>389</v>
      </c>
      <c r="D7202" t="s">
        <v>7397</v>
      </c>
      <c r="E7202" t="s">
        <v>8</v>
      </c>
    </row>
    <row r="7203" spans="1:5" hidden="1" outlineLevel="2">
      <c r="A7203" s="3" t="e">
        <f>(HYPERLINK("http://www.autodoc.ru/Web/price/art/6552AGSVZ?analog=on","6552AGSVZ"))*1</f>
        <v>#VALUE!</v>
      </c>
      <c r="B7203" s="1">
        <v>6190836</v>
      </c>
      <c r="C7203" t="s">
        <v>389</v>
      </c>
      <c r="D7203" t="s">
        <v>7398</v>
      </c>
      <c r="E7203" t="s">
        <v>8</v>
      </c>
    </row>
    <row r="7204" spans="1:5" hidden="1" outlineLevel="2">
      <c r="A7204" s="3" t="e">
        <f>(HYPERLINK("http://www.autodoc.ru/Web/price/art/6552LGSV3FDW?analog=on","6552LGSV3FDW"))*1</f>
        <v>#VALUE!</v>
      </c>
      <c r="B7204" s="1">
        <v>6998584</v>
      </c>
      <c r="C7204" t="s">
        <v>389</v>
      </c>
      <c r="D7204" t="s">
        <v>7399</v>
      </c>
      <c r="E7204" t="s">
        <v>10</v>
      </c>
    </row>
    <row r="7205" spans="1:5" hidden="1" outlineLevel="2">
      <c r="A7205" s="3" t="e">
        <f>(HYPERLINK("http://www.autodoc.ru/Web/price/art/6552RGSV3FDW?analog=on","6552RGSV3FDW"))*1</f>
        <v>#VALUE!</v>
      </c>
      <c r="B7205" s="1">
        <v>6998585</v>
      </c>
      <c r="C7205" t="s">
        <v>389</v>
      </c>
      <c r="D7205" t="s">
        <v>7400</v>
      </c>
      <c r="E7205" t="s">
        <v>10</v>
      </c>
    </row>
    <row r="7206" spans="1:5" hidden="1" outlineLevel="1">
      <c r="A7206" s="2">
        <v>0</v>
      </c>
      <c r="B7206" s="26" t="s">
        <v>7401</v>
      </c>
      <c r="C7206" s="27">
        <v>0</v>
      </c>
      <c r="D7206" s="27">
        <v>0</v>
      </c>
      <c r="E7206" s="27">
        <v>0</v>
      </c>
    </row>
    <row r="7207" spans="1:5" hidden="1" outlineLevel="2">
      <c r="A7207" s="3" t="e">
        <f>(HYPERLINK("http://www.autodoc.ru/Web/price/art/6522ACC?analog=on","6522ACC"))*1</f>
        <v>#VALUE!</v>
      </c>
      <c r="B7207" s="1">
        <v>6960825</v>
      </c>
      <c r="C7207" t="s">
        <v>1491</v>
      </c>
      <c r="D7207" t="s">
        <v>7402</v>
      </c>
      <c r="E7207" t="s">
        <v>8</v>
      </c>
    </row>
    <row r="7208" spans="1:5" hidden="1" outlineLevel="2">
      <c r="A7208" s="3" t="e">
        <f>(HYPERLINK("http://www.autodoc.ru/Web/price/art/6522ACL?analog=on","6522ACL"))*1</f>
        <v>#VALUE!</v>
      </c>
      <c r="B7208" s="1">
        <v>6190627</v>
      </c>
      <c r="C7208" t="s">
        <v>1491</v>
      </c>
      <c r="D7208" t="s">
        <v>7403</v>
      </c>
      <c r="E7208" t="s">
        <v>8</v>
      </c>
    </row>
    <row r="7209" spans="1:5" hidden="1" outlineLevel="2">
      <c r="A7209" s="3" t="e">
        <f>(HYPERLINK("http://www.autodoc.ru/Web/price/art/6522AGS?analog=on","6522AGS"))*1</f>
        <v>#VALUE!</v>
      </c>
      <c r="B7209" s="1">
        <v>6190628</v>
      </c>
      <c r="C7209" t="s">
        <v>1491</v>
      </c>
      <c r="D7209" t="s">
        <v>7404</v>
      </c>
      <c r="E7209" t="s">
        <v>8</v>
      </c>
    </row>
    <row r="7210" spans="1:5" hidden="1" outlineLevel="2">
      <c r="A7210" s="3" t="e">
        <f>(HYPERLINK("http://www.autodoc.ru/Web/price/art/6522ASMV?analog=on","6522ASMV"))*1</f>
        <v>#VALUE!</v>
      </c>
      <c r="B7210" s="1">
        <v>6190629</v>
      </c>
      <c r="C7210" t="s">
        <v>19</v>
      </c>
      <c r="D7210" t="s">
        <v>7405</v>
      </c>
      <c r="E7210" t="s">
        <v>21</v>
      </c>
    </row>
    <row r="7211" spans="1:5" hidden="1" outlineLevel="2">
      <c r="A7211" s="3" t="e">
        <f>(HYPERLINK("http://www.autodoc.ru/Web/price/art/6522BCLVL?analog=on","6522BCLVL"))*1</f>
        <v>#VALUE!</v>
      </c>
      <c r="B7211" s="1">
        <v>6190630</v>
      </c>
      <c r="C7211" t="s">
        <v>1491</v>
      </c>
      <c r="D7211" t="s">
        <v>7406</v>
      </c>
      <c r="E7211" t="s">
        <v>23</v>
      </c>
    </row>
    <row r="7212" spans="1:5" hidden="1" outlineLevel="2">
      <c r="A7212" s="3" t="e">
        <f>(HYPERLINK("http://www.autodoc.ru/Web/price/art/6522BCLVLU?analog=on","6522BCLVLU"))*1</f>
        <v>#VALUE!</v>
      </c>
      <c r="B7212" s="1">
        <v>6190636</v>
      </c>
      <c r="C7212" t="s">
        <v>1491</v>
      </c>
      <c r="D7212" t="s">
        <v>7407</v>
      </c>
      <c r="E7212" t="s">
        <v>23</v>
      </c>
    </row>
    <row r="7213" spans="1:5" hidden="1" outlineLevel="2">
      <c r="A7213" s="3" t="e">
        <f>(HYPERLINK("http://www.autodoc.ru/Web/price/art/6522BCLVR?analog=on","6522BCLVR"))*1</f>
        <v>#VALUE!</v>
      </c>
      <c r="B7213" s="1">
        <v>6190632</v>
      </c>
      <c r="C7213" t="s">
        <v>1491</v>
      </c>
      <c r="D7213" t="s">
        <v>7408</v>
      </c>
      <c r="E7213" t="s">
        <v>23</v>
      </c>
    </row>
    <row r="7214" spans="1:5" hidden="1" outlineLevel="2">
      <c r="A7214" s="3" t="e">
        <f>(HYPERLINK("http://www.autodoc.ru/Web/price/art/6522BCLVRU?analog=on","6522BCLVRU"))*1</f>
        <v>#VALUE!</v>
      </c>
      <c r="B7214" s="1">
        <v>6190633</v>
      </c>
      <c r="C7214" t="s">
        <v>1491</v>
      </c>
      <c r="D7214" t="s">
        <v>7409</v>
      </c>
      <c r="E7214" t="s">
        <v>23</v>
      </c>
    </row>
    <row r="7215" spans="1:5" hidden="1" outlineLevel="2">
      <c r="A7215" s="3" t="e">
        <f>(HYPERLINK("http://www.autodoc.ru/Web/price/art/6522BGSVB?analog=on","6522BGSVB"))*1</f>
        <v>#VALUE!</v>
      </c>
      <c r="B7215" s="1">
        <v>6190634</v>
      </c>
      <c r="C7215" t="s">
        <v>1491</v>
      </c>
      <c r="D7215" t="s">
        <v>7410</v>
      </c>
      <c r="E7215" t="s">
        <v>23</v>
      </c>
    </row>
    <row r="7216" spans="1:5" hidden="1" outlineLevel="2">
      <c r="A7216" s="3" t="e">
        <f>(HYPERLINK("http://www.autodoc.ru/Web/price/art/6522BGSVL?analog=on","6522BGSVL"))*1</f>
        <v>#VALUE!</v>
      </c>
      <c r="B7216" s="1">
        <v>6190635</v>
      </c>
      <c r="C7216" t="s">
        <v>1491</v>
      </c>
      <c r="D7216" t="s">
        <v>7411</v>
      </c>
      <c r="E7216" t="s">
        <v>23</v>
      </c>
    </row>
    <row r="7217" spans="1:5" hidden="1" outlineLevel="2">
      <c r="A7217" s="3" t="e">
        <f>(HYPERLINK("http://www.autodoc.ru/Web/price/art/6522BGSVLU?analog=on","6522BGSVLU"))*1</f>
        <v>#VALUE!</v>
      </c>
      <c r="B7217" s="1">
        <v>6190631</v>
      </c>
      <c r="C7217" t="s">
        <v>1491</v>
      </c>
      <c r="D7217" t="s">
        <v>7412</v>
      </c>
      <c r="E7217" t="s">
        <v>23</v>
      </c>
    </row>
    <row r="7218" spans="1:5" hidden="1" outlineLevel="2">
      <c r="A7218" s="3" t="e">
        <f>(HYPERLINK("http://www.autodoc.ru/Web/price/art/6522BGSVR?analog=on","6522BGSVR"))*1</f>
        <v>#VALUE!</v>
      </c>
      <c r="B7218" s="1">
        <v>6190637</v>
      </c>
      <c r="C7218" t="s">
        <v>1491</v>
      </c>
      <c r="D7218" t="s">
        <v>7413</v>
      </c>
      <c r="E7218" t="s">
        <v>23</v>
      </c>
    </row>
    <row r="7219" spans="1:5" hidden="1" outlineLevel="2">
      <c r="A7219" s="3" t="e">
        <f>(HYPERLINK("http://www.autodoc.ru/Web/price/art/6522BGSVRU?analog=on","6522BGSVRU"))*1</f>
        <v>#VALUE!</v>
      </c>
      <c r="B7219" s="1">
        <v>6190638</v>
      </c>
      <c r="C7219" t="s">
        <v>1491</v>
      </c>
      <c r="D7219" t="s">
        <v>7414</v>
      </c>
      <c r="E7219" t="s">
        <v>23</v>
      </c>
    </row>
    <row r="7220" spans="1:5" hidden="1" outlineLevel="2">
      <c r="A7220" s="3" t="e">
        <f>(HYPERLINK("http://www.autodoc.ru/Web/price/art/6522LCLV5FD?analog=on","6522LCLV5FD"))*1</f>
        <v>#VALUE!</v>
      </c>
      <c r="B7220" s="1">
        <v>6190639</v>
      </c>
      <c r="C7220" t="s">
        <v>1491</v>
      </c>
      <c r="D7220" t="s">
        <v>7415</v>
      </c>
      <c r="E7220" t="s">
        <v>10</v>
      </c>
    </row>
    <row r="7221" spans="1:5" hidden="1" outlineLevel="2">
      <c r="A7221" s="3" t="e">
        <f>(HYPERLINK("http://www.autodoc.ru/Web/price/art/6522LCLV5FQ?analog=on","6522LCLV5FQ"))*1</f>
        <v>#VALUE!</v>
      </c>
      <c r="B7221" s="1">
        <v>6190640</v>
      </c>
      <c r="C7221" t="s">
        <v>1491</v>
      </c>
      <c r="D7221" t="s">
        <v>7416</v>
      </c>
      <c r="E7221" t="s">
        <v>10</v>
      </c>
    </row>
    <row r="7222" spans="1:5" hidden="1" outlineLevel="2">
      <c r="A7222" s="3" t="e">
        <f>(HYPERLINK("http://www.autodoc.ru/Web/price/art/6522LGSV5FQ?analog=on","6522LGSV5FQ"))*1</f>
        <v>#VALUE!</v>
      </c>
      <c r="B7222" s="1">
        <v>6190643</v>
      </c>
      <c r="C7222" t="s">
        <v>1491</v>
      </c>
      <c r="D7222" t="s">
        <v>7417</v>
      </c>
      <c r="E7222" t="s">
        <v>10</v>
      </c>
    </row>
    <row r="7223" spans="1:5" hidden="1" outlineLevel="2">
      <c r="A7223" s="3" t="e">
        <f>(HYPERLINK("http://www.autodoc.ru/Web/price/art/6522RCLV5FD?analog=on","6522RCLV5FD"))*1</f>
        <v>#VALUE!</v>
      </c>
      <c r="B7223" s="1">
        <v>6190645</v>
      </c>
      <c r="C7223" t="s">
        <v>1491</v>
      </c>
      <c r="D7223" t="s">
        <v>7418</v>
      </c>
      <c r="E7223" t="s">
        <v>10</v>
      </c>
    </row>
    <row r="7224" spans="1:5" hidden="1" outlineLevel="2">
      <c r="A7224" s="3" t="e">
        <f>(HYPERLINK("http://www.autodoc.ru/Web/price/art/6522RCLV5FQ?analog=on","6522RCLV5FQ"))*1</f>
        <v>#VALUE!</v>
      </c>
      <c r="B7224" s="1">
        <v>6190646</v>
      </c>
      <c r="C7224" t="s">
        <v>1491</v>
      </c>
      <c r="D7224" t="s">
        <v>7419</v>
      </c>
      <c r="E7224" t="s">
        <v>10</v>
      </c>
    </row>
    <row r="7225" spans="1:5" hidden="1" outlineLevel="2">
      <c r="A7225" s="3" t="e">
        <f>(HYPERLINK("http://www.autodoc.ru/Web/price/art/6522RGSV5FQ?analog=on","6522RGSV5FQ"))*1</f>
        <v>#VALUE!</v>
      </c>
      <c r="B7225" s="1">
        <v>6190649</v>
      </c>
      <c r="C7225" t="s">
        <v>1491</v>
      </c>
      <c r="D7225" t="s">
        <v>7420</v>
      </c>
      <c r="E7225" t="s">
        <v>10</v>
      </c>
    </row>
    <row r="7226" spans="1:5" hidden="1" outlineLevel="1">
      <c r="A7226" s="2">
        <v>0</v>
      </c>
      <c r="B7226" s="26" t="s">
        <v>7421</v>
      </c>
      <c r="C7226" s="27">
        <v>0</v>
      </c>
      <c r="D7226" s="27">
        <v>0</v>
      </c>
      <c r="E7226" s="27">
        <v>0</v>
      </c>
    </row>
    <row r="7227" spans="1:5" hidden="1" outlineLevel="2">
      <c r="A7227" s="3" t="e">
        <f>(HYPERLINK("http://www.autodoc.ru/Web/price/art/6553ACCMVZ1P?analog=on","6553ACCMVZ1P"))*1</f>
        <v>#VALUE!</v>
      </c>
      <c r="B7227" s="1">
        <v>6961132</v>
      </c>
      <c r="C7227" t="s">
        <v>389</v>
      </c>
      <c r="D7227" t="s">
        <v>7422</v>
      </c>
      <c r="E7227" t="s">
        <v>8</v>
      </c>
    </row>
    <row r="7228" spans="1:5" hidden="1" outlineLevel="2">
      <c r="A7228" s="3" t="e">
        <f>(HYPERLINK("http://www.autodoc.ru/Web/price/art/6553ACCVZ?analog=on","6553ACCVZ"))*1</f>
        <v>#VALUE!</v>
      </c>
      <c r="B7228" s="1">
        <v>6961131</v>
      </c>
      <c r="C7228" t="s">
        <v>389</v>
      </c>
      <c r="D7228" t="s">
        <v>7423</v>
      </c>
      <c r="E7228" t="s">
        <v>8</v>
      </c>
    </row>
    <row r="7229" spans="1:5" hidden="1" outlineLevel="2">
      <c r="A7229" s="3" t="e">
        <f>(HYPERLINK("http://www.autodoc.ru/Web/price/art/6553AGSMVZ1P?analog=on","6553AGSMVZ1P"))*1</f>
        <v>#VALUE!</v>
      </c>
      <c r="B7229" s="1">
        <v>6961130</v>
      </c>
      <c r="C7229" t="s">
        <v>389</v>
      </c>
      <c r="D7229" t="s">
        <v>7424</v>
      </c>
      <c r="E7229" t="s">
        <v>8</v>
      </c>
    </row>
    <row r="7230" spans="1:5" hidden="1" outlineLevel="2">
      <c r="A7230" s="3" t="e">
        <f>(HYPERLINK("http://www.autodoc.ru/Web/price/art/6553AGSVZ?analog=on","6553AGSVZ"))*1</f>
        <v>#VALUE!</v>
      </c>
      <c r="B7230" s="1">
        <v>6961133</v>
      </c>
      <c r="C7230" t="s">
        <v>389</v>
      </c>
      <c r="D7230" t="s">
        <v>7425</v>
      </c>
      <c r="E7230" t="s">
        <v>8</v>
      </c>
    </row>
    <row r="7231" spans="1:5" hidden="1" outlineLevel="2">
      <c r="A7231" s="3" t="e">
        <f>(HYPERLINK("http://www.autodoc.ru/Web/price/art/6553BGDVB?analog=on","6553BGDVB"))*1</f>
        <v>#VALUE!</v>
      </c>
      <c r="B7231" s="1">
        <v>6993610</v>
      </c>
      <c r="C7231" t="s">
        <v>389</v>
      </c>
      <c r="D7231" t="s">
        <v>7426</v>
      </c>
      <c r="E7231" t="s">
        <v>23</v>
      </c>
    </row>
    <row r="7232" spans="1:5" hidden="1" outlineLevel="2">
      <c r="A7232" s="3" t="e">
        <f>(HYPERLINK("http://www.autodoc.ru/Web/price/art/6553BGSVB?analog=on","6553BGSVB"))*1</f>
        <v>#VALUE!</v>
      </c>
      <c r="B7232" s="1">
        <v>6993611</v>
      </c>
      <c r="C7232" t="s">
        <v>389</v>
      </c>
      <c r="D7232" t="s">
        <v>7427</v>
      </c>
      <c r="E7232" t="s">
        <v>23</v>
      </c>
    </row>
    <row r="7233" spans="1:5" hidden="1" outlineLevel="2">
      <c r="A7233" s="3" t="e">
        <f>(HYPERLINK("http://www.autodoc.ru/Web/price/art/6553BGSVL?analog=on","6553BGSVL"))*1</f>
        <v>#VALUE!</v>
      </c>
      <c r="B7233" s="1">
        <v>6993549</v>
      </c>
      <c r="C7233" t="s">
        <v>389</v>
      </c>
      <c r="D7233" t="s">
        <v>7428</v>
      </c>
      <c r="E7233" t="s">
        <v>23</v>
      </c>
    </row>
    <row r="7234" spans="1:5" hidden="1" outlineLevel="2">
      <c r="A7234" s="3" t="e">
        <f>(HYPERLINK("http://www.autodoc.ru/Web/price/art/6553BGSVLU?analog=on","6553BGSVLU"))*1</f>
        <v>#VALUE!</v>
      </c>
      <c r="B7234" s="1">
        <v>6993802</v>
      </c>
      <c r="C7234" t="s">
        <v>389</v>
      </c>
      <c r="D7234" t="s">
        <v>7429</v>
      </c>
      <c r="E7234" t="s">
        <v>23</v>
      </c>
    </row>
    <row r="7235" spans="1:5" hidden="1" outlineLevel="2">
      <c r="A7235" s="3" t="e">
        <f>(HYPERLINK("http://www.autodoc.ru/Web/price/art/6553BGSVR?analog=on","6553BGSVR"))*1</f>
        <v>#VALUE!</v>
      </c>
      <c r="B7235" s="1">
        <v>6993548</v>
      </c>
      <c r="C7235" t="s">
        <v>389</v>
      </c>
      <c r="D7235" t="s">
        <v>7430</v>
      </c>
      <c r="E7235" t="s">
        <v>23</v>
      </c>
    </row>
    <row r="7236" spans="1:5" hidden="1" outlineLevel="2">
      <c r="A7236" s="3" t="e">
        <f>(HYPERLINK("http://www.autodoc.ru/Web/price/art/6553BGSVRU?analog=on","6553BGSVRU"))*1</f>
        <v>#VALUE!</v>
      </c>
      <c r="B7236" s="1">
        <v>6993801</v>
      </c>
      <c r="C7236" t="s">
        <v>389</v>
      </c>
      <c r="D7236" t="s">
        <v>7431</v>
      </c>
      <c r="E7236" t="s">
        <v>23</v>
      </c>
    </row>
    <row r="7237" spans="1:5" hidden="1" outlineLevel="2">
      <c r="A7237" s="3" t="e">
        <f>(HYPERLINK("http://www.autodoc.ru/Web/price/art/6553LGDV5RQ?analog=on","6553LGDV5RQ"))*1</f>
        <v>#VALUE!</v>
      </c>
      <c r="B7237" s="1">
        <v>6993377</v>
      </c>
      <c r="C7237" t="s">
        <v>389</v>
      </c>
      <c r="D7237" t="s">
        <v>7432</v>
      </c>
      <c r="E7237" t="s">
        <v>10</v>
      </c>
    </row>
    <row r="7238" spans="1:5" hidden="1" outlineLevel="2">
      <c r="A7238" s="3" t="e">
        <f>(HYPERLINK("http://www.autodoc.ru/Web/price/art/6553LGDV5RQ1J?analog=on","6553LGDV5RQ1J"))*1</f>
        <v>#VALUE!</v>
      </c>
      <c r="B7238" s="1">
        <v>6993381</v>
      </c>
      <c r="C7238" t="s">
        <v>389</v>
      </c>
      <c r="D7238" t="s">
        <v>7433</v>
      </c>
      <c r="E7238" t="s">
        <v>10</v>
      </c>
    </row>
    <row r="7239" spans="1:5" hidden="1" outlineLevel="2">
      <c r="A7239" s="3" t="e">
        <f>(HYPERLINK("http://www.autodoc.ru/Web/price/art/6553LGPV5RD?analog=on","6553LGPV5RD"))*1</f>
        <v>#VALUE!</v>
      </c>
      <c r="B7239" s="1">
        <v>6993826</v>
      </c>
      <c r="C7239" t="s">
        <v>389</v>
      </c>
      <c r="D7239" t="s">
        <v>7434</v>
      </c>
      <c r="E7239" t="s">
        <v>10</v>
      </c>
    </row>
    <row r="7240" spans="1:5" hidden="1" outlineLevel="2">
      <c r="A7240" s="3" t="e">
        <f>(HYPERLINK("http://www.autodoc.ru/Web/price/art/6553LGSV5FD?analog=on","6553LGSV5FD"))*1</f>
        <v>#VALUE!</v>
      </c>
      <c r="B7240" s="1">
        <v>6993753</v>
      </c>
      <c r="C7240" t="s">
        <v>389</v>
      </c>
      <c r="D7240" t="s">
        <v>7435</v>
      </c>
      <c r="E7240" t="s">
        <v>10</v>
      </c>
    </row>
    <row r="7241" spans="1:5" hidden="1" outlineLevel="2">
      <c r="A7241" s="3" t="e">
        <f>(HYPERLINK("http://www.autodoc.ru/Web/price/art/6553LGSV5RD?analog=on","6553LGSV5RD"))*1</f>
        <v>#VALUE!</v>
      </c>
      <c r="B7241" s="1">
        <v>6993371</v>
      </c>
      <c r="C7241" t="s">
        <v>389</v>
      </c>
      <c r="D7241" t="s">
        <v>7436</v>
      </c>
      <c r="E7241" t="s">
        <v>10</v>
      </c>
    </row>
    <row r="7242" spans="1:5" hidden="1" outlineLevel="2">
      <c r="A7242" s="3" t="e">
        <f>(HYPERLINK("http://www.autodoc.ru/Web/price/art/6553LGSV5RQ?analog=on","6553LGSV5RQ"))*1</f>
        <v>#VALUE!</v>
      </c>
      <c r="B7242" s="1">
        <v>6993375</v>
      </c>
      <c r="C7242" t="s">
        <v>389</v>
      </c>
      <c r="D7242" t="s">
        <v>7437</v>
      </c>
      <c r="E7242" t="s">
        <v>10</v>
      </c>
    </row>
    <row r="7243" spans="1:5" hidden="1" outlineLevel="2">
      <c r="A7243" s="3" t="e">
        <f>(HYPERLINK("http://www.autodoc.ru/Web/price/art/6553LGSV5RQ1J?analog=on","6553LGSV5RQ1J"))*1</f>
        <v>#VALUE!</v>
      </c>
      <c r="B7243" s="1">
        <v>6993379</v>
      </c>
      <c r="C7243" t="s">
        <v>389</v>
      </c>
      <c r="D7243" t="s">
        <v>7438</v>
      </c>
      <c r="E7243" t="s">
        <v>10</v>
      </c>
    </row>
    <row r="7244" spans="1:5" hidden="1" outlineLevel="2">
      <c r="A7244" s="3" t="e">
        <f>(HYPERLINK("http://www.autodoc.ru/Web/price/art/6553RGDV5RQ?analog=on","6553RGDV5RQ"))*1</f>
        <v>#VALUE!</v>
      </c>
      <c r="B7244" s="1">
        <v>6993376</v>
      </c>
      <c r="C7244" t="s">
        <v>389</v>
      </c>
      <c r="D7244" t="s">
        <v>7439</v>
      </c>
      <c r="E7244" t="s">
        <v>10</v>
      </c>
    </row>
    <row r="7245" spans="1:5" hidden="1" outlineLevel="2">
      <c r="A7245" s="3" t="e">
        <f>(HYPERLINK("http://www.autodoc.ru/Web/price/art/6553RGDV5RQ1J?analog=on","6553RGDV5RQ1J"))*1</f>
        <v>#VALUE!</v>
      </c>
      <c r="B7245" s="1">
        <v>6993380</v>
      </c>
      <c r="C7245" t="s">
        <v>389</v>
      </c>
      <c r="D7245" t="s">
        <v>7440</v>
      </c>
      <c r="E7245" t="s">
        <v>10</v>
      </c>
    </row>
    <row r="7246" spans="1:5" hidden="1" outlineLevel="2">
      <c r="A7246" s="3" t="e">
        <f>(HYPERLINK("http://www.autodoc.ru/Web/price/art/6553RGPV5RD?analog=on","6553RGPV5RD"))*1</f>
        <v>#VALUE!</v>
      </c>
      <c r="B7246" s="1">
        <v>6993825</v>
      </c>
      <c r="C7246" t="s">
        <v>389</v>
      </c>
      <c r="D7246" t="s">
        <v>7441</v>
      </c>
      <c r="E7246" t="s">
        <v>10</v>
      </c>
    </row>
    <row r="7247" spans="1:5" hidden="1" outlineLevel="2">
      <c r="A7247" s="3" t="e">
        <f>(HYPERLINK("http://www.autodoc.ru/Web/price/art/6553RGSV5FD?analog=on","6553RGSV5FD"))*1</f>
        <v>#VALUE!</v>
      </c>
      <c r="B7247" s="1">
        <v>6993752</v>
      </c>
      <c r="C7247" t="s">
        <v>389</v>
      </c>
      <c r="D7247" t="s">
        <v>7442</v>
      </c>
      <c r="E7247" t="s">
        <v>10</v>
      </c>
    </row>
    <row r="7248" spans="1:5" hidden="1" outlineLevel="2">
      <c r="A7248" s="3" t="e">
        <f>(HYPERLINK("http://www.autodoc.ru/Web/price/art/6553RGSV5RD?analog=on","6553RGSV5RD"))*1</f>
        <v>#VALUE!</v>
      </c>
      <c r="B7248" s="1">
        <v>6993370</v>
      </c>
      <c r="C7248" t="s">
        <v>389</v>
      </c>
      <c r="D7248" t="s">
        <v>7443</v>
      </c>
      <c r="E7248" t="s">
        <v>10</v>
      </c>
    </row>
    <row r="7249" spans="1:5" hidden="1" outlineLevel="2">
      <c r="A7249" s="3" t="e">
        <f>(HYPERLINK("http://www.autodoc.ru/Web/price/art/6553RGSV5RQ?analog=on","6553RGSV5RQ"))*1</f>
        <v>#VALUE!</v>
      </c>
      <c r="B7249" s="1">
        <v>6993374</v>
      </c>
      <c r="C7249" t="s">
        <v>389</v>
      </c>
      <c r="D7249" t="s">
        <v>7444</v>
      </c>
      <c r="E7249" t="s">
        <v>10</v>
      </c>
    </row>
    <row r="7250" spans="1:5" hidden="1" outlineLevel="2">
      <c r="A7250" s="3" t="e">
        <f>(HYPERLINK("http://www.autodoc.ru/Web/price/art/6553RGSV5RQ1J?analog=on","6553RGSV5RQ1J"))*1</f>
        <v>#VALUE!</v>
      </c>
      <c r="B7250" s="1">
        <v>6993378</v>
      </c>
      <c r="C7250" t="s">
        <v>389</v>
      </c>
      <c r="D7250" t="s">
        <v>7445</v>
      </c>
      <c r="E7250" t="s">
        <v>10</v>
      </c>
    </row>
    <row r="7251" spans="1:5" hidden="1" outlineLevel="1">
      <c r="A7251" s="2">
        <v>0</v>
      </c>
      <c r="B7251" s="26" t="s">
        <v>7446</v>
      </c>
      <c r="C7251" s="27">
        <v>0</v>
      </c>
      <c r="D7251" s="27">
        <v>0</v>
      </c>
      <c r="E7251" s="27">
        <v>0</v>
      </c>
    </row>
    <row r="7252" spans="1:5" hidden="1" outlineLevel="2">
      <c r="A7252" s="3" t="e">
        <f>(HYPERLINK("http://www.autodoc.ru/Web/price/art/6537ACC1P?analog=on","6537ACC1P"))*1</f>
        <v>#VALUE!</v>
      </c>
      <c r="B7252" s="1">
        <v>6190902</v>
      </c>
      <c r="C7252" t="s">
        <v>753</v>
      </c>
      <c r="D7252" t="s">
        <v>7447</v>
      </c>
      <c r="E7252" t="s">
        <v>8</v>
      </c>
    </row>
    <row r="7253" spans="1:5" hidden="1" outlineLevel="2">
      <c r="A7253" s="3" t="e">
        <f>(HYPERLINK("http://www.autodoc.ru/Web/price/art/6537ACL?analog=on","6537ACL"))*1</f>
        <v>#VALUE!</v>
      </c>
      <c r="B7253" s="1">
        <v>6190055</v>
      </c>
      <c r="C7253" t="s">
        <v>1230</v>
      </c>
      <c r="D7253" t="s">
        <v>7448</v>
      </c>
      <c r="E7253" t="s">
        <v>8</v>
      </c>
    </row>
    <row r="7254" spans="1:5" hidden="1" outlineLevel="2">
      <c r="A7254" s="3" t="e">
        <f>(HYPERLINK("http://www.autodoc.ru/Web/price/art/6537ACL1P?analog=on","6537ACL1P"))*1</f>
        <v>#VALUE!</v>
      </c>
      <c r="B7254" s="1">
        <v>6190056</v>
      </c>
      <c r="C7254" t="s">
        <v>753</v>
      </c>
      <c r="D7254" t="s">
        <v>7449</v>
      </c>
      <c r="E7254" t="s">
        <v>8</v>
      </c>
    </row>
    <row r="7255" spans="1:5" hidden="1" outlineLevel="2">
      <c r="A7255" s="3" t="e">
        <f>(HYPERLINK("http://www.autodoc.ru/Web/price/art/6537AGN?analog=on","6537AGN"))*1</f>
        <v>#VALUE!</v>
      </c>
      <c r="B7255" s="1">
        <v>6190057</v>
      </c>
      <c r="C7255" t="s">
        <v>1230</v>
      </c>
      <c r="D7255" t="s">
        <v>7450</v>
      </c>
      <c r="E7255" t="s">
        <v>8</v>
      </c>
    </row>
    <row r="7256" spans="1:5" hidden="1" outlineLevel="2">
      <c r="A7256" s="3" t="e">
        <f>(HYPERLINK("http://www.autodoc.ru/Web/price/art/6537AGS1P?analog=on","6537AGS1P"))*1</f>
        <v>#VALUE!</v>
      </c>
      <c r="B7256" s="1">
        <v>6190058</v>
      </c>
      <c r="C7256" t="s">
        <v>753</v>
      </c>
      <c r="D7256" t="s">
        <v>7451</v>
      </c>
      <c r="E7256" t="s">
        <v>8</v>
      </c>
    </row>
    <row r="7257" spans="1:5" hidden="1" outlineLevel="2">
      <c r="A7257" s="3" t="e">
        <f>(HYPERLINK("http://www.autodoc.ru/Web/price/art/6537AGSBL1P?analog=on","6537AGSBL1P"))*1</f>
        <v>#VALUE!</v>
      </c>
      <c r="B7257" s="1">
        <v>6190742</v>
      </c>
      <c r="C7257" t="s">
        <v>753</v>
      </c>
      <c r="D7257" t="s">
        <v>7452</v>
      </c>
      <c r="E7257" t="s">
        <v>8</v>
      </c>
    </row>
    <row r="7258" spans="1:5" hidden="1" outlineLevel="2">
      <c r="A7258" s="3" t="e">
        <f>(HYPERLINK("http://www.autodoc.ru/Web/price/art/6537AGSM2P?analog=on","6537AGSM2P"))*1</f>
        <v>#VALUE!</v>
      </c>
      <c r="B7258" s="1">
        <v>6190620</v>
      </c>
      <c r="C7258" t="s">
        <v>753</v>
      </c>
      <c r="D7258" t="s">
        <v>7453</v>
      </c>
      <c r="E7258" t="s">
        <v>8</v>
      </c>
    </row>
    <row r="7259" spans="1:5" hidden="1" outlineLevel="2">
      <c r="A7259" s="3" t="e">
        <f>(HYPERLINK("http://www.autodoc.ru/Web/price/art/6537BCLV?analog=on","6537BCLV"))*1</f>
        <v>#VALUE!</v>
      </c>
      <c r="B7259" s="1">
        <v>6190059</v>
      </c>
      <c r="C7259" t="s">
        <v>1230</v>
      </c>
      <c r="D7259" t="s">
        <v>7454</v>
      </c>
      <c r="E7259" t="s">
        <v>23</v>
      </c>
    </row>
    <row r="7260" spans="1:5" hidden="1" outlineLevel="2">
      <c r="A7260" s="3" t="e">
        <f>(HYPERLINK("http://www.autodoc.ru/Web/price/art/6537BCLVLU?analog=on","6537BCLVLU"))*1</f>
        <v>#VALUE!</v>
      </c>
      <c r="B7260" s="1">
        <v>6190061</v>
      </c>
      <c r="C7260" t="s">
        <v>1230</v>
      </c>
      <c r="D7260" t="s">
        <v>7455</v>
      </c>
      <c r="E7260" t="s">
        <v>23</v>
      </c>
    </row>
    <row r="7261" spans="1:5" hidden="1" outlineLevel="2">
      <c r="A7261" s="3" t="e">
        <f>(HYPERLINK("http://www.autodoc.ru/Web/price/art/6537BCLVRU?analog=on","6537BCLVRU"))*1</f>
        <v>#VALUE!</v>
      </c>
      <c r="B7261" s="1">
        <v>6190063</v>
      </c>
      <c r="C7261" t="s">
        <v>1230</v>
      </c>
      <c r="D7261" t="s">
        <v>7456</v>
      </c>
      <c r="E7261" t="s">
        <v>23</v>
      </c>
    </row>
    <row r="7262" spans="1:5" hidden="1" outlineLevel="2">
      <c r="A7262" s="3" t="e">
        <f>(HYPERLINK("http://www.autodoc.ru/Web/price/art/6537BGNV?analog=on","6537BGNV"))*1</f>
        <v>#VALUE!</v>
      </c>
      <c r="B7262" s="1">
        <v>6190064</v>
      </c>
      <c r="C7262" t="s">
        <v>1230</v>
      </c>
      <c r="D7262" t="s">
        <v>7457</v>
      </c>
      <c r="E7262" t="s">
        <v>23</v>
      </c>
    </row>
    <row r="7263" spans="1:5" hidden="1" outlineLevel="2">
      <c r="A7263" s="3" t="e">
        <f>(HYPERLINK("http://www.autodoc.ru/Web/price/art/6537BGNVL?analog=on","6537BGNVL"))*1</f>
        <v>#VALUE!</v>
      </c>
      <c r="B7263" s="1">
        <v>6190065</v>
      </c>
      <c r="C7263" t="s">
        <v>1230</v>
      </c>
      <c r="D7263" t="s">
        <v>7458</v>
      </c>
      <c r="E7263" t="s">
        <v>23</v>
      </c>
    </row>
    <row r="7264" spans="1:5" hidden="1" outlineLevel="2">
      <c r="A7264" s="3" t="e">
        <f>(HYPERLINK("http://www.autodoc.ru/Web/price/art/6537BGNVLU?analog=on","6537BGNVLU"))*1</f>
        <v>#VALUE!</v>
      </c>
      <c r="B7264" s="1">
        <v>6190066</v>
      </c>
      <c r="C7264" t="s">
        <v>1230</v>
      </c>
      <c r="D7264" t="s">
        <v>7459</v>
      </c>
      <c r="E7264" t="s">
        <v>23</v>
      </c>
    </row>
    <row r="7265" spans="1:5" hidden="1" outlineLevel="2">
      <c r="A7265" s="3" t="e">
        <f>(HYPERLINK("http://www.autodoc.ru/Web/price/art/6537BGNVR?analog=on","6537BGNVR"))*1</f>
        <v>#VALUE!</v>
      </c>
      <c r="B7265" s="1">
        <v>6190067</v>
      </c>
      <c r="C7265" t="s">
        <v>1230</v>
      </c>
      <c r="D7265" t="s">
        <v>7460</v>
      </c>
      <c r="E7265" t="s">
        <v>23</v>
      </c>
    </row>
    <row r="7266" spans="1:5" hidden="1" outlineLevel="2">
      <c r="A7266" s="3" t="e">
        <f>(HYPERLINK("http://www.autodoc.ru/Web/price/art/6537BGNVRU?analog=on","6537BGNVRU"))*1</f>
        <v>#VALUE!</v>
      </c>
      <c r="B7266" s="1">
        <v>6190068</v>
      </c>
      <c r="C7266" t="s">
        <v>1230</v>
      </c>
      <c r="D7266" t="s">
        <v>7461</v>
      </c>
      <c r="E7266" t="s">
        <v>23</v>
      </c>
    </row>
    <row r="7267" spans="1:5" hidden="1" outlineLevel="2">
      <c r="A7267" s="3" t="e">
        <f>(HYPERLINK("http://www.autodoc.ru/Web/price/art/6537LCLV2FD?analog=on","6537LCLV2FD"))*1</f>
        <v>#VALUE!</v>
      </c>
      <c r="B7267" s="1">
        <v>6190069</v>
      </c>
      <c r="C7267" t="s">
        <v>1230</v>
      </c>
      <c r="D7267" t="s">
        <v>7462</v>
      </c>
      <c r="E7267" t="s">
        <v>10</v>
      </c>
    </row>
    <row r="7268" spans="1:5" hidden="1" outlineLevel="2">
      <c r="A7268" s="3" t="e">
        <f>(HYPERLINK("http://www.autodoc.ru/Web/price/art/6537LGNV2FD?analog=on","6537LGNV2FD"))*1</f>
        <v>#VALUE!</v>
      </c>
      <c r="B7268" s="1">
        <v>6190070</v>
      </c>
      <c r="C7268" t="s">
        <v>1230</v>
      </c>
      <c r="D7268" t="s">
        <v>7463</v>
      </c>
      <c r="E7268" t="s">
        <v>10</v>
      </c>
    </row>
    <row r="7269" spans="1:5" hidden="1" outlineLevel="2">
      <c r="A7269" s="3" t="e">
        <f>(HYPERLINK("http://www.autodoc.ru/Web/price/art/6537LGNV2MQO?analog=on","6537LGNV2MQO"))*1</f>
        <v>#VALUE!</v>
      </c>
      <c r="B7269" s="1">
        <v>6190071</v>
      </c>
      <c r="C7269" t="s">
        <v>1230</v>
      </c>
      <c r="D7269" t="s">
        <v>7464</v>
      </c>
      <c r="E7269" t="s">
        <v>10</v>
      </c>
    </row>
    <row r="7270" spans="1:5" hidden="1" outlineLevel="2">
      <c r="A7270" s="3" t="e">
        <f>(HYPERLINK("http://www.autodoc.ru/Web/price/art/6537LGNV2RQO?analog=on","6537LGNV2RQO"))*1</f>
        <v>#VALUE!</v>
      </c>
      <c r="B7270" s="1">
        <v>6190072</v>
      </c>
      <c r="C7270" t="s">
        <v>1230</v>
      </c>
      <c r="D7270" t="s">
        <v>7465</v>
      </c>
      <c r="E7270" t="s">
        <v>10</v>
      </c>
    </row>
    <row r="7271" spans="1:5" hidden="1" outlineLevel="2">
      <c r="A7271" s="3" t="e">
        <f>(HYPERLINK("http://www.autodoc.ru/Web/price/art/6537RCLV2FD?analog=on","6537RCLV2FD"))*1</f>
        <v>#VALUE!</v>
      </c>
      <c r="B7271" s="1">
        <v>6190073</v>
      </c>
      <c r="C7271" t="s">
        <v>1230</v>
      </c>
      <c r="D7271" t="s">
        <v>7466</v>
      </c>
      <c r="E7271" t="s">
        <v>10</v>
      </c>
    </row>
    <row r="7272" spans="1:5" hidden="1" outlineLevel="2">
      <c r="A7272" s="3" t="e">
        <f>(HYPERLINK("http://www.autodoc.ru/Web/price/art/6537RGNV2FD?analog=on","6537RGNV2FD"))*1</f>
        <v>#VALUE!</v>
      </c>
      <c r="B7272" s="1">
        <v>6190074</v>
      </c>
      <c r="C7272" t="s">
        <v>1230</v>
      </c>
      <c r="D7272" t="s">
        <v>7467</v>
      </c>
      <c r="E7272" t="s">
        <v>10</v>
      </c>
    </row>
    <row r="7273" spans="1:5" hidden="1" outlineLevel="2">
      <c r="A7273" s="3" t="e">
        <f>(HYPERLINK("http://www.autodoc.ru/Web/price/art/6537RGNV2RQO?analog=on","6537RGNV2RQO"))*1</f>
        <v>#VALUE!</v>
      </c>
      <c r="B7273" s="1">
        <v>6190075</v>
      </c>
      <c r="C7273" t="s">
        <v>1230</v>
      </c>
      <c r="D7273" t="s">
        <v>7468</v>
      </c>
      <c r="E7273" t="s">
        <v>10</v>
      </c>
    </row>
    <row r="7274" spans="1:5" hidden="1" outlineLevel="1">
      <c r="A7274" s="2">
        <v>0</v>
      </c>
      <c r="B7274" s="26" t="s">
        <v>7469</v>
      </c>
      <c r="C7274" s="27">
        <v>0</v>
      </c>
      <c r="D7274" s="27">
        <v>0</v>
      </c>
      <c r="E7274" s="27">
        <v>0</v>
      </c>
    </row>
    <row r="7275" spans="1:5" hidden="1" outlineLevel="2">
      <c r="A7275" s="3" t="e">
        <f>(HYPERLINK("http://www.autodoc.ru/Web/price/art/6558AGSVZ?analog=on","6558AGSVZ"))*1</f>
        <v>#VALUE!</v>
      </c>
      <c r="B7275" s="1">
        <v>6190883</v>
      </c>
      <c r="C7275" t="s">
        <v>366</v>
      </c>
      <c r="D7275" t="s">
        <v>7470</v>
      </c>
      <c r="E7275" t="s">
        <v>8</v>
      </c>
    </row>
    <row r="7276" spans="1:5" hidden="1" outlineLevel="2">
      <c r="A7276" s="3" t="e">
        <f>(HYPERLINK("http://www.autodoc.ru/Web/price/art/6558AGSVZ1P?analog=on","6558AGSVZ1P"))*1</f>
        <v>#VALUE!</v>
      </c>
      <c r="B7276" s="1">
        <v>6190884</v>
      </c>
      <c r="C7276" t="s">
        <v>366</v>
      </c>
      <c r="D7276" t="s">
        <v>7471</v>
      </c>
      <c r="E7276" t="s">
        <v>8</v>
      </c>
    </row>
    <row r="7277" spans="1:5" collapsed="1">
      <c r="A7277" s="28" t="s">
        <v>7472</v>
      </c>
      <c r="B7277" s="28">
        <v>0</v>
      </c>
      <c r="C7277" s="28">
        <v>0</v>
      </c>
      <c r="D7277" s="28">
        <v>0</v>
      </c>
      <c r="E7277" s="28">
        <v>0</v>
      </c>
    </row>
    <row r="7278" spans="1:5" hidden="1" outlineLevel="1">
      <c r="A7278" s="2">
        <v>0</v>
      </c>
      <c r="B7278" s="26" t="s">
        <v>7473</v>
      </c>
      <c r="C7278" s="27">
        <v>0</v>
      </c>
      <c r="D7278" s="27">
        <v>0</v>
      </c>
      <c r="E7278" s="27">
        <v>0</v>
      </c>
    </row>
    <row r="7279" spans="1:5" hidden="1" outlineLevel="2">
      <c r="A7279" s="3" t="e">
        <f>(HYPERLINK("http://www.autodoc.ru/Web/price/art/AP29ACCBLV?analog=on","AP29ACCBLV"))*1</f>
        <v>#VALUE!</v>
      </c>
      <c r="B7279" s="1">
        <v>6968228</v>
      </c>
      <c r="C7279" t="s">
        <v>6223</v>
      </c>
      <c r="D7279" t="s">
        <v>7474</v>
      </c>
      <c r="E7279" t="s">
        <v>8</v>
      </c>
    </row>
    <row r="7280" spans="1:5" hidden="1" outlineLevel="1">
      <c r="A7280" s="2">
        <v>0</v>
      </c>
      <c r="B7280" s="26" t="s">
        <v>7475</v>
      </c>
      <c r="C7280" s="27">
        <v>0</v>
      </c>
      <c r="D7280" s="27">
        <v>0</v>
      </c>
      <c r="E7280" s="27">
        <v>0</v>
      </c>
    </row>
    <row r="7281" spans="1:5" hidden="1" outlineLevel="2">
      <c r="A7281" s="3" t="e">
        <f>(HYPERLINK("http://www.autodoc.ru/Web/price/art/AP37ACCBLAV?analog=on","AP37ACCBLAV"))*1</f>
        <v>#VALUE!</v>
      </c>
      <c r="B7281" s="1">
        <v>6190750</v>
      </c>
      <c r="C7281" t="s">
        <v>1687</v>
      </c>
      <c r="D7281" t="s">
        <v>7476</v>
      </c>
      <c r="E7281" t="s">
        <v>8</v>
      </c>
    </row>
    <row r="7282" spans="1:5" collapsed="1">
      <c r="A7282" s="28" t="s">
        <v>7477</v>
      </c>
      <c r="B7282" s="28">
        <v>0</v>
      </c>
      <c r="C7282" s="28">
        <v>0</v>
      </c>
      <c r="D7282" s="28">
        <v>0</v>
      </c>
      <c r="E7282" s="28">
        <v>0</v>
      </c>
    </row>
    <row r="7283" spans="1:5" hidden="1" outlineLevel="1">
      <c r="A7283" s="2">
        <v>0</v>
      </c>
      <c r="B7283" s="26" t="s">
        <v>7478</v>
      </c>
      <c r="C7283" s="27">
        <v>0</v>
      </c>
      <c r="D7283" s="27">
        <v>0</v>
      </c>
      <c r="E7283" s="27">
        <v>0</v>
      </c>
    </row>
    <row r="7284" spans="1:5" hidden="1" outlineLevel="2">
      <c r="A7284" s="3" t="e">
        <f>(HYPERLINK("http://www.autodoc.ru/Web/price/art/6721AGNAVZ?analog=on","6721AGNAVZ"))*1</f>
        <v>#VALUE!</v>
      </c>
      <c r="B7284" s="1">
        <v>6962029</v>
      </c>
      <c r="C7284" t="s">
        <v>5498</v>
      </c>
      <c r="D7284" t="s">
        <v>7479</v>
      </c>
      <c r="E7284" t="s">
        <v>8</v>
      </c>
    </row>
    <row r="7285" spans="1:5" hidden="1" outlineLevel="1">
      <c r="A7285" s="2">
        <v>0</v>
      </c>
      <c r="B7285" s="26" t="s">
        <v>7480</v>
      </c>
      <c r="C7285" s="27">
        <v>0</v>
      </c>
      <c r="D7285" s="27">
        <v>0</v>
      </c>
      <c r="E7285" s="27">
        <v>0</v>
      </c>
    </row>
    <row r="7286" spans="1:5" hidden="1" outlineLevel="2">
      <c r="A7286" s="3" t="e">
        <f>(HYPERLINK("http://www.autodoc.ru/Web/price/art/6709ACL?analog=on","6709ACL"))*1</f>
        <v>#VALUE!</v>
      </c>
      <c r="B7286" s="1">
        <v>6963576</v>
      </c>
      <c r="C7286" t="s">
        <v>7481</v>
      </c>
      <c r="D7286" t="s">
        <v>7482</v>
      </c>
      <c r="E7286" t="s">
        <v>8</v>
      </c>
    </row>
    <row r="7287" spans="1:5" hidden="1" outlineLevel="2">
      <c r="A7287" s="3" t="e">
        <f>(HYPERLINK("http://www.autodoc.ru/Web/price/art/6709ASRC?analog=on","6709ASRC"))*1</f>
        <v>#VALUE!</v>
      </c>
      <c r="B7287" s="1">
        <v>6100468</v>
      </c>
      <c r="C7287" t="s">
        <v>19</v>
      </c>
      <c r="D7287" t="s">
        <v>7483</v>
      </c>
      <c r="E7287" t="s">
        <v>21</v>
      </c>
    </row>
    <row r="7288" spans="1:5" hidden="1" outlineLevel="1">
      <c r="A7288" s="2">
        <v>0</v>
      </c>
      <c r="B7288" s="26" t="s">
        <v>7484</v>
      </c>
      <c r="C7288" s="27">
        <v>0</v>
      </c>
      <c r="D7288" s="27">
        <v>0</v>
      </c>
      <c r="E7288" s="27">
        <v>0</v>
      </c>
    </row>
    <row r="7289" spans="1:5" hidden="1" outlineLevel="2">
      <c r="A7289" s="3" t="e">
        <f>(HYPERLINK("http://www.autodoc.ru/Web/price/art/6716AGNA?analog=on","6716AGNA"))*1</f>
        <v>#VALUE!</v>
      </c>
      <c r="B7289" s="1">
        <v>6963705</v>
      </c>
      <c r="C7289" t="s">
        <v>3133</v>
      </c>
      <c r="D7289" t="s">
        <v>7485</v>
      </c>
      <c r="E7289" t="s">
        <v>8</v>
      </c>
    </row>
    <row r="7290" spans="1:5" hidden="1" outlineLevel="2">
      <c r="A7290" s="3" t="e">
        <f>(HYPERLINK("http://www.autodoc.ru/Web/price/art/6716AGNGNA?analog=on","6716AGNGNA"))*1</f>
        <v>#VALUE!</v>
      </c>
      <c r="B7290" s="1">
        <v>6963706</v>
      </c>
      <c r="C7290" t="s">
        <v>3133</v>
      </c>
      <c r="D7290" t="s">
        <v>7486</v>
      </c>
      <c r="E7290" t="s">
        <v>8</v>
      </c>
    </row>
    <row r="7291" spans="1:5" hidden="1" outlineLevel="2">
      <c r="A7291" s="3" t="e">
        <f>(HYPERLINK("http://www.autodoc.ru/Web/price/art/6716ASRC?analog=on","6716ASRC"))*1</f>
        <v>#VALUE!</v>
      </c>
      <c r="B7291" s="1">
        <v>6100375</v>
      </c>
      <c r="C7291" t="s">
        <v>19</v>
      </c>
      <c r="D7291" t="s">
        <v>7487</v>
      </c>
      <c r="E7291" t="s">
        <v>21</v>
      </c>
    </row>
    <row r="7292" spans="1:5" hidden="1" outlineLevel="1">
      <c r="A7292" s="2">
        <v>0</v>
      </c>
      <c r="B7292" s="26" t="s">
        <v>7488</v>
      </c>
      <c r="C7292" s="27">
        <v>0</v>
      </c>
      <c r="D7292" s="27">
        <v>0</v>
      </c>
      <c r="E7292" s="27">
        <v>0</v>
      </c>
    </row>
    <row r="7293" spans="1:5" hidden="1" outlineLevel="2">
      <c r="A7293" s="3" t="e">
        <f>(HYPERLINK("http://www.autodoc.ru/Web/price/art/6711AGNGN?analog=on","6711AGNGN"))*1</f>
        <v>#VALUE!</v>
      </c>
      <c r="B7293" s="1">
        <v>6963761</v>
      </c>
      <c r="C7293" t="s">
        <v>7489</v>
      </c>
      <c r="D7293" t="s">
        <v>7490</v>
      </c>
      <c r="E7293" t="s">
        <v>8</v>
      </c>
    </row>
    <row r="7294" spans="1:5" hidden="1" outlineLevel="1">
      <c r="A7294" s="2">
        <v>0</v>
      </c>
      <c r="B7294" s="26" t="s">
        <v>7491</v>
      </c>
      <c r="C7294" s="27">
        <v>0</v>
      </c>
      <c r="D7294" s="27">
        <v>0</v>
      </c>
      <c r="E7294" s="27">
        <v>0</v>
      </c>
    </row>
    <row r="7295" spans="1:5" hidden="1" outlineLevel="2">
      <c r="A7295" s="3" t="e">
        <f>(HYPERLINK("http://www.autodoc.ru/Web/price/art/6722AGSGYMVZ?analog=on","6722AGSGYMVZ"))*1</f>
        <v>#VALUE!</v>
      </c>
      <c r="B7295" s="1">
        <v>6950124</v>
      </c>
      <c r="C7295" t="s">
        <v>1436</v>
      </c>
      <c r="D7295" t="s">
        <v>7492</v>
      </c>
      <c r="E7295" t="s">
        <v>8</v>
      </c>
    </row>
    <row r="7296" spans="1:5" hidden="1" outlineLevel="2">
      <c r="A7296" s="3" t="e">
        <f>(HYPERLINK("http://www.autodoc.ru/Web/price/art/6722AGSGYVZ?analog=on","6722AGSGYVZ"))*1</f>
        <v>#VALUE!</v>
      </c>
      <c r="B7296" s="1">
        <v>6190743</v>
      </c>
      <c r="C7296" t="s">
        <v>1436</v>
      </c>
      <c r="D7296" t="s">
        <v>7493</v>
      </c>
      <c r="E7296" t="s">
        <v>8</v>
      </c>
    </row>
    <row r="7297" spans="1:5" hidden="1" outlineLevel="2">
      <c r="A7297" s="3" t="e">
        <f>(HYPERLINK("http://www.autodoc.ru/Web/price/art/6722LGSR5FD?analog=on","6722LGSR5FD"))*1</f>
        <v>#VALUE!</v>
      </c>
      <c r="B7297" s="1">
        <v>6190590</v>
      </c>
      <c r="C7297" t="s">
        <v>1436</v>
      </c>
      <c r="D7297" t="s">
        <v>7494</v>
      </c>
      <c r="E7297" t="s">
        <v>10</v>
      </c>
    </row>
    <row r="7298" spans="1:5" hidden="1" outlineLevel="2">
      <c r="A7298" s="3" t="e">
        <f>(HYPERLINK("http://www.autodoc.ru/Web/price/art/6722LGSR5RD?analog=on","6722LGSR5RD"))*1</f>
        <v>#VALUE!</v>
      </c>
      <c r="B7298" s="1">
        <v>6190893</v>
      </c>
      <c r="C7298" t="s">
        <v>1436</v>
      </c>
      <c r="D7298" t="s">
        <v>7495</v>
      </c>
      <c r="E7298" t="s">
        <v>10</v>
      </c>
    </row>
    <row r="7299" spans="1:5" hidden="1" outlineLevel="2">
      <c r="A7299" s="3" t="e">
        <f>(HYPERLINK("http://www.autodoc.ru/Web/price/art/6722RGSR5FD?analog=on","6722RGSR5FD"))*1</f>
        <v>#VALUE!</v>
      </c>
      <c r="B7299" s="1">
        <v>6190591</v>
      </c>
      <c r="C7299" t="s">
        <v>1436</v>
      </c>
      <c r="D7299" t="s">
        <v>7496</v>
      </c>
      <c r="E7299" t="s">
        <v>10</v>
      </c>
    </row>
    <row r="7300" spans="1:5" hidden="1" outlineLevel="2">
      <c r="A7300" s="3" t="e">
        <f>(HYPERLINK("http://www.autodoc.ru/Web/price/art/6722RGSR5RD?analog=on","6722RGSR5RD"))*1</f>
        <v>#VALUE!</v>
      </c>
      <c r="B7300" s="1">
        <v>6190592</v>
      </c>
      <c r="C7300" t="s">
        <v>1436</v>
      </c>
      <c r="D7300" t="s">
        <v>7497</v>
      </c>
      <c r="E7300" t="s">
        <v>10</v>
      </c>
    </row>
    <row r="7301" spans="1:5" hidden="1" outlineLevel="1">
      <c r="A7301" s="2">
        <v>0</v>
      </c>
      <c r="B7301" s="26" t="s">
        <v>7498</v>
      </c>
      <c r="C7301" s="27">
        <v>0</v>
      </c>
      <c r="D7301" s="27">
        <v>0</v>
      </c>
      <c r="E7301" s="27">
        <v>0</v>
      </c>
    </row>
    <row r="7302" spans="1:5" hidden="1" outlineLevel="2">
      <c r="A7302" s="3" t="e">
        <f>(HYPERLINK("http://www.autodoc.ru/Web/price/art/6729ACDGYMVWZ6A?analog=on","6729ACDGYMVWZ6A"))*1</f>
        <v>#VALUE!</v>
      </c>
      <c r="B7302" s="1">
        <v>6965973</v>
      </c>
      <c r="C7302" t="s">
        <v>19</v>
      </c>
      <c r="D7302" t="s">
        <v>7499</v>
      </c>
      <c r="E7302" t="s">
        <v>8</v>
      </c>
    </row>
    <row r="7303" spans="1:5" hidden="1" outlineLevel="2">
      <c r="A7303" s="3" t="e">
        <f>(HYPERLINK("http://www.autodoc.ru/Web/price/art/6729AGAGYHMVWZ?analog=on","6729AGAGYHMVWZ"))*1</f>
        <v>#VALUE!</v>
      </c>
      <c r="B7303" s="1">
        <v>6965152</v>
      </c>
      <c r="C7303" t="s">
        <v>19</v>
      </c>
      <c r="D7303" t="s">
        <v>7500</v>
      </c>
      <c r="E7303" t="s">
        <v>8</v>
      </c>
    </row>
    <row r="7304" spans="1:5" hidden="1" outlineLevel="2">
      <c r="A7304" s="3" t="e">
        <f>(HYPERLINK("http://www.autodoc.ru/Web/price/art/6729ACDGYHMVWZ?analog=on","6729ACDGYHMVWZ"))*1</f>
        <v>#VALUE!</v>
      </c>
      <c r="B7304" s="1">
        <v>6965154</v>
      </c>
      <c r="C7304" t="s">
        <v>341</v>
      </c>
      <c r="D7304" t="s">
        <v>7501</v>
      </c>
      <c r="E7304" t="s">
        <v>8</v>
      </c>
    </row>
    <row r="7305" spans="1:5" hidden="1" outlineLevel="2">
      <c r="A7305" s="3" t="e">
        <f>(HYPERLINK("http://www.autodoc.ru/Web/price/art/6729AGSGYMVWZ?analog=on","6729AGSGYMVWZ"))*1</f>
        <v>#VALUE!</v>
      </c>
      <c r="B7305" s="1">
        <v>6965150</v>
      </c>
      <c r="C7305" t="s">
        <v>341</v>
      </c>
      <c r="D7305" t="s">
        <v>7502</v>
      </c>
      <c r="E7305" t="s">
        <v>8</v>
      </c>
    </row>
    <row r="7306" spans="1:5" collapsed="1">
      <c r="A7306" s="28" t="s">
        <v>7503</v>
      </c>
      <c r="B7306" s="28">
        <v>0</v>
      </c>
      <c r="C7306" s="28">
        <v>0</v>
      </c>
      <c r="D7306" s="28">
        <v>0</v>
      </c>
      <c r="E7306" s="28">
        <v>0</v>
      </c>
    </row>
    <row r="7307" spans="1:5" hidden="1" outlineLevel="1">
      <c r="A7307" s="2">
        <v>0</v>
      </c>
      <c r="B7307" s="26" t="s">
        <v>7504</v>
      </c>
      <c r="C7307" s="27">
        <v>0</v>
      </c>
      <c r="D7307" s="27">
        <v>0</v>
      </c>
      <c r="E7307" s="27">
        <v>0</v>
      </c>
    </row>
    <row r="7308" spans="1:5" hidden="1" outlineLevel="2">
      <c r="A7308" s="3" t="e">
        <f>(HYPERLINK("http://www.autodoc.ru/Web/price/art/6801ABL?analog=on","6801ABL"))*1</f>
        <v>#VALUE!</v>
      </c>
      <c r="B7308" s="1">
        <v>6190299</v>
      </c>
      <c r="C7308" t="s">
        <v>7505</v>
      </c>
      <c r="D7308" t="s">
        <v>7506</v>
      </c>
      <c r="E7308" t="s">
        <v>8</v>
      </c>
    </row>
    <row r="7309" spans="1:5" hidden="1" outlineLevel="2">
      <c r="A7309" s="3" t="e">
        <f>(HYPERLINK("http://www.autodoc.ru/Web/price/art/6801LBLH5FD?analog=on","6801LBLH5FD"))*1</f>
        <v>#VALUE!</v>
      </c>
      <c r="B7309" s="1">
        <v>6190301</v>
      </c>
      <c r="C7309" t="s">
        <v>7505</v>
      </c>
      <c r="D7309" t="s">
        <v>7507</v>
      </c>
      <c r="E7309" t="s">
        <v>10</v>
      </c>
    </row>
    <row r="7310" spans="1:5" hidden="1" outlineLevel="2">
      <c r="A7310" s="3" t="e">
        <f>(HYPERLINK("http://www.autodoc.ru/Web/price/art/6801LBLH5RV?analog=on","6801LBLH5RV"))*1</f>
        <v>#VALUE!</v>
      </c>
      <c r="B7310" s="1">
        <v>6190303</v>
      </c>
      <c r="C7310" t="s">
        <v>7505</v>
      </c>
      <c r="D7310" t="s">
        <v>7508</v>
      </c>
      <c r="E7310" t="s">
        <v>10</v>
      </c>
    </row>
    <row r="7311" spans="1:5" hidden="1" outlineLevel="2">
      <c r="A7311" s="3" t="e">
        <f>(HYPERLINK("http://www.autodoc.ru/Web/price/art/6801RBLH5FD?analog=on","6801RBLH5FD"))*1</f>
        <v>#VALUE!</v>
      </c>
      <c r="B7311" s="1">
        <v>6190304</v>
      </c>
      <c r="C7311" t="s">
        <v>7505</v>
      </c>
      <c r="D7311" t="s">
        <v>7509</v>
      </c>
      <c r="E7311" t="s">
        <v>10</v>
      </c>
    </row>
    <row r="7312" spans="1:5" hidden="1" outlineLevel="1">
      <c r="A7312" s="2">
        <v>0</v>
      </c>
      <c r="B7312" s="26" t="s">
        <v>7510</v>
      </c>
      <c r="C7312" s="27">
        <v>0</v>
      </c>
      <c r="D7312" s="27">
        <v>0</v>
      </c>
      <c r="E7312" s="27">
        <v>0</v>
      </c>
    </row>
    <row r="7313" spans="1:5" hidden="1" outlineLevel="2">
      <c r="A7313" s="3" t="e">
        <f>(HYPERLINK("http://www.autodoc.ru/Web/price/art/6802ABL?analog=on","6802ABL"))*1</f>
        <v>#VALUE!</v>
      </c>
      <c r="B7313" s="1">
        <v>6190307</v>
      </c>
      <c r="C7313" t="s">
        <v>139</v>
      </c>
      <c r="D7313" t="s">
        <v>7511</v>
      </c>
      <c r="E7313" t="s">
        <v>8</v>
      </c>
    </row>
    <row r="7314" spans="1:5" hidden="1" outlineLevel="1">
      <c r="A7314" s="2">
        <v>0</v>
      </c>
      <c r="B7314" s="26" t="s">
        <v>7512</v>
      </c>
      <c r="C7314" s="27">
        <v>0</v>
      </c>
      <c r="D7314" s="27">
        <v>0</v>
      </c>
      <c r="E7314" s="27">
        <v>0</v>
      </c>
    </row>
    <row r="7315" spans="1:5" hidden="1" outlineLevel="2">
      <c r="A7315" s="3" t="e">
        <f>(HYPERLINK("http://www.autodoc.ru/Web/price/art/6805AGN?analog=on","6805AGN"))*1</f>
        <v>#VALUE!</v>
      </c>
      <c r="B7315" s="1">
        <v>6190309</v>
      </c>
      <c r="C7315" t="s">
        <v>782</v>
      </c>
      <c r="D7315" t="s">
        <v>7513</v>
      </c>
      <c r="E7315" t="s">
        <v>8</v>
      </c>
    </row>
    <row r="7316" spans="1:5" collapsed="1">
      <c r="A7316" s="28" t="s">
        <v>7514</v>
      </c>
      <c r="B7316" s="28">
        <v>0</v>
      </c>
      <c r="C7316" s="28">
        <v>0</v>
      </c>
      <c r="D7316" s="28">
        <v>0</v>
      </c>
      <c r="E7316" s="28">
        <v>0</v>
      </c>
    </row>
    <row r="7317" spans="1:5" hidden="1" outlineLevel="1">
      <c r="A7317" s="2">
        <v>0</v>
      </c>
      <c r="B7317" s="26" t="s">
        <v>7515</v>
      </c>
      <c r="C7317" s="27">
        <v>0</v>
      </c>
      <c r="D7317" s="27">
        <v>0</v>
      </c>
      <c r="E7317" s="27">
        <v>0</v>
      </c>
    </row>
    <row r="7318" spans="1:5" hidden="1" outlineLevel="2">
      <c r="A7318" s="3" t="e">
        <f>(HYPERLINK("http://www.autodoc.ru/Web/price/art/7258AGNBL?analog=on","7258AGNBL"))*1</f>
        <v>#VALUE!</v>
      </c>
      <c r="B7318" s="1">
        <v>6190609</v>
      </c>
      <c r="C7318" t="s">
        <v>1805</v>
      </c>
      <c r="D7318" t="s">
        <v>7516</v>
      </c>
      <c r="E7318" t="s">
        <v>8</v>
      </c>
    </row>
    <row r="7319" spans="1:5" hidden="1" outlineLevel="2">
      <c r="A7319" s="3" t="e">
        <f>(HYPERLINK("http://www.autodoc.ru/Web/price/art/7258LGNR3FD?analog=on","7258LGNR3FD"))*1</f>
        <v>#VALUE!</v>
      </c>
      <c r="B7319" s="1">
        <v>6190610</v>
      </c>
      <c r="C7319" t="s">
        <v>1805</v>
      </c>
      <c r="D7319" t="s">
        <v>7517</v>
      </c>
      <c r="E7319" t="s">
        <v>10</v>
      </c>
    </row>
    <row r="7320" spans="1:5" hidden="1" outlineLevel="2">
      <c r="A7320" s="3" t="e">
        <f>(HYPERLINK("http://www.autodoc.ru/Web/price/art/7258LGNR5FD?analog=on","7258LGNR5FD"))*1</f>
        <v>#VALUE!</v>
      </c>
      <c r="B7320" s="1">
        <v>6190612</v>
      </c>
      <c r="C7320" t="s">
        <v>1805</v>
      </c>
      <c r="D7320" t="s">
        <v>7518</v>
      </c>
      <c r="E7320" t="s">
        <v>10</v>
      </c>
    </row>
    <row r="7321" spans="1:5" hidden="1" outlineLevel="2">
      <c r="A7321" s="3" t="e">
        <f>(HYPERLINK("http://www.autodoc.ru/Web/price/art/7258LGNR5RV?analog=on","7258LGNR5RV"))*1</f>
        <v>#VALUE!</v>
      </c>
      <c r="B7321" s="1">
        <v>6190614</v>
      </c>
      <c r="C7321" t="s">
        <v>1805</v>
      </c>
      <c r="D7321" t="s">
        <v>7519</v>
      </c>
      <c r="E7321" t="s">
        <v>10</v>
      </c>
    </row>
    <row r="7322" spans="1:5" hidden="1" outlineLevel="2">
      <c r="A7322" s="3" t="e">
        <f>(HYPERLINK("http://www.autodoc.ru/Web/price/art/7258RGNR3FD?analog=on","7258RGNR3FD"))*1</f>
        <v>#VALUE!</v>
      </c>
      <c r="B7322" s="1">
        <v>6190615</v>
      </c>
      <c r="C7322" t="s">
        <v>1805</v>
      </c>
      <c r="D7322" t="s">
        <v>7520</v>
      </c>
      <c r="E7322" t="s">
        <v>10</v>
      </c>
    </row>
    <row r="7323" spans="1:5" hidden="1" outlineLevel="2">
      <c r="A7323" s="3" t="e">
        <f>(HYPERLINK("http://www.autodoc.ru/Web/price/art/7258RGNR5RV?analog=on","7258RGNR5RV"))*1</f>
        <v>#VALUE!</v>
      </c>
      <c r="B7323" s="1">
        <v>6190618</v>
      </c>
      <c r="C7323" t="s">
        <v>1805</v>
      </c>
      <c r="D7323" t="s">
        <v>7521</v>
      </c>
      <c r="E7323" t="s">
        <v>10</v>
      </c>
    </row>
    <row r="7324" spans="1:5" hidden="1" outlineLevel="1">
      <c r="A7324" s="2">
        <v>0</v>
      </c>
      <c r="B7324" s="26" t="s">
        <v>7522</v>
      </c>
      <c r="C7324" s="27">
        <v>0</v>
      </c>
      <c r="D7324" s="27">
        <v>0</v>
      </c>
      <c r="E7324" s="27">
        <v>0</v>
      </c>
    </row>
    <row r="7325" spans="1:5" hidden="1" outlineLevel="2">
      <c r="A7325" s="3" t="e">
        <f>(HYPERLINK("http://www.autodoc.ru/Web/price/art/7232ACL?analog=on","7232ACL"))*1</f>
        <v>#VALUE!</v>
      </c>
      <c r="B7325" s="1">
        <v>6966227</v>
      </c>
      <c r="C7325" t="s">
        <v>504</v>
      </c>
      <c r="D7325" t="s">
        <v>7523</v>
      </c>
      <c r="E7325" t="s">
        <v>8</v>
      </c>
    </row>
    <row r="7326" spans="1:5" hidden="1" outlineLevel="2">
      <c r="A7326" s="3" t="e">
        <f>(HYPERLINK("http://www.autodoc.ru/Web/price/art/7232AGN?analog=on","7232AGN"))*1</f>
        <v>#VALUE!</v>
      </c>
      <c r="B7326" s="1">
        <v>6966228</v>
      </c>
      <c r="C7326" t="s">
        <v>504</v>
      </c>
      <c r="D7326" t="s">
        <v>7524</v>
      </c>
      <c r="E7326" t="s">
        <v>8</v>
      </c>
    </row>
    <row r="7327" spans="1:5" hidden="1" outlineLevel="2">
      <c r="A7327" s="3" t="e">
        <f>(HYPERLINK("http://www.autodoc.ru/Web/price/art/7232AGNBL?analog=on","7232AGNBL"))*1</f>
        <v>#VALUE!</v>
      </c>
      <c r="B7327" s="1">
        <v>6963250</v>
      </c>
      <c r="C7327" t="s">
        <v>504</v>
      </c>
      <c r="D7327" t="s">
        <v>7525</v>
      </c>
      <c r="E7327" t="s">
        <v>8</v>
      </c>
    </row>
    <row r="7328" spans="1:5" hidden="1" outlineLevel="2">
      <c r="A7328" s="3" t="e">
        <f>(HYPERLINK("http://www.autodoc.ru/Web/price/art/7232AGNGN?analog=on","7232AGNGN"))*1</f>
        <v>#VALUE!</v>
      </c>
      <c r="B7328" s="1">
        <v>6963764</v>
      </c>
      <c r="C7328" t="s">
        <v>504</v>
      </c>
      <c r="D7328" t="s">
        <v>7526</v>
      </c>
      <c r="E7328" t="s">
        <v>8</v>
      </c>
    </row>
    <row r="7329" spans="1:5" hidden="1" outlineLevel="2">
      <c r="A7329" s="3" t="e">
        <f>(HYPERLINK("http://www.autodoc.ru/Web/price/art/7232AKMH?analog=on","7232AKMH"))*1</f>
        <v>#VALUE!</v>
      </c>
      <c r="B7329" s="1">
        <v>6100197</v>
      </c>
      <c r="C7329" t="s">
        <v>19</v>
      </c>
      <c r="D7329" t="s">
        <v>7527</v>
      </c>
      <c r="E7329" t="s">
        <v>21</v>
      </c>
    </row>
    <row r="7330" spans="1:5" hidden="1" outlineLevel="2">
      <c r="A7330" s="3" t="e">
        <f>(HYPERLINK("http://www.autodoc.ru/Web/price/art/7232ASGH?analog=on","7232ASGH"))*1</f>
        <v>#VALUE!</v>
      </c>
      <c r="B7330" s="1">
        <v>6100520</v>
      </c>
      <c r="C7330" t="s">
        <v>19</v>
      </c>
      <c r="D7330" t="s">
        <v>7528</v>
      </c>
      <c r="E7330" t="s">
        <v>21</v>
      </c>
    </row>
    <row r="7331" spans="1:5" hidden="1" outlineLevel="2">
      <c r="A7331" s="3" t="e">
        <f>(HYPERLINK("http://www.autodoc.ru/Web/price/art/7232ASMH?analog=on","7232ASMH"))*1</f>
        <v>#VALUE!</v>
      </c>
      <c r="B7331" s="1">
        <v>6100358</v>
      </c>
      <c r="C7331" t="s">
        <v>19</v>
      </c>
      <c r="D7331" t="s">
        <v>7529</v>
      </c>
      <c r="E7331" t="s">
        <v>21</v>
      </c>
    </row>
    <row r="7332" spans="1:5" hidden="1" outlineLevel="2">
      <c r="A7332" s="3" t="e">
        <f>(HYPERLINK("http://www.autodoc.ru/Web/price/art/7232BCLH?analog=on","7232BCLH"))*1</f>
        <v>#VALUE!</v>
      </c>
      <c r="B7332" s="1">
        <v>6997156</v>
      </c>
      <c r="C7332" t="s">
        <v>504</v>
      </c>
      <c r="D7332" t="s">
        <v>7530</v>
      </c>
      <c r="E7332" t="s">
        <v>23</v>
      </c>
    </row>
    <row r="7333" spans="1:5" hidden="1" outlineLevel="2">
      <c r="A7333" s="3" t="e">
        <f>(HYPERLINK("http://www.autodoc.ru/Web/price/art/7232BGNH?analog=on","7232BGNH"))*1</f>
        <v>#VALUE!</v>
      </c>
      <c r="B7333" s="1">
        <v>6997189</v>
      </c>
      <c r="C7333" t="s">
        <v>504</v>
      </c>
      <c r="D7333" t="s">
        <v>7531</v>
      </c>
      <c r="E7333" t="s">
        <v>23</v>
      </c>
    </row>
    <row r="7334" spans="1:5" hidden="1" outlineLevel="2">
      <c r="A7334" s="3" t="e">
        <f>(HYPERLINK("http://www.autodoc.ru/Web/price/art/7232BSMH?analog=on","7232BSMH"))*1</f>
        <v>#VALUE!</v>
      </c>
      <c r="B7334" s="1">
        <v>6100308</v>
      </c>
      <c r="C7334" t="s">
        <v>19</v>
      </c>
      <c r="D7334" t="s">
        <v>7532</v>
      </c>
      <c r="E7334" t="s">
        <v>21</v>
      </c>
    </row>
    <row r="7335" spans="1:5" hidden="1" outlineLevel="2">
      <c r="A7335" s="3" t="e">
        <f>(HYPERLINK("http://www.autodoc.ru/Web/price/art/7232LCLH3FD?analog=on","7232LCLH3FD"))*1</f>
        <v>#VALUE!</v>
      </c>
      <c r="B7335" s="1">
        <v>6997141</v>
      </c>
      <c r="C7335" t="s">
        <v>504</v>
      </c>
      <c r="D7335" t="s">
        <v>7533</v>
      </c>
      <c r="E7335" t="s">
        <v>10</v>
      </c>
    </row>
    <row r="7336" spans="1:5" hidden="1" outlineLevel="2">
      <c r="A7336" s="3" t="e">
        <f>(HYPERLINK("http://www.autodoc.ru/Web/price/art/7232LCLH3RQ?analog=on","7232LCLH3RQ"))*1</f>
        <v>#VALUE!</v>
      </c>
      <c r="B7336" s="1">
        <v>6997211</v>
      </c>
      <c r="C7336" t="s">
        <v>504</v>
      </c>
      <c r="D7336" t="s">
        <v>7534</v>
      </c>
      <c r="E7336" t="s">
        <v>10</v>
      </c>
    </row>
    <row r="7337" spans="1:5" hidden="1" outlineLevel="2">
      <c r="A7337" s="3" t="e">
        <f>(HYPERLINK("http://www.autodoc.ru/Web/price/art/7232LCLH5FD?analog=on","7232LCLH5FD"))*1</f>
        <v>#VALUE!</v>
      </c>
      <c r="B7337" s="1">
        <v>6997145</v>
      </c>
      <c r="C7337" t="s">
        <v>504</v>
      </c>
      <c r="D7337" t="s">
        <v>7535</v>
      </c>
      <c r="E7337" t="s">
        <v>10</v>
      </c>
    </row>
    <row r="7338" spans="1:5" hidden="1" outlineLevel="2">
      <c r="A7338" s="3" t="e">
        <f>(HYPERLINK("http://www.autodoc.ru/Web/price/art/7232LCLH5RD?analog=on","7232LCLH5RD"))*1</f>
        <v>#VALUE!</v>
      </c>
      <c r="B7338" s="1">
        <v>6997221</v>
      </c>
      <c r="C7338" t="s">
        <v>504</v>
      </c>
      <c r="D7338" t="s">
        <v>7536</v>
      </c>
      <c r="E7338" t="s">
        <v>10</v>
      </c>
    </row>
    <row r="7339" spans="1:5" hidden="1" outlineLevel="2">
      <c r="A7339" s="3" t="e">
        <f>(HYPERLINK("http://www.autodoc.ru/Web/price/art/7232LCLH5RV?analog=on","7232LCLH5RV"))*1</f>
        <v>#VALUE!</v>
      </c>
      <c r="B7339" s="1">
        <v>6997149</v>
      </c>
      <c r="C7339" t="s">
        <v>504</v>
      </c>
      <c r="D7339" t="s">
        <v>7537</v>
      </c>
      <c r="E7339" t="s">
        <v>10</v>
      </c>
    </row>
    <row r="7340" spans="1:5" hidden="1" outlineLevel="2">
      <c r="A7340" s="3" t="e">
        <f>(HYPERLINK("http://www.autodoc.ru/Web/price/art/7232LGNH3FD?analog=on","7232LGNH3FD"))*1</f>
        <v>#VALUE!</v>
      </c>
      <c r="B7340" s="1">
        <v>6997143</v>
      </c>
      <c r="C7340" t="s">
        <v>504</v>
      </c>
      <c r="D7340" t="s">
        <v>7538</v>
      </c>
      <c r="E7340" t="s">
        <v>10</v>
      </c>
    </row>
    <row r="7341" spans="1:5" hidden="1" outlineLevel="2">
      <c r="A7341" s="3" t="e">
        <f>(HYPERLINK("http://www.autodoc.ru/Web/price/art/7232LGNH3RQO?analog=on","7232LGNH3RQO"))*1</f>
        <v>#VALUE!</v>
      </c>
      <c r="B7341" s="1">
        <v>6997215</v>
      </c>
      <c r="C7341" t="s">
        <v>504</v>
      </c>
      <c r="D7341" t="s">
        <v>7539</v>
      </c>
      <c r="E7341" t="s">
        <v>10</v>
      </c>
    </row>
    <row r="7342" spans="1:5" hidden="1" outlineLevel="2">
      <c r="A7342" s="3" t="e">
        <f>(HYPERLINK("http://www.autodoc.ru/Web/price/art/7232LGNH5FD?analog=on","7232LGNH5FD"))*1</f>
        <v>#VALUE!</v>
      </c>
      <c r="B7342" s="1">
        <v>6997147</v>
      </c>
      <c r="C7342" t="s">
        <v>504</v>
      </c>
      <c r="D7342" t="s">
        <v>7540</v>
      </c>
      <c r="E7342" t="s">
        <v>10</v>
      </c>
    </row>
    <row r="7343" spans="1:5" hidden="1" outlineLevel="2">
      <c r="A7343" s="3" t="e">
        <f>(HYPERLINK("http://www.autodoc.ru/Web/price/art/7232LGNH5RD?analog=on","7232LGNH5RD"))*1</f>
        <v>#VALUE!</v>
      </c>
      <c r="B7343" s="1">
        <v>6997223</v>
      </c>
      <c r="C7343" t="s">
        <v>504</v>
      </c>
      <c r="D7343" t="s">
        <v>7541</v>
      </c>
      <c r="E7343" t="s">
        <v>10</v>
      </c>
    </row>
    <row r="7344" spans="1:5" hidden="1" outlineLevel="2">
      <c r="A7344" s="3" t="e">
        <f>(HYPERLINK("http://www.autodoc.ru/Web/price/art/7232LGNH5RV?analog=on","7232LGNH5RV"))*1</f>
        <v>#VALUE!</v>
      </c>
      <c r="B7344" s="1">
        <v>6997151</v>
      </c>
      <c r="C7344" t="s">
        <v>504</v>
      </c>
      <c r="D7344" t="s">
        <v>7542</v>
      </c>
      <c r="E7344" t="s">
        <v>10</v>
      </c>
    </row>
    <row r="7345" spans="1:5" hidden="1" outlineLevel="2">
      <c r="A7345" s="3" t="e">
        <f>(HYPERLINK("http://www.autodoc.ru/Web/price/art/7232RCLH3FD?analog=on","7232RCLH3FD"))*1</f>
        <v>#VALUE!</v>
      </c>
      <c r="B7345" s="1">
        <v>6997142</v>
      </c>
      <c r="C7345" t="s">
        <v>504</v>
      </c>
      <c r="D7345" t="s">
        <v>7543</v>
      </c>
      <c r="E7345" t="s">
        <v>10</v>
      </c>
    </row>
    <row r="7346" spans="1:5" hidden="1" outlineLevel="2">
      <c r="A7346" s="3" t="e">
        <f>(HYPERLINK("http://www.autodoc.ru/Web/price/art/7232RCLH3RQ?analog=on","7232RCLH3RQ"))*1</f>
        <v>#VALUE!</v>
      </c>
      <c r="B7346" s="1">
        <v>6997212</v>
      </c>
      <c r="C7346" t="s">
        <v>504</v>
      </c>
      <c r="D7346" t="s">
        <v>7544</v>
      </c>
      <c r="E7346" t="s">
        <v>10</v>
      </c>
    </row>
    <row r="7347" spans="1:5" hidden="1" outlineLevel="2">
      <c r="A7347" s="3" t="e">
        <f>(HYPERLINK("http://www.autodoc.ru/Web/price/art/7232RCLH5FD?analog=on","7232RCLH5FD"))*1</f>
        <v>#VALUE!</v>
      </c>
      <c r="B7347" s="1">
        <v>6997146</v>
      </c>
      <c r="C7347" t="s">
        <v>504</v>
      </c>
      <c r="D7347" t="s">
        <v>7545</v>
      </c>
      <c r="E7347" t="s">
        <v>10</v>
      </c>
    </row>
    <row r="7348" spans="1:5" hidden="1" outlineLevel="2">
      <c r="A7348" s="3" t="e">
        <f>(HYPERLINK("http://www.autodoc.ru/Web/price/art/7232RCLH5RD?analog=on","7232RCLH5RD"))*1</f>
        <v>#VALUE!</v>
      </c>
      <c r="B7348" s="1">
        <v>6997222</v>
      </c>
      <c r="C7348" t="s">
        <v>504</v>
      </c>
      <c r="D7348" t="s">
        <v>7546</v>
      </c>
      <c r="E7348" t="s">
        <v>10</v>
      </c>
    </row>
    <row r="7349" spans="1:5" hidden="1" outlineLevel="2">
      <c r="A7349" s="3" t="e">
        <f>(HYPERLINK("http://www.autodoc.ru/Web/price/art/7232RCLH5RV?analog=on","7232RCLH5RV"))*1</f>
        <v>#VALUE!</v>
      </c>
      <c r="B7349" s="1">
        <v>6997150</v>
      </c>
      <c r="C7349" t="s">
        <v>504</v>
      </c>
      <c r="D7349" t="s">
        <v>7547</v>
      </c>
      <c r="E7349" t="s">
        <v>10</v>
      </c>
    </row>
    <row r="7350" spans="1:5" hidden="1" outlineLevel="2">
      <c r="A7350" s="3" t="e">
        <f>(HYPERLINK("http://www.autodoc.ru/Web/price/art/7232RGNH3FD?analog=on","7232RGNH3FD"))*1</f>
        <v>#VALUE!</v>
      </c>
      <c r="B7350" s="1">
        <v>6997144</v>
      </c>
      <c r="C7350" t="s">
        <v>504</v>
      </c>
      <c r="D7350" t="s">
        <v>7548</v>
      </c>
      <c r="E7350" t="s">
        <v>10</v>
      </c>
    </row>
    <row r="7351" spans="1:5" hidden="1" outlineLevel="2">
      <c r="A7351" s="3" t="e">
        <f>(HYPERLINK("http://www.autodoc.ru/Web/price/art/7232RGNH3RQO?analog=on","7232RGNH3RQO"))*1</f>
        <v>#VALUE!</v>
      </c>
      <c r="B7351" s="1">
        <v>6997216</v>
      </c>
      <c r="C7351" t="s">
        <v>504</v>
      </c>
      <c r="D7351" t="s">
        <v>7549</v>
      </c>
      <c r="E7351" t="s">
        <v>10</v>
      </c>
    </row>
    <row r="7352" spans="1:5" hidden="1" outlineLevel="2">
      <c r="A7352" s="3" t="e">
        <f>(HYPERLINK("http://www.autodoc.ru/Web/price/art/7232RGNH5FD?analog=on","7232RGNH5FD"))*1</f>
        <v>#VALUE!</v>
      </c>
      <c r="B7352" s="1">
        <v>6997148</v>
      </c>
      <c r="C7352" t="s">
        <v>504</v>
      </c>
      <c r="D7352" t="s">
        <v>7550</v>
      </c>
      <c r="E7352" t="s">
        <v>10</v>
      </c>
    </row>
    <row r="7353" spans="1:5" hidden="1" outlineLevel="2">
      <c r="A7353" s="3" t="e">
        <f>(HYPERLINK("http://www.autodoc.ru/Web/price/art/7232RGNH5RD?analog=on","7232RGNH5RD"))*1</f>
        <v>#VALUE!</v>
      </c>
      <c r="B7353" s="1">
        <v>6997224</v>
      </c>
      <c r="C7353" t="s">
        <v>504</v>
      </c>
      <c r="D7353" t="s">
        <v>7551</v>
      </c>
      <c r="E7353" t="s">
        <v>10</v>
      </c>
    </row>
    <row r="7354" spans="1:5" hidden="1" outlineLevel="2">
      <c r="A7354" s="3" t="e">
        <f>(HYPERLINK("http://www.autodoc.ru/Web/price/art/7232RGNH5RV?analog=on","7232RGNH5RV"))*1</f>
        <v>#VALUE!</v>
      </c>
      <c r="B7354" s="1">
        <v>6997152</v>
      </c>
      <c r="C7354" t="s">
        <v>504</v>
      </c>
      <c r="D7354" t="s">
        <v>7552</v>
      </c>
      <c r="E7354" t="s">
        <v>10</v>
      </c>
    </row>
    <row r="7355" spans="1:5" hidden="1" outlineLevel="1">
      <c r="A7355" s="2">
        <v>0</v>
      </c>
      <c r="B7355" s="26" t="s">
        <v>7553</v>
      </c>
      <c r="C7355" s="27">
        <v>0</v>
      </c>
      <c r="D7355" s="27">
        <v>0</v>
      </c>
      <c r="E7355" s="27">
        <v>0</v>
      </c>
    </row>
    <row r="7356" spans="1:5" hidden="1" outlineLevel="2">
      <c r="A7356" s="3" t="e">
        <f>(HYPERLINK("http://www.autodoc.ru/Web/price/art/7248ACC1M?analog=on","7248ACC1M"))*1</f>
        <v>#VALUE!</v>
      </c>
      <c r="B7356" s="1">
        <v>6963342</v>
      </c>
      <c r="C7356" t="s">
        <v>552</v>
      </c>
      <c r="D7356" t="s">
        <v>7554</v>
      </c>
      <c r="E7356" t="s">
        <v>8</v>
      </c>
    </row>
    <row r="7357" spans="1:5" hidden="1" outlineLevel="2">
      <c r="A7357" s="3" t="e">
        <f>(HYPERLINK("http://www.autodoc.ru/Web/price/art/7248ACCM1R?analog=on","7248ACCM1R"))*1</f>
        <v>#VALUE!</v>
      </c>
      <c r="B7357" s="1">
        <v>6960974</v>
      </c>
      <c r="C7357" t="s">
        <v>552</v>
      </c>
      <c r="D7357" t="s">
        <v>7555</v>
      </c>
      <c r="E7357" t="s">
        <v>8</v>
      </c>
    </row>
    <row r="7358" spans="1:5" hidden="1" outlineLevel="2">
      <c r="A7358" s="3" t="e">
        <f>(HYPERLINK("http://www.autodoc.ru/Web/price/art/7248AGA1B?analog=on","7248AGA1B"))*1</f>
        <v>#VALUE!</v>
      </c>
      <c r="B7358" s="1">
        <v>6961561</v>
      </c>
      <c r="C7358" t="s">
        <v>554</v>
      </c>
      <c r="D7358" t="s">
        <v>7556</v>
      </c>
      <c r="E7358" t="s">
        <v>8</v>
      </c>
    </row>
    <row r="7359" spans="1:5" hidden="1" outlineLevel="2">
      <c r="A7359" s="3" t="e">
        <f>(HYPERLINK("http://www.autodoc.ru/Web/price/art/7248AGS1B?analog=on","7248AGS1B"))*1</f>
        <v>#VALUE!</v>
      </c>
      <c r="B7359" s="1">
        <v>6961439</v>
      </c>
      <c r="C7359" t="s">
        <v>552</v>
      </c>
      <c r="D7359" t="s">
        <v>7557</v>
      </c>
      <c r="E7359" t="s">
        <v>8</v>
      </c>
    </row>
    <row r="7360" spans="1:5" hidden="1" outlineLevel="2">
      <c r="A7360" s="3" t="e">
        <f>(HYPERLINK("http://www.autodoc.ru/Web/price/art/7248AGS1R?analog=on","7248AGS1R"))*1</f>
        <v>#VALUE!</v>
      </c>
      <c r="B7360" s="1">
        <v>6960451</v>
      </c>
      <c r="C7360" t="s">
        <v>554</v>
      </c>
      <c r="D7360" t="s">
        <v>7558</v>
      </c>
      <c r="E7360" t="s">
        <v>8</v>
      </c>
    </row>
    <row r="7361" spans="1:5" hidden="1" outlineLevel="2">
      <c r="A7361" s="3" t="e">
        <f>(HYPERLINK("http://www.autodoc.ru/Web/price/art/7248AGS2R?analog=on","7248AGS2R"))*1</f>
        <v>#VALUE!</v>
      </c>
      <c r="B7361" s="1">
        <v>6961814</v>
      </c>
      <c r="C7361" t="s">
        <v>554</v>
      </c>
      <c r="D7361" t="s">
        <v>7559</v>
      </c>
      <c r="E7361" t="s">
        <v>8</v>
      </c>
    </row>
    <row r="7362" spans="1:5" hidden="1" outlineLevel="2">
      <c r="A7362" s="3" t="e">
        <f>(HYPERLINK("http://www.autodoc.ru/Web/price/art/7248AGSBL?analog=on","7248AGSBL"))*1</f>
        <v>#VALUE!</v>
      </c>
      <c r="B7362" s="1">
        <v>6950125</v>
      </c>
      <c r="C7362" t="s">
        <v>552</v>
      </c>
      <c r="D7362" t="s">
        <v>7560</v>
      </c>
      <c r="E7362" t="s">
        <v>8</v>
      </c>
    </row>
    <row r="7363" spans="1:5" hidden="1" outlineLevel="2">
      <c r="A7363" s="3" t="e">
        <f>(HYPERLINK("http://www.autodoc.ru/Web/price/art/7248AGSGN?analog=on","7248AGSGN"))*1</f>
        <v>#VALUE!</v>
      </c>
      <c r="B7363" s="1">
        <v>6963202</v>
      </c>
      <c r="C7363" t="s">
        <v>552</v>
      </c>
      <c r="D7363" t="s">
        <v>7561</v>
      </c>
      <c r="E7363" t="s">
        <v>8</v>
      </c>
    </row>
    <row r="7364" spans="1:5" hidden="1" outlineLevel="2">
      <c r="A7364" s="3" t="e">
        <f>(HYPERLINK("http://www.autodoc.ru/Web/price/art/7248AKMH?analog=on","7248AKMH"))*1</f>
        <v>#VALUE!</v>
      </c>
      <c r="B7364" s="1">
        <v>6100352</v>
      </c>
      <c r="C7364" t="s">
        <v>19</v>
      </c>
      <c r="D7364" t="s">
        <v>7562</v>
      </c>
      <c r="E7364" t="s">
        <v>21</v>
      </c>
    </row>
    <row r="7365" spans="1:5" hidden="1" outlineLevel="2">
      <c r="A7365" s="3" t="e">
        <f>(HYPERLINK("http://www.autodoc.ru/Web/price/art/7248BGSH?analog=on","7248BGSH"))*1</f>
        <v>#VALUE!</v>
      </c>
      <c r="B7365" s="1">
        <v>6994846</v>
      </c>
      <c r="C7365" t="s">
        <v>552</v>
      </c>
      <c r="D7365" t="s">
        <v>7563</v>
      </c>
      <c r="E7365" t="s">
        <v>23</v>
      </c>
    </row>
    <row r="7366" spans="1:5" hidden="1" outlineLevel="2">
      <c r="A7366" s="3" t="e">
        <f>(HYPERLINK("http://www.autodoc.ru/Web/price/art/7248LGSH3FD?analog=on","7248LGSH3FD"))*1</f>
        <v>#VALUE!</v>
      </c>
      <c r="B7366" s="1">
        <v>6994847</v>
      </c>
      <c r="C7366" t="s">
        <v>552</v>
      </c>
      <c r="D7366" t="s">
        <v>7564</v>
      </c>
      <c r="E7366" t="s">
        <v>10</v>
      </c>
    </row>
    <row r="7367" spans="1:5" hidden="1" outlineLevel="2">
      <c r="A7367" s="3" t="e">
        <f>(HYPERLINK("http://www.autodoc.ru/Web/price/art/7248LGSH3FD1A?analog=on","7248LGSH3FD1A"))*1</f>
        <v>#VALUE!</v>
      </c>
      <c r="B7367" s="1">
        <v>6991937</v>
      </c>
      <c r="C7367" t="s">
        <v>554</v>
      </c>
      <c r="D7367" t="s">
        <v>7565</v>
      </c>
      <c r="E7367" t="s">
        <v>10</v>
      </c>
    </row>
    <row r="7368" spans="1:5" hidden="1" outlineLevel="2">
      <c r="A7368" s="3" t="e">
        <f>(HYPERLINK("http://www.autodoc.ru/Web/price/art/7248LGSH3RQZ?analog=on","7248LGSH3RQZ"))*1</f>
        <v>#VALUE!</v>
      </c>
      <c r="B7368" s="1">
        <v>6994848</v>
      </c>
      <c r="C7368" t="s">
        <v>552</v>
      </c>
      <c r="D7368" t="s">
        <v>7566</v>
      </c>
      <c r="E7368" t="s">
        <v>10</v>
      </c>
    </row>
    <row r="7369" spans="1:5" hidden="1" outlineLevel="2">
      <c r="A7369" s="3" t="e">
        <f>(HYPERLINK("http://www.autodoc.ru/Web/price/art/7248LGSH5FD?analog=on","7248LGSH5FD"))*1</f>
        <v>#VALUE!</v>
      </c>
      <c r="B7369" s="1">
        <v>6997467</v>
      </c>
      <c r="C7369" t="s">
        <v>552</v>
      </c>
      <c r="D7369" t="s">
        <v>7567</v>
      </c>
      <c r="E7369" t="s">
        <v>10</v>
      </c>
    </row>
    <row r="7370" spans="1:5" hidden="1" outlineLevel="2">
      <c r="A7370" s="3" t="e">
        <f>(HYPERLINK("http://www.autodoc.ru/Web/price/art/7248LGSH5FD1A?analog=on","7248LGSH5FD1A"))*1</f>
        <v>#VALUE!</v>
      </c>
      <c r="B7370" s="1">
        <v>6991828</v>
      </c>
      <c r="C7370" t="s">
        <v>554</v>
      </c>
      <c r="D7370" t="s">
        <v>7568</v>
      </c>
      <c r="E7370" t="s">
        <v>10</v>
      </c>
    </row>
    <row r="7371" spans="1:5" hidden="1" outlineLevel="2">
      <c r="A7371" s="3" t="e">
        <f>(HYPERLINK("http://www.autodoc.ru/Web/price/art/7248LGSH5RD?analog=on","7248LGSH5RD"))*1</f>
        <v>#VALUE!</v>
      </c>
      <c r="B7371" s="1">
        <v>6997247</v>
      </c>
      <c r="C7371" t="s">
        <v>552</v>
      </c>
      <c r="D7371" t="s">
        <v>7569</v>
      </c>
      <c r="E7371" t="s">
        <v>10</v>
      </c>
    </row>
    <row r="7372" spans="1:5" hidden="1" outlineLevel="2">
      <c r="A7372" s="3" t="e">
        <f>(HYPERLINK("http://www.autodoc.ru/Web/price/art/7248LGSH5RD1J?analog=on","7248LGSH5RD1J"))*1</f>
        <v>#VALUE!</v>
      </c>
      <c r="B7372" s="1">
        <v>6997469</v>
      </c>
      <c r="C7372" t="s">
        <v>1134</v>
      </c>
      <c r="D7372" t="s">
        <v>7570</v>
      </c>
      <c r="E7372" t="s">
        <v>10</v>
      </c>
    </row>
    <row r="7373" spans="1:5" hidden="1" outlineLevel="2">
      <c r="A7373" s="3" t="e">
        <f>(HYPERLINK("http://www.autodoc.ru/Web/price/art/7248LGSH5RV?analog=on","7248LGSH5RV"))*1</f>
        <v>#VALUE!</v>
      </c>
      <c r="B7373" s="1">
        <v>6997249</v>
      </c>
      <c r="C7373" t="s">
        <v>552</v>
      </c>
      <c r="D7373" t="s">
        <v>7571</v>
      </c>
      <c r="E7373" t="s">
        <v>10</v>
      </c>
    </row>
    <row r="7374" spans="1:5" hidden="1" outlineLevel="2">
      <c r="A7374" s="3" t="e">
        <f>(HYPERLINK("http://www.autodoc.ru/Web/price/art/7248RGSH3FD?analog=on","7248RGSH3FD"))*1</f>
        <v>#VALUE!</v>
      </c>
      <c r="B7374" s="1">
        <v>6994849</v>
      </c>
      <c r="C7374" t="s">
        <v>552</v>
      </c>
      <c r="D7374" t="s">
        <v>7572</v>
      </c>
      <c r="E7374" t="s">
        <v>10</v>
      </c>
    </row>
    <row r="7375" spans="1:5" hidden="1" outlineLevel="2">
      <c r="A7375" s="3" t="e">
        <f>(HYPERLINK("http://www.autodoc.ru/Web/price/art/7248RGSH3FD1A?analog=on","7248RGSH3FD1A"))*1</f>
        <v>#VALUE!</v>
      </c>
      <c r="B7375" s="1">
        <v>6991938</v>
      </c>
      <c r="C7375" t="s">
        <v>554</v>
      </c>
      <c r="D7375" t="s">
        <v>7573</v>
      </c>
      <c r="E7375" t="s">
        <v>10</v>
      </c>
    </row>
    <row r="7376" spans="1:5" hidden="1" outlineLevel="2">
      <c r="A7376" s="3" t="e">
        <f>(HYPERLINK("http://www.autodoc.ru/Web/price/art/7248RGSH3RQZ?analog=on","7248RGSH3RQZ"))*1</f>
        <v>#VALUE!</v>
      </c>
      <c r="B7376" s="1">
        <v>6994850</v>
      </c>
      <c r="C7376" t="s">
        <v>552</v>
      </c>
      <c r="D7376" t="s">
        <v>7574</v>
      </c>
      <c r="E7376" t="s">
        <v>10</v>
      </c>
    </row>
    <row r="7377" spans="1:5" hidden="1" outlineLevel="2">
      <c r="A7377" s="3" t="e">
        <f>(HYPERLINK("http://www.autodoc.ru/Web/price/art/7248RGSH5FD?analog=on","7248RGSH5FD"))*1</f>
        <v>#VALUE!</v>
      </c>
      <c r="B7377" s="1">
        <v>6997466</v>
      </c>
      <c r="C7377" t="s">
        <v>552</v>
      </c>
      <c r="D7377" t="s">
        <v>7575</v>
      </c>
      <c r="E7377" t="s">
        <v>10</v>
      </c>
    </row>
    <row r="7378" spans="1:5" hidden="1" outlineLevel="2">
      <c r="A7378" s="3" t="e">
        <f>(HYPERLINK("http://www.autodoc.ru/Web/price/art/7248RGSH5FD1A?analog=on","7248RGSH5FD1A"))*1</f>
        <v>#VALUE!</v>
      </c>
      <c r="B7378" s="1">
        <v>6991829</v>
      </c>
      <c r="C7378" t="s">
        <v>554</v>
      </c>
      <c r="D7378" t="s">
        <v>7576</v>
      </c>
      <c r="E7378" t="s">
        <v>10</v>
      </c>
    </row>
    <row r="7379" spans="1:5" hidden="1" outlineLevel="2">
      <c r="A7379" s="3" t="e">
        <f>(HYPERLINK("http://www.autodoc.ru/Web/price/art/7248RGSH5RD?analog=on","7248RGSH5RD"))*1</f>
        <v>#VALUE!</v>
      </c>
      <c r="B7379" s="1">
        <v>6997246</v>
      </c>
      <c r="C7379" t="s">
        <v>552</v>
      </c>
      <c r="D7379" t="s">
        <v>7577</v>
      </c>
      <c r="E7379" t="s">
        <v>10</v>
      </c>
    </row>
    <row r="7380" spans="1:5" hidden="1" outlineLevel="2">
      <c r="A7380" s="3" t="e">
        <f>(HYPERLINK("http://www.autodoc.ru/Web/price/art/7248RGSH5RD1J?analog=on","7248RGSH5RD1J"))*1</f>
        <v>#VALUE!</v>
      </c>
      <c r="B7380" s="1">
        <v>6997468</v>
      </c>
      <c r="C7380" t="s">
        <v>1134</v>
      </c>
      <c r="D7380" t="s">
        <v>7578</v>
      </c>
      <c r="E7380" t="s">
        <v>10</v>
      </c>
    </row>
    <row r="7381" spans="1:5" hidden="1" outlineLevel="2">
      <c r="A7381" s="3" t="e">
        <f>(HYPERLINK("http://www.autodoc.ru/Web/price/art/7248RGSH5RV?analog=on","7248RGSH5RV"))*1</f>
        <v>#VALUE!</v>
      </c>
      <c r="B7381" s="1">
        <v>6997248</v>
      </c>
      <c r="C7381" t="s">
        <v>552</v>
      </c>
      <c r="D7381" t="s">
        <v>7579</v>
      </c>
      <c r="E7381" t="s">
        <v>10</v>
      </c>
    </row>
    <row r="7382" spans="1:5" hidden="1" outlineLevel="1">
      <c r="A7382" s="2">
        <v>0</v>
      </c>
      <c r="B7382" s="26" t="s">
        <v>7580</v>
      </c>
      <c r="C7382" s="27">
        <v>0</v>
      </c>
      <c r="D7382" s="27">
        <v>0</v>
      </c>
      <c r="E7382" s="27">
        <v>0</v>
      </c>
    </row>
    <row r="7383" spans="1:5" hidden="1" outlineLevel="2">
      <c r="A7383" s="3" t="e">
        <f>(HYPERLINK("http://www.autodoc.ru/Web/price/art/7262AGSMV1R?analog=on","7262AGSMV1R"))*1</f>
        <v>#VALUE!</v>
      </c>
      <c r="B7383" s="1">
        <v>6962458</v>
      </c>
      <c r="C7383" t="s">
        <v>4323</v>
      </c>
      <c r="D7383" t="s">
        <v>7581</v>
      </c>
      <c r="E7383" t="s">
        <v>8</v>
      </c>
    </row>
    <row r="7384" spans="1:5" hidden="1" outlineLevel="2">
      <c r="A7384" s="3" t="e">
        <f>(HYPERLINK("http://www.autodoc.ru/Web/price/art/7262AGAMV1R?analog=on","7262AGAMV1R"))*1</f>
        <v>#VALUE!</v>
      </c>
      <c r="B7384" s="1">
        <v>6961489</v>
      </c>
      <c r="C7384" t="s">
        <v>4323</v>
      </c>
      <c r="D7384" t="s">
        <v>7582</v>
      </c>
      <c r="E7384" t="s">
        <v>8</v>
      </c>
    </row>
    <row r="7385" spans="1:5" hidden="1" outlineLevel="2">
      <c r="A7385" s="3" t="e">
        <f>(HYPERLINK("http://www.autodoc.ru/Web/price/art/7262AGSV1M?analog=on","7262AGSV1M"))*1</f>
        <v>#VALUE!</v>
      </c>
      <c r="B7385" s="1">
        <v>6961450</v>
      </c>
      <c r="C7385" t="s">
        <v>4323</v>
      </c>
      <c r="D7385" t="s">
        <v>7583</v>
      </c>
      <c r="E7385" t="s">
        <v>8</v>
      </c>
    </row>
    <row r="7386" spans="1:5" hidden="1" outlineLevel="2">
      <c r="A7386" s="3" t="e">
        <f>(HYPERLINK("http://www.autodoc.ru/Web/price/art/7262AGSV1Q?analog=on","7262AGSV1Q"))*1</f>
        <v>#VALUE!</v>
      </c>
      <c r="B7386" s="1">
        <v>6961487</v>
      </c>
      <c r="C7386" t="s">
        <v>4323</v>
      </c>
      <c r="D7386" t="s">
        <v>7583</v>
      </c>
      <c r="E7386" t="s">
        <v>8</v>
      </c>
    </row>
    <row r="7387" spans="1:5" hidden="1" outlineLevel="2">
      <c r="A7387" s="3" t="e">
        <f>(HYPERLINK("http://www.autodoc.ru/Web/price/art/7262ASMHT?analog=on","7262ASMHT"))*1</f>
        <v>#VALUE!</v>
      </c>
      <c r="B7387" s="1">
        <v>6101705</v>
      </c>
      <c r="C7387" t="s">
        <v>19</v>
      </c>
      <c r="D7387" t="s">
        <v>7584</v>
      </c>
      <c r="E7387" t="s">
        <v>21</v>
      </c>
    </row>
    <row r="7388" spans="1:5" hidden="1" outlineLevel="2">
      <c r="A7388" s="3" t="e">
        <f>(HYPERLINK("http://www.autodoc.ru/Web/price/art/7262BGPH?analog=on","7262BGPH"))*1</f>
        <v>#VALUE!</v>
      </c>
      <c r="B7388" s="1">
        <v>6996558</v>
      </c>
      <c r="C7388" t="s">
        <v>4323</v>
      </c>
      <c r="D7388" t="s">
        <v>7585</v>
      </c>
      <c r="E7388" t="s">
        <v>23</v>
      </c>
    </row>
    <row r="7389" spans="1:5" hidden="1" outlineLevel="2">
      <c r="A7389" s="3" t="e">
        <f>(HYPERLINK("http://www.autodoc.ru/Web/price/art/7262BGSH?analog=on","7262BGSH"))*1</f>
        <v>#VALUE!</v>
      </c>
      <c r="B7389" s="1">
        <v>6992337</v>
      </c>
      <c r="C7389" t="s">
        <v>4323</v>
      </c>
      <c r="D7389" t="s">
        <v>7586</v>
      </c>
      <c r="E7389" t="s">
        <v>23</v>
      </c>
    </row>
    <row r="7390" spans="1:5" hidden="1" outlineLevel="2">
      <c r="A7390" s="3" t="e">
        <f>(HYPERLINK("http://www.autodoc.ru/Web/price/art/7262LGSH3FD?analog=on","7262LGSH3FD"))*1</f>
        <v>#VALUE!</v>
      </c>
      <c r="B7390" s="1">
        <v>6992333</v>
      </c>
      <c r="C7390" t="s">
        <v>4323</v>
      </c>
      <c r="D7390" t="s">
        <v>7587</v>
      </c>
      <c r="E7390" t="s">
        <v>10</v>
      </c>
    </row>
    <row r="7391" spans="1:5" hidden="1" outlineLevel="2">
      <c r="A7391" s="3" t="e">
        <f>(HYPERLINK("http://www.autodoc.ru/Web/price/art/7262LGSH3RQ?analog=on","7262LGSH3RQ"))*1</f>
        <v>#VALUE!</v>
      </c>
      <c r="B7391" s="1">
        <v>6992335</v>
      </c>
      <c r="C7391" t="s">
        <v>4323</v>
      </c>
      <c r="D7391" t="s">
        <v>7588</v>
      </c>
      <c r="E7391" t="s">
        <v>10</v>
      </c>
    </row>
    <row r="7392" spans="1:5" hidden="1" outlineLevel="2">
      <c r="A7392" s="3" t="e">
        <f>(HYPERLINK("http://www.autodoc.ru/Web/price/art/7262LGSH5FD?analog=on","7262LGSH5FD"))*1</f>
        <v>#VALUE!</v>
      </c>
      <c r="B7392" s="1">
        <v>6992338</v>
      </c>
      <c r="C7392" t="s">
        <v>4323</v>
      </c>
      <c r="D7392" t="s">
        <v>7587</v>
      </c>
      <c r="E7392" t="s">
        <v>10</v>
      </c>
    </row>
    <row r="7393" spans="1:5" hidden="1" outlineLevel="2">
      <c r="A7393" s="3" t="e">
        <f>(HYPERLINK("http://www.autodoc.ru/Web/price/art/7262LGSH5RD?analog=on","7262LGSH5RD"))*1</f>
        <v>#VALUE!</v>
      </c>
      <c r="B7393" s="1">
        <v>6992340</v>
      </c>
      <c r="C7393" t="s">
        <v>4323</v>
      </c>
      <c r="D7393" t="s">
        <v>7589</v>
      </c>
      <c r="E7393" t="s">
        <v>10</v>
      </c>
    </row>
    <row r="7394" spans="1:5" hidden="1" outlineLevel="2">
      <c r="A7394" s="3" t="e">
        <f>(HYPERLINK("http://www.autodoc.ru/Web/price/art/7262LGSH5RV?analog=on","7262LGSH5RV"))*1</f>
        <v>#VALUE!</v>
      </c>
      <c r="B7394" s="1">
        <v>6992244</v>
      </c>
      <c r="C7394" t="s">
        <v>4323</v>
      </c>
      <c r="D7394" t="s">
        <v>7590</v>
      </c>
      <c r="E7394" t="s">
        <v>10</v>
      </c>
    </row>
    <row r="7395" spans="1:5" hidden="1" outlineLevel="2">
      <c r="A7395" s="3" t="e">
        <f>(HYPERLINK("http://www.autodoc.ru/Web/price/art/7262RGSH3FD?analog=on","7262RGSH3FD"))*1</f>
        <v>#VALUE!</v>
      </c>
      <c r="B7395" s="1">
        <v>6992334</v>
      </c>
      <c r="C7395" t="s">
        <v>4323</v>
      </c>
      <c r="D7395" t="s">
        <v>7591</v>
      </c>
      <c r="E7395" t="s">
        <v>10</v>
      </c>
    </row>
    <row r="7396" spans="1:5" hidden="1" outlineLevel="2">
      <c r="A7396" s="3" t="e">
        <f>(HYPERLINK("http://www.autodoc.ru/Web/price/art/7262RGSH3RQ?analog=on","7262RGSH3RQ"))*1</f>
        <v>#VALUE!</v>
      </c>
      <c r="B7396" s="1">
        <v>6992336</v>
      </c>
      <c r="C7396" t="s">
        <v>4323</v>
      </c>
      <c r="D7396" t="s">
        <v>7592</v>
      </c>
      <c r="E7396" t="s">
        <v>10</v>
      </c>
    </row>
    <row r="7397" spans="1:5" hidden="1" outlineLevel="2">
      <c r="A7397" s="3" t="e">
        <f>(HYPERLINK("http://www.autodoc.ru/Web/price/art/7262RGSH5FD?analog=on","7262RGSH5FD"))*1</f>
        <v>#VALUE!</v>
      </c>
      <c r="B7397" s="1">
        <v>6992339</v>
      </c>
      <c r="C7397" t="s">
        <v>4323</v>
      </c>
      <c r="D7397" t="s">
        <v>7591</v>
      </c>
      <c r="E7397" t="s">
        <v>10</v>
      </c>
    </row>
    <row r="7398" spans="1:5" hidden="1" outlineLevel="2">
      <c r="A7398" s="3" t="e">
        <f>(HYPERLINK("http://www.autodoc.ru/Web/price/art/7262RGSH5RD?analog=on","7262RGSH5RD"))*1</f>
        <v>#VALUE!</v>
      </c>
      <c r="B7398" s="1">
        <v>6992341</v>
      </c>
      <c r="C7398" t="s">
        <v>4323</v>
      </c>
      <c r="D7398" t="s">
        <v>7589</v>
      </c>
      <c r="E7398" t="s">
        <v>10</v>
      </c>
    </row>
    <row r="7399" spans="1:5" hidden="1" outlineLevel="2">
      <c r="A7399" s="3" t="e">
        <f>(HYPERLINK("http://www.autodoc.ru/Web/price/art/7262RGSH5RV?analog=on","7262RGSH5RV"))*1</f>
        <v>#VALUE!</v>
      </c>
      <c r="B7399" s="1">
        <v>6992245</v>
      </c>
      <c r="C7399" t="s">
        <v>4323</v>
      </c>
      <c r="D7399" t="s">
        <v>7593</v>
      </c>
      <c r="E7399" t="s">
        <v>10</v>
      </c>
    </row>
    <row r="7400" spans="1:5" hidden="1" outlineLevel="1">
      <c r="A7400" s="2">
        <v>0</v>
      </c>
      <c r="B7400" s="26" t="s">
        <v>7594</v>
      </c>
      <c r="C7400" s="27">
        <v>0</v>
      </c>
      <c r="D7400" s="27">
        <v>0</v>
      </c>
      <c r="E7400" s="27">
        <v>0</v>
      </c>
    </row>
    <row r="7401" spans="1:5" hidden="1" outlineLevel="2">
      <c r="A7401" s="3" t="e">
        <f>(HYPERLINK("http://www.autodoc.ru/Web/price/art/7276AGS?analog=on","7276AGS"))*1</f>
        <v>#VALUE!</v>
      </c>
      <c r="B7401" s="1">
        <v>6962980</v>
      </c>
      <c r="C7401" t="s">
        <v>7595</v>
      </c>
      <c r="D7401" t="s">
        <v>7596</v>
      </c>
      <c r="E7401" t="s">
        <v>8</v>
      </c>
    </row>
    <row r="7402" spans="1:5" hidden="1" outlineLevel="2">
      <c r="A7402" s="3" t="e">
        <f>(HYPERLINK("http://www.autodoc.ru/Web/price/art/7276RGNR5FD?analog=on","7276RGNR5FD"))*1</f>
        <v>#VALUE!</v>
      </c>
      <c r="B7402" s="1">
        <v>6900400</v>
      </c>
      <c r="C7402" t="s">
        <v>7595</v>
      </c>
      <c r="D7402" t="s">
        <v>7597</v>
      </c>
      <c r="E7402" t="s">
        <v>10</v>
      </c>
    </row>
    <row r="7403" spans="1:5" hidden="1" outlineLevel="2">
      <c r="A7403" s="3" t="e">
        <f>(HYPERLINK("http://www.autodoc.ru/Web/price/art/7276LGNR5FD?analog=on","7276LGNR5FD"))*1</f>
        <v>#VALUE!</v>
      </c>
      <c r="B7403" s="1">
        <v>6900401</v>
      </c>
      <c r="C7403" t="s">
        <v>7595</v>
      </c>
      <c r="D7403" t="s">
        <v>7598</v>
      </c>
      <c r="E7403" t="s">
        <v>10</v>
      </c>
    </row>
    <row r="7404" spans="1:5" hidden="1" outlineLevel="2">
      <c r="A7404" s="3" t="e">
        <f>(HYPERLINK("http://www.autodoc.ru/Web/price/art/7276RGNR5RD?analog=on","7276RGNR5RD"))*1</f>
        <v>#VALUE!</v>
      </c>
      <c r="B7404" s="1">
        <v>6901519</v>
      </c>
      <c r="C7404" t="s">
        <v>341</v>
      </c>
      <c r="D7404" t="s">
        <v>7599</v>
      </c>
      <c r="E7404" t="s">
        <v>10</v>
      </c>
    </row>
    <row r="7405" spans="1:5" hidden="1" outlineLevel="2">
      <c r="A7405" s="3" t="e">
        <f>(HYPERLINK("http://www.autodoc.ru/Web/price/art/7276LGNR5RD?analog=on","7276LGNR5RD"))*1</f>
        <v>#VALUE!</v>
      </c>
      <c r="B7405" s="1">
        <v>6901520</v>
      </c>
      <c r="C7405" t="s">
        <v>341</v>
      </c>
      <c r="D7405" t="s">
        <v>7600</v>
      </c>
      <c r="E7405" t="s">
        <v>10</v>
      </c>
    </row>
    <row r="7406" spans="1:5" hidden="1" outlineLevel="2">
      <c r="A7406" s="3" t="e">
        <f>(HYPERLINK("http://www.autodoc.ru/Web/price/art/7276RGNR5RQ?analog=on","7276RGNR5RQ"))*1</f>
        <v>#VALUE!</v>
      </c>
      <c r="B7406" s="1">
        <v>6901521</v>
      </c>
      <c r="C7406" t="s">
        <v>341</v>
      </c>
      <c r="D7406" t="s">
        <v>7601</v>
      </c>
      <c r="E7406" t="s">
        <v>10</v>
      </c>
    </row>
    <row r="7407" spans="1:5" hidden="1" outlineLevel="2">
      <c r="A7407" s="3" t="e">
        <f>(HYPERLINK("http://www.autodoc.ru/Web/price/art/7276LGNR5RQ?analog=on","7276LGNR5RQ"))*1</f>
        <v>#VALUE!</v>
      </c>
      <c r="B7407" s="1">
        <v>6901522</v>
      </c>
      <c r="C7407" t="s">
        <v>341</v>
      </c>
      <c r="D7407" t="s">
        <v>7602</v>
      </c>
      <c r="E7407" t="s">
        <v>10</v>
      </c>
    </row>
    <row r="7408" spans="1:5" hidden="1" outlineLevel="2">
      <c r="A7408" s="3" t="e">
        <f>(HYPERLINK("http://www.autodoc.ru/Web/price/art/7276BGSR?analog=on","7276BGSR"))*1</f>
        <v>#VALUE!</v>
      </c>
      <c r="B7408" s="1">
        <v>6901523</v>
      </c>
      <c r="C7408" t="s">
        <v>341</v>
      </c>
      <c r="D7408" t="s">
        <v>7603</v>
      </c>
      <c r="E7408" t="s">
        <v>23</v>
      </c>
    </row>
    <row r="7409" spans="1:5" hidden="1" outlineLevel="1">
      <c r="A7409" s="2">
        <v>0</v>
      </c>
      <c r="B7409" s="26" t="s">
        <v>7604</v>
      </c>
      <c r="C7409" s="27">
        <v>0</v>
      </c>
      <c r="D7409" s="27">
        <v>0</v>
      </c>
      <c r="E7409" s="27">
        <v>0</v>
      </c>
    </row>
    <row r="7410" spans="1:5" hidden="1" outlineLevel="2">
      <c r="A7410" s="3" t="e">
        <f>(HYPERLINK("http://www.autodoc.ru/Web/price/art/7228ABZ?analog=on","7228ABZ"))*1</f>
        <v>#VALUE!</v>
      </c>
      <c r="B7410" s="1">
        <v>6966231</v>
      </c>
      <c r="C7410" t="s">
        <v>7605</v>
      </c>
      <c r="D7410" t="s">
        <v>7606</v>
      </c>
      <c r="E7410" t="s">
        <v>8</v>
      </c>
    </row>
    <row r="7411" spans="1:5" hidden="1" outlineLevel="2">
      <c r="A7411" s="3" t="e">
        <f>(HYPERLINK("http://www.autodoc.ru/Web/price/art/7228ACL?analog=on","7228ACL"))*1</f>
        <v>#VALUE!</v>
      </c>
      <c r="B7411" s="1">
        <v>6966224</v>
      </c>
      <c r="C7411" t="s">
        <v>7605</v>
      </c>
      <c r="D7411" t="s">
        <v>7607</v>
      </c>
      <c r="E7411" t="s">
        <v>8</v>
      </c>
    </row>
    <row r="7412" spans="1:5" hidden="1" outlineLevel="2">
      <c r="A7412" s="3" t="e">
        <f>(HYPERLINK("http://www.autodoc.ru/Web/price/art/7228AKMV?analog=on","7228AKMV"))*1</f>
        <v>#VALUE!</v>
      </c>
      <c r="B7412" s="1">
        <v>6100361</v>
      </c>
      <c r="C7412" t="s">
        <v>19</v>
      </c>
      <c r="D7412" t="s">
        <v>7608</v>
      </c>
      <c r="E7412" t="s">
        <v>21</v>
      </c>
    </row>
    <row r="7413" spans="1:5" hidden="1" outlineLevel="2">
      <c r="A7413" s="3" t="e">
        <f>(HYPERLINK("http://www.autodoc.ru/Web/price/art/7228RBZV5FD?analog=on","7228RBZV5FD"))*1</f>
        <v>#VALUE!</v>
      </c>
      <c r="B7413" s="1">
        <v>6996887</v>
      </c>
      <c r="C7413" t="s">
        <v>7605</v>
      </c>
      <c r="D7413" t="s">
        <v>7609</v>
      </c>
      <c r="E7413" t="s">
        <v>10</v>
      </c>
    </row>
    <row r="7414" spans="1:5" hidden="1" outlineLevel="1">
      <c r="A7414" s="2">
        <v>0</v>
      </c>
      <c r="B7414" s="26" t="s">
        <v>7610</v>
      </c>
      <c r="C7414" s="27">
        <v>0</v>
      </c>
      <c r="D7414" s="27">
        <v>0</v>
      </c>
      <c r="E7414" s="27">
        <v>0</v>
      </c>
    </row>
    <row r="7415" spans="1:5" hidden="1" outlineLevel="2">
      <c r="A7415" s="3" t="e">
        <f>(HYPERLINK("http://www.autodoc.ru/Web/price/art/7234ACL?analog=on","7234ACL"))*1</f>
        <v>#VALUE!</v>
      </c>
      <c r="B7415" s="1">
        <v>6966240</v>
      </c>
      <c r="C7415" t="s">
        <v>3237</v>
      </c>
      <c r="D7415" t="s">
        <v>7611</v>
      </c>
      <c r="E7415" t="s">
        <v>8</v>
      </c>
    </row>
    <row r="7416" spans="1:5" hidden="1" outlineLevel="2">
      <c r="A7416" s="3" t="e">
        <f>(HYPERLINK("http://www.autodoc.ru/Web/price/art/7234AGN?analog=on","7234AGN"))*1</f>
        <v>#VALUE!</v>
      </c>
      <c r="B7416" s="1">
        <v>6966241</v>
      </c>
      <c r="C7416" t="s">
        <v>3237</v>
      </c>
      <c r="D7416" t="s">
        <v>7612</v>
      </c>
      <c r="E7416" t="s">
        <v>8</v>
      </c>
    </row>
    <row r="7417" spans="1:5" hidden="1" outlineLevel="2">
      <c r="A7417" s="3" t="e">
        <f>(HYPERLINK("http://www.autodoc.ru/Web/price/art/7234AGNGN?analog=on","7234AGNGN"))*1</f>
        <v>#VALUE!</v>
      </c>
      <c r="B7417" s="1">
        <v>6963765</v>
      </c>
      <c r="C7417" t="s">
        <v>3237</v>
      </c>
      <c r="D7417" t="s">
        <v>7613</v>
      </c>
      <c r="E7417" t="s">
        <v>8</v>
      </c>
    </row>
    <row r="7418" spans="1:5" hidden="1" outlineLevel="2">
      <c r="A7418" s="3" t="e">
        <f>(HYPERLINK("http://www.autodoc.ru/Web/price/art/7234AKMV?analog=on","7234AKMV"))*1</f>
        <v>#VALUE!</v>
      </c>
      <c r="B7418" s="1">
        <v>6100199</v>
      </c>
      <c r="C7418" t="s">
        <v>19</v>
      </c>
      <c r="D7418" t="s">
        <v>7614</v>
      </c>
      <c r="E7418" t="s">
        <v>21</v>
      </c>
    </row>
    <row r="7419" spans="1:5" hidden="1" outlineLevel="2">
      <c r="A7419" s="3" t="e">
        <f>(HYPERLINK("http://www.autodoc.ru/Web/price/art/7234BGNV?analog=on","7234BGNV"))*1</f>
        <v>#VALUE!</v>
      </c>
      <c r="B7419" s="1">
        <v>6998185</v>
      </c>
      <c r="C7419" t="s">
        <v>497</v>
      </c>
      <c r="D7419" t="s">
        <v>7615</v>
      </c>
      <c r="E7419" t="s">
        <v>23</v>
      </c>
    </row>
    <row r="7420" spans="1:5" hidden="1" outlineLevel="2">
      <c r="A7420" s="3" t="e">
        <f>(HYPERLINK("http://www.autodoc.ru/Web/price/art/7234LGNV4FD?analog=on","7234LGNV4FD"))*1</f>
        <v>#VALUE!</v>
      </c>
      <c r="B7420" s="1">
        <v>6995831</v>
      </c>
      <c r="C7420" t="s">
        <v>3237</v>
      </c>
      <c r="D7420" t="s">
        <v>7616</v>
      </c>
      <c r="E7420" t="s">
        <v>10</v>
      </c>
    </row>
    <row r="7421" spans="1:5" hidden="1" outlineLevel="2">
      <c r="A7421" s="3" t="e">
        <f>(HYPERLINK("http://www.autodoc.ru/Web/price/art/7234LGNV4FQ?analog=on","7234LGNV4FQ"))*1</f>
        <v>#VALUE!</v>
      </c>
      <c r="B7421" s="1">
        <v>6994596</v>
      </c>
      <c r="C7421" t="s">
        <v>3237</v>
      </c>
      <c r="D7421" t="s">
        <v>7617</v>
      </c>
      <c r="E7421" t="s">
        <v>10</v>
      </c>
    </row>
    <row r="7422" spans="1:5" hidden="1" outlineLevel="2">
      <c r="A7422" s="3" t="e">
        <f>(HYPERLINK("http://www.autodoc.ru/Web/price/art/7234LGNV4RQO?analog=on","7234LGNV4RQO"))*1</f>
        <v>#VALUE!</v>
      </c>
      <c r="B7422" s="1">
        <v>6994597</v>
      </c>
      <c r="C7422" t="s">
        <v>3237</v>
      </c>
      <c r="D7422" t="s">
        <v>7618</v>
      </c>
      <c r="E7422" t="s">
        <v>10</v>
      </c>
    </row>
    <row r="7423" spans="1:5" hidden="1" outlineLevel="2">
      <c r="A7423" s="3" t="e">
        <f>(HYPERLINK("http://www.autodoc.ru/Web/price/art/7234RGNV4FD?analog=on","7234RGNV4FD"))*1</f>
        <v>#VALUE!</v>
      </c>
      <c r="B7423" s="1">
        <v>6995833</v>
      </c>
      <c r="C7423" t="s">
        <v>3237</v>
      </c>
      <c r="D7423" t="s">
        <v>7619</v>
      </c>
      <c r="E7423" t="s">
        <v>10</v>
      </c>
    </row>
    <row r="7424" spans="1:5" hidden="1" outlineLevel="2">
      <c r="A7424" s="3" t="e">
        <f>(HYPERLINK("http://www.autodoc.ru/Web/price/art/7234RGNV4FQ?analog=on","7234RGNV4FQ"))*1</f>
        <v>#VALUE!</v>
      </c>
      <c r="B7424" s="1">
        <v>6994598</v>
      </c>
      <c r="C7424" t="s">
        <v>3237</v>
      </c>
      <c r="D7424" t="s">
        <v>7620</v>
      </c>
      <c r="E7424" t="s">
        <v>10</v>
      </c>
    </row>
    <row r="7425" spans="1:5" hidden="1" outlineLevel="2">
      <c r="A7425" s="3" t="e">
        <f>(HYPERLINK("http://www.autodoc.ru/Web/price/art/7234RGNV4RQO?analog=on","7234RGNV4RQO"))*1</f>
        <v>#VALUE!</v>
      </c>
      <c r="B7425" s="1">
        <v>6994599</v>
      </c>
      <c r="C7425" t="s">
        <v>3237</v>
      </c>
      <c r="D7425" t="s">
        <v>7621</v>
      </c>
      <c r="E7425" t="s">
        <v>10</v>
      </c>
    </row>
    <row r="7426" spans="1:5" hidden="1" outlineLevel="1">
      <c r="A7426" s="2">
        <v>0</v>
      </c>
      <c r="B7426" s="26" t="s">
        <v>7622</v>
      </c>
      <c r="C7426" s="27">
        <v>0</v>
      </c>
      <c r="D7426" s="27">
        <v>0</v>
      </c>
      <c r="E7426" s="27">
        <v>0</v>
      </c>
    </row>
    <row r="7427" spans="1:5" hidden="1" outlineLevel="2">
      <c r="A7427" s="3" t="e">
        <f>(HYPERLINK("http://www.autodoc.ru/Web/price/art/7243ACCV?analog=on","7243ACCV"))*1</f>
        <v>#VALUE!</v>
      </c>
      <c r="B7427" s="1">
        <v>6963339</v>
      </c>
      <c r="C7427" t="s">
        <v>3800</v>
      </c>
      <c r="D7427" t="s">
        <v>7623</v>
      </c>
      <c r="E7427" t="s">
        <v>8</v>
      </c>
    </row>
    <row r="7428" spans="1:5" hidden="1" outlineLevel="2">
      <c r="A7428" s="3" t="e">
        <f>(HYPERLINK("http://www.autodoc.ru/Web/price/art/7243ACCV6A?analog=on","7243ACCV6A"))*1</f>
        <v>#VALUE!</v>
      </c>
      <c r="B7428" s="1">
        <v>6960832</v>
      </c>
      <c r="C7428" t="s">
        <v>3800</v>
      </c>
      <c r="D7428" t="s">
        <v>7624</v>
      </c>
      <c r="E7428" t="s">
        <v>8</v>
      </c>
    </row>
    <row r="7429" spans="1:5" hidden="1" outlineLevel="2">
      <c r="A7429" s="3" t="e">
        <f>(HYPERLINK("http://www.autodoc.ru/Web/price/art/7243AGNV?analog=on","7243AGNV"))*1</f>
        <v>#VALUE!</v>
      </c>
      <c r="B7429" s="1">
        <v>6963340</v>
      </c>
      <c r="C7429" t="s">
        <v>3800</v>
      </c>
      <c r="D7429" t="s">
        <v>7625</v>
      </c>
      <c r="E7429" t="s">
        <v>8</v>
      </c>
    </row>
    <row r="7430" spans="1:5" hidden="1" outlineLevel="2">
      <c r="A7430" s="3" t="e">
        <f>(HYPERLINK("http://www.autodoc.ru/Web/price/art/7243AKMV?analog=on","7243AKMV"))*1</f>
        <v>#VALUE!</v>
      </c>
      <c r="B7430" s="1">
        <v>6100206</v>
      </c>
      <c r="C7430" t="s">
        <v>19</v>
      </c>
      <c r="D7430" t="s">
        <v>7626</v>
      </c>
      <c r="E7430" t="s">
        <v>21</v>
      </c>
    </row>
    <row r="7431" spans="1:5" hidden="1" outlineLevel="2">
      <c r="A7431" s="3" t="e">
        <f>(HYPERLINK("http://www.autodoc.ru/Web/price/art/7243BGNV?analog=on","7243BGNV"))*1</f>
        <v>#VALUE!</v>
      </c>
      <c r="B7431" s="1">
        <v>6998807</v>
      </c>
      <c r="C7431" t="s">
        <v>3800</v>
      </c>
      <c r="D7431" t="s">
        <v>7627</v>
      </c>
      <c r="E7431" t="s">
        <v>23</v>
      </c>
    </row>
    <row r="7432" spans="1:5" hidden="1" outlineLevel="2">
      <c r="A7432" s="3" t="e">
        <f>(HYPERLINK("http://www.autodoc.ru/Web/price/art/7243BGNVOW?analog=on","7243BGNVOW"))*1</f>
        <v>#VALUE!</v>
      </c>
      <c r="B7432" s="1">
        <v>6998808</v>
      </c>
      <c r="C7432" t="s">
        <v>3800</v>
      </c>
      <c r="D7432" t="s">
        <v>7628</v>
      </c>
      <c r="E7432" t="s">
        <v>23</v>
      </c>
    </row>
    <row r="7433" spans="1:5" hidden="1" outlineLevel="2">
      <c r="A7433" s="3" t="e">
        <f>(HYPERLINK("http://www.autodoc.ru/Web/price/art/7243LGNV5FD?analog=on","7243LGNV5FD"))*1</f>
        <v>#VALUE!</v>
      </c>
      <c r="B7433" s="1">
        <v>6994628</v>
      </c>
      <c r="C7433" t="s">
        <v>3800</v>
      </c>
      <c r="D7433" t="s">
        <v>7629</v>
      </c>
      <c r="E7433" t="s">
        <v>10</v>
      </c>
    </row>
    <row r="7434" spans="1:5" hidden="1" outlineLevel="2">
      <c r="A7434" s="3" t="e">
        <f>(HYPERLINK("http://www.autodoc.ru/Web/price/art/7243LGNV5FQ?analog=on","7243LGNV5FQ"))*1</f>
        <v>#VALUE!</v>
      </c>
      <c r="B7434" s="1">
        <v>6994629</v>
      </c>
      <c r="C7434" t="s">
        <v>3800</v>
      </c>
      <c r="D7434" t="s">
        <v>7630</v>
      </c>
      <c r="E7434" t="s">
        <v>10</v>
      </c>
    </row>
    <row r="7435" spans="1:5" hidden="1" outlineLevel="2">
      <c r="A7435" s="3" t="e">
        <f>(HYPERLINK("http://www.autodoc.ru/Web/price/art/7243LGNV5RQO?analog=on","7243LGNV5RQO"))*1</f>
        <v>#VALUE!</v>
      </c>
      <c r="B7435" s="1">
        <v>6994631</v>
      </c>
      <c r="C7435" t="s">
        <v>3800</v>
      </c>
      <c r="D7435" t="s">
        <v>7631</v>
      </c>
      <c r="E7435" t="s">
        <v>10</v>
      </c>
    </row>
    <row r="7436" spans="1:5" hidden="1" outlineLevel="2">
      <c r="A7436" s="3" t="e">
        <f>(HYPERLINK("http://www.autodoc.ru/Web/price/art/7243RGNV5FD?analog=on","7243RGNV5FD"))*1</f>
        <v>#VALUE!</v>
      </c>
      <c r="B7436" s="1">
        <v>6994633</v>
      </c>
      <c r="C7436" t="s">
        <v>3800</v>
      </c>
      <c r="D7436" t="s">
        <v>7632</v>
      </c>
      <c r="E7436" t="s">
        <v>10</v>
      </c>
    </row>
    <row r="7437" spans="1:5" hidden="1" outlineLevel="2">
      <c r="A7437" s="3" t="e">
        <f>(HYPERLINK("http://www.autodoc.ru/Web/price/art/7243RGNV5FQ?analog=on","7243RGNV5FQ"))*1</f>
        <v>#VALUE!</v>
      </c>
      <c r="B7437" s="1">
        <v>6994634</v>
      </c>
      <c r="C7437" t="s">
        <v>3800</v>
      </c>
      <c r="D7437" t="s">
        <v>7633</v>
      </c>
      <c r="E7437" t="s">
        <v>10</v>
      </c>
    </row>
    <row r="7438" spans="1:5" hidden="1" outlineLevel="2">
      <c r="A7438" s="3" t="e">
        <f>(HYPERLINK("http://www.autodoc.ru/Web/price/art/7243RGNV5RQO?analog=on","7243RGNV5RQO"))*1</f>
        <v>#VALUE!</v>
      </c>
      <c r="B7438" s="1">
        <v>6994636</v>
      </c>
      <c r="C7438" t="s">
        <v>3800</v>
      </c>
      <c r="D7438" t="s">
        <v>7634</v>
      </c>
      <c r="E7438" t="s">
        <v>10</v>
      </c>
    </row>
    <row r="7439" spans="1:5" hidden="1" outlineLevel="1">
      <c r="A7439" s="2">
        <v>0</v>
      </c>
      <c r="B7439" s="26" t="s">
        <v>7635</v>
      </c>
      <c r="C7439" s="27">
        <v>0</v>
      </c>
      <c r="D7439" s="27">
        <v>0</v>
      </c>
      <c r="E7439" s="27">
        <v>0</v>
      </c>
    </row>
    <row r="7440" spans="1:5" hidden="1" outlineLevel="2">
      <c r="A7440" s="3" t="e">
        <f>(HYPERLINK("http://www.autodoc.ru/Web/price/art/7227ACL1C?analog=on","7227ACL1C"))*1</f>
        <v>#VALUE!</v>
      </c>
      <c r="B7440" s="1">
        <v>6966215</v>
      </c>
      <c r="C7440" t="s">
        <v>4757</v>
      </c>
      <c r="D7440" t="s">
        <v>7636</v>
      </c>
      <c r="E7440" t="s">
        <v>8</v>
      </c>
    </row>
    <row r="7441" spans="1:5" hidden="1" outlineLevel="2">
      <c r="A7441" s="3" t="e">
        <f>(HYPERLINK("http://www.autodoc.ru/Web/price/art/7227AGN1C?analog=on","7227AGN1C"))*1</f>
        <v>#VALUE!</v>
      </c>
      <c r="B7441" s="1">
        <v>6966216</v>
      </c>
      <c r="C7441" t="s">
        <v>4757</v>
      </c>
      <c r="D7441" t="s">
        <v>7637</v>
      </c>
      <c r="E7441" t="s">
        <v>8</v>
      </c>
    </row>
    <row r="7442" spans="1:5" hidden="1" outlineLevel="2">
      <c r="A7442" s="3" t="e">
        <f>(HYPERLINK("http://www.autodoc.ru/Web/price/art/7227AGNGN1C?analog=on","7227AGNGN1C"))*1</f>
        <v>#VALUE!</v>
      </c>
      <c r="B7442" s="1">
        <v>6966250</v>
      </c>
      <c r="C7442" t="s">
        <v>4757</v>
      </c>
      <c r="D7442" t="s">
        <v>7638</v>
      </c>
      <c r="E7442" t="s">
        <v>8</v>
      </c>
    </row>
    <row r="7443" spans="1:5" hidden="1" outlineLevel="2">
      <c r="A7443" s="3" t="e">
        <f>(HYPERLINK("http://www.autodoc.ru/Web/price/art/7227AKMH?analog=on","7227AKMH"))*1</f>
        <v>#VALUE!</v>
      </c>
      <c r="B7443" s="1">
        <v>6100188</v>
      </c>
      <c r="C7443" t="s">
        <v>19</v>
      </c>
      <c r="D7443" t="s">
        <v>7639</v>
      </c>
      <c r="E7443" t="s">
        <v>21</v>
      </c>
    </row>
    <row r="7444" spans="1:5" hidden="1" outlineLevel="2">
      <c r="A7444" s="3" t="e">
        <f>(HYPERLINK("http://www.autodoc.ru/Web/price/art/7227ASGH?analog=on","7227ASGH"))*1</f>
        <v>#VALUE!</v>
      </c>
      <c r="B7444" s="1">
        <v>6101807</v>
      </c>
      <c r="C7444" t="s">
        <v>19</v>
      </c>
      <c r="D7444" t="s">
        <v>7640</v>
      </c>
      <c r="E7444" t="s">
        <v>21</v>
      </c>
    </row>
    <row r="7445" spans="1:5" hidden="1" outlineLevel="2">
      <c r="A7445" s="3" t="e">
        <f>(HYPERLINK("http://www.autodoc.ru/Web/price/art/7227ASMHI?analog=on","7227ASMHI"))*1</f>
        <v>#VALUE!</v>
      </c>
      <c r="B7445" s="1">
        <v>6100515</v>
      </c>
      <c r="C7445" t="s">
        <v>19</v>
      </c>
      <c r="D7445" t="s">
        <v>7641</v>
      </c>
      <c r="E7445" t="s">
        <v>21</v>
      </c>
    </row>
    <row r="7446" spans="1:5" hidden="1" outlineLevel="2">
      <c r="A7446" s="3" t="e">
        <f>(HYPERLINK("http://www.autodoc.ru/Web/price/art/7227ASMHO?analog=on","7227ASMHO"))*1</f>
        <v>#VALUE!</v>
      </c>
      <c r="B7446" s="1">
        <v>6100516</v>
      </c>
      <c r="C7446" t="s">
        <v>19</v>
      </c>
      <c r="D7446" t="s">
        <v>7642</v>
      </c>
      <c r="E7446" t="s">
        <v>21</v>
      </c>
    </row>
    <row r="7447" spans="1:5" hidden="1" outlineLevel="2">
      <c r="A7447" s="3" t="e">
        <f>(HYPERLINK("http://www.autodoc.ru/Web/price/art/7227BCLH?analog=on","7227BCLH"))*1</f>
        <v>#VALUE!</v>
      </c>
      <c r="B7447" s="1">
        <v>6997088</v>
      </c>
      <c r="C7447" t="s">
        <v>4757</v>
      </c>
      <c r="D7447" t="s">
        <v>7643</v>
      </c>
      <c r="E7447" t="s">
        <v>23</v>
      </c>
    </row>
    <row r="7448" spans="1:5" hidden="1" outlineLevel="2">
      <c r="A7448" s="3" t="e">
        <f>(HYPERLINK("http://www.autodoc.ru/Web/price/art/7227BCLVL?analog=on","7227BCLVL"))*1</f>
        <v>#VALUE!</v>
      </c>
      <c r="B7448" s="1">
        <v>6998617</v>
      </c>
      <c r="C7448" t="s">
        <v>4757</v>
      </c>
      <c r="D7448" t="s">
        <v>7644</v>
      </c>
      <c r="E7448" t="s">
        <v>23</v>
      </c>
    </row>
    <row r="7449" spans="1:5" hidden="1" outlineLevel="2">
      <c r="A7449" s="3" t="e">
        <f>(HYPERLINK("http://www.autodoc.ru/Web/price/art/7227BCLVR?analog=on","7227BCLVR"))*1</f>
        <v>#VALUE!</v>
      </c>
      <c r="B7449" s="1">
        <v>6998618</v>
      </c>
      <c r="C7449" t="s">
        <v>4757</v>
      </c>
      <c r="D7449" t="s">
        <v>7645</v>
      </c>
      <c r="E7449" t="s">
        <v>23</v>
      </c>
    </row>
    <row r="7450" spans="1:5" hidden="1" outlineLevel="2">
      <c r="A7450" s="3" t="e">
        <f>(HYPERLINK("http://www.autodoc.ru/Web/price/art/7227BGNH?analog=on","7227BGNH"))*1</f>
        <v>#VALUE!</v>
      </c>
      <c r="B7450" s="1">
        <v>6997089</v>
      </c>
      <c r="C7450" t="s">
        <v>4757</v>
      </c>
      <c r="D7450" t="s">
        <v>7646</v>
      </c>
      <c r="E7450" t="s">
        <v>23</v>
      </c>
    </row>
    <row r="7451" spans="1:5" hidden="1" outlineLevel="2">
      <c r="A7451" s="3" t="e">
        <f>(HYPERLINK("http://www.autodoc.ru/Web/price/art/7227LCLH3FD?analog=on","7227LCLH3FD"))*1</f>
        <v>#VALUE!</v>
      </c>
      <c r="B7451" s="1">
        <v>6997457</v>
      </c>
      <c r="C7451" t="s">
        <v>4757</v>
      </c>
      <c r="D7451" t="s">
        <v>7647</v>
      </c>
      <c r="E7451" t="s">
        <v>10</v>
      </c>
    </row>
    <row r="7452" spans="1:5" hidden="1" outlineLevel="2">
      <c r="A7452" s="3" t="e">
        <f>(HYPERLINK("http://www.autodoc.ru/Web/price/art/7227LCLH3RQ?analog=on","7227LCLH3RQ"))*1</f>
        <v>#VALUE!</v>
      </c>
      <c r="B7452" s="1">
        <v>6996879</v>
      </c>
      <c r="C7452" t="s">
        <v>4757</v>
      </c>
      <c r="D7452" t="s">
        <v>7648</v>
      </c>
      <c r="E7452" t="s">
        <v>10</v>
      </c>
    </row>
    <row r="7453" spans="1:5" hidden="1" outlineLevel="2">
      <c r="A7453" s="3" t="e">
        <f>(HYPERLINK("http://www.autodoc.ru/Web/price/art/7227LCLH3RQO?analog=on","7227LCLH3RQO"))*1</f>
        <v>#VALUE!</v>
      </c>
      <c r="B7453" s="1">
        <v>6994584</v>
      </c>
      <c r="C7453" t="s">
        <v>4757</v>
      </c>
      <c r="D7453" t="s">
        <v>7649</v>
      </c>
      <c r="E7453" t="s">
        <v>10</v>
      </c>
    </row>
    <row r="7454" spans="1:5" hidden="1" outlineLevel="2">
      <c r="A7454" s="3" t="e">
        <f>(HYPERLINK("http://www.autodoc.ru/Web/price/art/7227LCLH5FD?analog=on","7227LCLH5FD"))*1</f>
        <v>#VALUE!</v>
      </c>
      <c r="B7454" s="1">
        <v>6997451</v>
      </c>
      <c r="C7454" t="s">
        <v>4757</v>
      </c>
      <c r="D7454" t="s">
        <v>7650</v>
      </c>
      <c r="E7454" t="s">
        <v>10</v>
      </c>
    </row>
    <row r="7455" spans="1:5" hidden="1" outlineLevel="2">
      <c r="A7455" s="3" t="e">
        <f>(HYPERLINK("http://www.autodoc.ru/Web/price/art/7227LCLH5RV?analog=on","7227LCLH5RV"))*1</f>
        <v>#VALUE!</v>
      </c>
      <c r="B7455" s="1">
        <v>6997605</v>
      </c>
      <c r="C7455" t="s">
        <v>4757</v>
      </c>
      <c r="D7455" t="s">
        <v>7651</v>
      </c>
      <c r="E7455" t="s">
        <v>10</v>
      </c>
    </row>
    <row r="7456" spans="1:5" hidden="1" outlineLevel="2">
      <c r="A7456" s="3" t="e">
        <f>(HYPERLINK("http://www.autodoc.ru/Web/price/art/7227LGNH3FD?analog=on","7227LGNH3FD"))*1</f>
        <v>#VALUE!</v>
      </c>
      <c r="B7456" s="1">
        <v>6997455</v>
      </c>
      <c r="C7456" t="s">
        <v>4757</v>
      </c>
      <c r="D7456" t="s">
        <v>7652</v>
      </c>
      <c r="E7456" t="s">
        <v>10</v>
      </c>
    </row>
    <row r="7457" spans="1:5" hidden="1" outlineLevel="2">
      <c r="A7457" s="3" t="e">
        <f>(HYPERLINK("http://www.autodoc.ru/Web/price/art/7227LGNH5FD?analog=on","7227LGNH5FD"))*1</f>
        <v>#VALUE!</v>
      </c>
      <c r="B7457" s="1">
        <v>6997453</v>
      </c>
      <c r="C7457" t="s">
        <v>4757</v>
      </c>
      <c r="D7457" t="s">
        <v>7653</v>
      </c>
      <c r="E7457" t="s">
        <v>10</v>
      </c>
    </row>
    <row r="7458" spans="1:5" hidden="1" outlineLevel="2">
      <c r="A7458" s="3" t="e">
        <f>(HYPERLINK("http://www.autodoc.ru/Web/price/art/7227LGNH5RD?analog=on","7227LGNH5RD"))*1</f>
        <v>#VALUE!</v>
      </c>
      <c r="B7458" s="1">
        <v>6996882</v>
      </c>
      <c r="C7458" t="s">
        <v>4757</v>
      </c>
      <c r="D7458" t="s">
        <v>7654</v>
      </c>
      <c r="E7458" t="s">
        <v>10</v>
      </c>
    </row>
    <row r="7459" spans="1:5" hidden="1" outlineLevel="2">
      <c r="A7459" s="3" t="e">
        <f>(HYPERLINK("http://www.autodoc.ru/Web/price/art/7227LGNH5RV?analog=on","7227LGNH5RV"))*1</f>
        <v>#VALUE!</v>
      </c>
      <c r="B7459" s="1">
        <v>6997607</v>
      </c>
      <c r="C7459" t="s">
        <v>4757</v>
      </c>
      <c r="D7459" t="s">
        <v>7655</v>
      </c>
      <c r="E7459" t="s">
        <v>10</v>
      </c>
    </row>
    <row r="7460" spans="1:5" hidden="1" outlineLevel="2">
      <c r="A7460" s="3" t="e">
        <f>(HYPERLINK("http://www.autodoc.ru/Web/price/art/7227RCLH3FD?analog=on","7227RCLH3FD"))*1</f>
        <v>#VALUE!</v>
      </c>
      <c r="B7460" s="1">
        <v>6997458</v>
      </c>
      <c r="C7460" t="s">
        <v>4757</v>
      </c>
      <c r="D7460" t="s">
        <v>7656</v>
      </c>
      <c r="E7460" t="s">
        <v>10</v>
      </c>
    </row>
    <row r="7461" spans="1:5" hidden="1" outlineLevel="2">
      <c r="A7461" s="3" t="e">
        <f>(HYPERLINK("http://www.autodoc.ru/Web/price/art/7227RCLH3RQ?analog=on","7227RCLH3RQ"))*1</f>
        <v>#VALUE!</v>
      </c>
      <c r="B7461" s="1">
        <v>6996880</v>
      </c>
      <c r="C7461" t="s">
        <v>4757</v>
      </c>
      <c r="D7461" t="s">
        <v>7657</v>
      </c>
      <c r="E7461" t="s">
        <v>10</v>
      </c>
    </row>
    <row r="7462" spans="1:5" hidden="1" outlineLevel="2">
      <c r="A7462" s="3" t="e">
        <f>(HYPERLINK("http://www.autodoc.ru/Web/price/art/7227RCLH5FD?analog=on","7227RCLH5FD"))*1</f>
        <v>#VALUE!</v>
      </c>
      <c r="B7462" s="1">
        <v>6997452</v>
      </c>
      <c r="C7462" t="s">
        <v>4757</v>
      </c>
      <c r="D7462" t="s">
        <v>7658</v>
      </c>
      <c r="E7462" t="s">
        <v>10</v>
      </c>
    </row>
    <row r="7463" spans="1:5" hidden="1" outlineLevel="2">
      <c r="A7463" s="3" t="e">
        <f>(HYPERLINK("http://www.autodoc.ru/Web/price/art/7227RCLH5RD?analog=on","7227RCLH5RD"))*1</f>
        <v>#VALUE!</v>
      </c>
      <c r="B7463" s="1">
        <v>6994587</v>
      </c>
      <c r="C7463" t="s">
        <v>4757</v>
      </c>
      <c r="D7463" t="s">
        <v>7659</v>
      </c>
      <c r="E7463" t="s">
        <v>10</v>
      </c>
    </row>
    <row r="7464" spans="1:5" hidden="1" outlineLevel="2">
      <c r="A7464" s="3" t="e">
        <f>(HYPERLINK("http://www.autodoc.ru/Web/price/art/7227RCLH5RV?analog=on","7227RCLH5RV"))*1</f>
        <v>#VALUE!</v>
      </c>
      <c r="B7464" s="1">
        <v>6997606</v>
      </c>
      <c r="C7464" t="s">
        <v>4757</v>
      </c>
      <c r="D7464" t="s">
        <v>7660</v>
      </c>
      <c r="E7464" t="s">
        <v>10</v>
      </c>
    </row>
    <row r="7465" spans="1:5" hidden="1" outlineLevel="2">
      <c r="A7465" s="3" t="e">
        <f>(HYPERLINK("http://www.autodoc.ru/Web/price/art/7227RGNH3FD?analog=on","7227RGNH3FD"))*1</f>
        <v>#VALUE!</v>
      </c>
      <c r="B7465" s="1">
        <v>6997456</v>
      </c>
      <c r="C7465" t="s">
        <v>4757</v>
      </c>
      <c r="D7465" t="s">
        <v>7661</v>
      </c>
      <c r="E7465" t="s">
        <v>10</v>
      </c>
    </row>
    <row r="7466" spans="1:5" hidden="1" outlineLevel="2">
      <c r="A7466" s="3" t="e">
        <f>(HYPERLINK("http://www.autodoc.ru/Web/price/art/7227RGNH3RQO?analog=on","7227RGNH3RQO"))*1</f>
        <v>#VALUE!</v>
      </c>
      <c r="B7466" s="1">
        <v>6994589</v>
      </c>
      <c r="C7466" t="s">
        <v>4757</v>
      </c>
      <c r="D7466" t="s">
        <v>7662</v>
      </c>
      <c r="E7466" t="s">
        <v>10</v>
      </c>
    </row>
    <row r="7467" spans="1:5" hidden="1" outlineLevel="2">
      <c r="A7467" s="3" t="e">
        <f>(HYPERLINK("http://www.autodoc.ru/Web/price/art/7227RGNH5FD?analog=on","7227RGNH5FD"))*1</f>
        <v>#VALUE!</v>
      </c>
      <c r="B7467" s="1">
        <v>6997454</v>
      </c>
      <c r="C7467" t="s">
        <v>4757</v>
      </c>
      <c r="D7467" t="s">
        <v>7663</v>
      </c>
      <c r="E7467" t="s">
        <v>10</v>
      </c>
    </row>
    <row r="7468" spans="1:5" hidden="1" outlineLevel="2">
      <c r="A7468" s="3" t="e">
        <f>(HYPERLINK("http://www.autodoc.ru/Web/price/art/7227RGNH5RD?analog=on","7227RGNH5RD"))*1</f>
        <v>#VALUE!</v>
      </c>
      <c r="B7468" s="1">
        <v>6996884</v>
      </c>
      <c r="C7468" t="s">
        <v>4757</v>
      </c>
      <c r="D7468" t="s">
        <v>7664</v>
      </c>
      <c r="E7468" t="s">
        <v>10</v>
      </c>
    </row>
    <row r="7469" spans="1:5" hidden="1" outlineLevel="2">
      <c r="A7469" s="3" t="e">
        <f>(HYPERLINK("http://www.autodoc.ru/Web/price/art/7227RGNH5RV?analog=on","7227RGNH5RV"))*1</f>
        <v>#VALUE!</v>
      </c>
      <c r="B7469" s="1">
        <v>6997608</v>
      </c>
      <c r="C7469" t="s">
        <v>4757</v>
      </c>
      <c r="D7469" t="s">
        <v>7665</v>
      </c>
      <c r="E7469" t="s">
        <v>10</v>
      </c>
    </row>
    <row r="7470" spans="1:5" hidden="1" outlineLevel="1">
      <c r="A7470" s="2">
        <v>0</v>
      </c>
      <c r="B7470" s="26" t="s">
        <v>7666</v>
      </c>
      <c r="C7470" s="27">
        <v>0</v>
      </c>
      <c r="D7470" s="27">
        <v>0</v>
      </c>
      <c r="E7470" s="27">
        <v>0</v>
      </c>
    </row>
    <row r="7471" spans="1:5" hidden="1" outlineLevel="2">
      <c r="A7471" s="3" t="e">
        <f>(HYPERLINK("http://www.autodoc.ru/Web/price/art/7256ACL?analog=on","7256ACL"))*1</f>
        <v>#VALUE!</v>
      </c>
      <c r="B7471" s="1">
        <v>6190201</v>
      </c>
      <c r="C7471" t="s">
        <v>19</v>
      </c>
      <c r="D7471" t="s">
        <v>7667</v>
      </c>
      <c r="E7471" t="s">
        <v>8</v>
      </c>
    </row>
    <row r="7472" spans="1:5" hidden="1" outlineLevel="1">
      <c r="A7472" s="2">
        <v>0</v>
      </c>
      <c r="B7472" s="26" t="s">
        <v>7668</v>
      </c>
      <c r="C7472" s="27">
        <v>0</v>
      </c>
      <c r="D7472" s="27">
        <v>0</v>
      </c>
      <c r="E7472" s="27">
        <v>0</v>
      </c>
    </row>
    <row r="7473" spans="1:5" hidden="1" outlineLevel="2">
      <c r="A7473" s="3" t="e">
        <f>(HYPERLINK("http://www.autodoc.ru/Web/price/art/7274AGSMV1B?analog=on","7274AGSMV1B"))*1</f>
        <v>#VALUE!</v>
      </c>
      <c r="B7473" s="1">
        <v>6962469</v>
      </c>
      <c r="C7473" t="s">
        <v>19</v>
      </c>
      <c r="D7473" t="s">
        <v>7669</v>
      </c>
      <c r="E7473" t="s">
        <v>8</v>
      </c>
    </row>
    <row r="7474" spans="1:5" hidden="1" outlineLevel="2">
      <c r="A7474" s="3" t="e">
        <f>(HYPERLINK("http://www.autodoc.ru/Web/price/art/7274AGSV1C?analog=on","7274AGSV1C"))*1</f>
        <v>#VALUE!</v>
      </c>
      <c r="B7474" s="1">
        <v>6962669</v>
      </c>
      <c r="C7474" t="s">
        <v>19</v>
      </c>
      <c r="D7474" t="s">
        <v>7670</v>
      </c>
      <c r="E7474" t="s">
        <v>8</v>
      </c>
    </row>
    <row r="7475" spans="1:5" hidden="1" outlineLevel="1">
      <c r="A7475" s="2">
        <v>0</v>
      </c>
      <c r="B7475" s="26" t="s">
        <v>7671</v>
      </c>
      <c r="C7475" s="27">
        <v>0</v>
      </c>
      <c r="D7475" s="27">
        <v>0</v>
      </c>
      <c r="E7475" s="27">
        <v>0</v>
      </c>
    </row>
    <row r="7476" spans="1:5" hidden="1" outlineLevel="2">
      <c r="A7476" s="3" t="e">
        <f>(HYPERLINK("http://www.autodoc.ru/Web/price/art/7246ACC6Z?analog=on","7246ACC6Z"))*1</f>
        <v>#VALUE!</v>
      </c>
      <c r="B7476" s="1">
        <v>6963341</v>
      </c>
      <c r="C7476" t="s">
        <v>790</v>
      </c>
      <c r="D7476" t="s">
        <v>7672</v>
      </c>
      <c r="E7476" t="s">
        <v>8</v>
      </c>
    </row>
    <row r="7477" spans="1:5" hidden="1" outlineLevel="2">
      <c r="A7477" s="3" t="e">
        <f>(HYPERLINK("http://www.autodoc.ru/Web/price/art/7246AGS?analog=on","7246AGS"))*1</f>
        <v>#VALUE!</v>
      </c>
      <c r="B7477" s="1">
        <v>6961099</v>
      </c>
      <c r="C7477" t="s">
        <v>1687</v>
      </c>
      <c r="D7477" t="s">
        <v>7673</v>
      </c>
      <c r="E7477" t="s">
        <v>8</v>
      </c>
    </row>
    <row r="7478" spans="1:5" hidden="1" outlineLevel="2">
      <c r="A7478" s="3" t="e">
        <f>(HYPERLINK("http://www.autodoc.ru/Web/price/art/7246AGS6Z?analog=on","7246AGS6Z"))*1</f>
        <v>#VALUE!</v>
      </c>
      <c r="B7478" s="1">
        <v>6961436</v>
      </c>
      <c r="C7478" t="s">
        <v>790</v>
      </c>
      <c r="D7478" t="s">
        <v>7674</v>
      </c>
      <c r="E7478" t="s">
        <v>8</v>
      </c>
    </row>
    <row r="7479" spans="1:5" hidden="1" outlineLevel="2">
      <c r="A7479" s="3" t="e">
        <f>(HYPERLINK("http://www.autodoc.ru/Web/price/art/7246ASCV?analog=on","7246ASCV"))*1</f>
        <v>#VALUE!</v>
      </c>
      <c r="B7479" s="1">
        <v>6102374</v>
      </c>
      <c r="C7479" t="s">
        <v>19</v>
      </c>
      <c r="D7479" t="s">
        <v>7675</v>
      </c>
      <c r="E7479" t="s">
        <v>21</v>
      </c>
    </row>
    <row r="7480" spans="1:5" hidden="1" outlineLevel="2">
      <c r="A7480" s="3" t="e">
        <f>(HYPERLINK("http://www.autodoc.ru/Web/price/art/7246ASMV?analog=on","7246ASMV"))*1</f>
        <v>#VALUE!</v>
      </c>
      <c r="B7480" s="1">
        <v>6100208</v>
      </c>
      <c r="C7480" t="s">
        <v>19</v>
      </c>
      <c r="D7480" t="s">
        <v>7676</v>
      </c>
      <c r="E7480" t="s">
        <v>21</v>
      </c>
    </row>
    <row r="7481" spans="1:5" hidden="1" outlineLevel="2">
      <c r="A7481" s="3" t="e">
        <f>(HYPERLINK("http://www.autodoc.ru/Web/price/art/7246ASMV1H?analog=on","7246ASMV1H"))*1</f>
        <v>#VALUE!</v>
      </c>
      <c r="B7481" s="1">
        <v>6101703</v>
      </c>
      <c r="C7481" t="s">
        <v>19</v>
      </c>
      <c r="D7481" t="s">
        <v>7677</v>
      </c>
      <c r="E7481" t="s">
        <v>21</v>
      </c>
    </row>
    <row r="7482" spans="1:5" hidden="1" outlineLevel="2">
      <c r="A7482" s="3" t="e">
        <f>(HYPERLINK("http://www.autodoc.ru/Web/price/art/7246ASMVB?analog=on","7246ASMVB"))*1</f>
        <v>#VALUE!</v>
      </c>
      <c r="B7482" s="1">
        <v>6102373</v>
      </c>
      <c r="C7482" t="s">
        <v>19</v>
      </c>
      <c r="D7482" t="s">
        <v>7678</v>
      </c>
      <c r="E7482" t="s">
        <v>21</v>
      </c>
    </row>
    <row r="7483" spans="1:5" hidden="1" outlineLevel="2">
      <c r="A7483" s="3" t="e">
        <f>(HYPERLINK("http://www.autodoc.ru/Web/price/art/7246BGSV?analog=on","7246BGSV"))*1</f>
        <v>#VALUE!</v>
      </c>
      <c r="B7483" s="1">
        <v>6998670</v>
      </c>
      <c r="C7483" t="s">
        <v>1687</v>
      </c>
      <c r="D7483" t="s">
        <v>7679</v>
      </c>
      <c r="E7483" t="s">
        <v>23</v>
      </c>
    </row>
    <row r="7484" spans="1:5" hidden="1" outlineLevel="2">
      <c r="A7484" s="3" t="e">
        <f>(HYPERLINK("http://www.autodoc.ru/Web/price/art/7246BGSV1J?analog=on","7246BGSV1J"))*1</f>
        <v>#VALUE!</v>
      </c>
      <c r="B7484" s="1">
        <v>6980038</v>
      </c>
      <c r="C7484" t="s">
        <v>1974</v>
      </c>
      <c r="D7484" t="s">
        <v>7680</v>
      </c>
      <c r="E7484" t="s">
        <v>23</v>
      </c>
    </row>
    <row r="7485" spans="1:5" hidden="1" outlineLevel="2">
      <c r="A7485" s="3" t="e">
        <f>(HYPERLINK("http://www.autodoc.ru/Web/price/art/7246BGSVL?analog=on","7246BGSVL"))*1</f>
        <v>#VALUE!</v>
      </c>
      <c r="B7485" s="1">
        <v>6998922</v>
      </c>
      <c r="C7485" t="s">
        <v>1687</v>
      </c>
      <c r="D7485" t="s">
        <v>7681</v>
      </c>
      <c r="E7485" t="s">
        <v>23</v>
      </c>
    </row>
    <row r="7486" spans="1:5" hidden="1" outlineLevel="2">
      <c r="A7486" s="3" t="e">
        <f>(HYPERLINK("http://www.autodoc.ru/Web/price/art/7246BGSVRU?analog=on","7246BGSVRU"))*1</f>
        <v>#VALUE!</v>
      </c>
      <c r="B7486" s="1">
        <v>6998669</v>
      </c>
      <c r="C7486" t="s">
        <v>1687</v>
      </c>
      <c r="D7486" t="s">
        <v>7682</v>
      </c>
      <c r="E7486" t="s">
        <v>23</v>
      </c>
    </row>
    <row r="7487" spans="1:5" hidden="1" outlineLevel="2">
      <c r="A7487" s="3" t="e">
        <f>(HYPERLINK("http://www.autodoc.ru/Web/price/art/7246LGSV3FD?analog=on","7246LGSV3FD"))*1</f>
        <v>#VALUE!</v>
      </c>
      <c r="B7487" s="1">
        <v>6994638</v>
      </c>
      <c r="C7487" t="s">
        <v>1687</v>
      </c>
      <c r="D7487" t="s">
        <v>7683</v>
      </c>
      <c r="E7487" t="s">
        <v>10</v>
      </c>
    </row>
    <row r="7488" spans="1:5" hidden="1" outlineLevel="2">
      <c r="A7488" s="3" t="e">
        <f>(HYPERLINK("http://www.autodoc.ru/Web/price/art/7246RGSV3FD?analog=on","7246RGSV3FD"))*1</f>
        <v>#VALUE!</v>
      </c>
      <c r="B7488" s="1">
        <v>6994639</v>
      </c>
      <c r="C7488" t="s">
        <v>1687</v>
      </c>
      <c r="D7488" t="s">
        <v>7684</v>
      </c>
      <c r="E7488" t="s">
        <v>10</v>
      </c>
    </row>
    <row r="7489" spans="1:5" hidden="1" outlineLevel="2">
      <c r="A7489" s="3" t="e">
        <f>(HYPERLINK("http://www.autodoc.ru/Web/price/art/7246RGSV3RD?analog=on","7246RGSV3RD"))*1</f>
        <v>#VALUE!</v>
      </c>
      <c r="B7489" s="1">
        <v>6995626</v>
      </c>
      <c r="C7489" t="s">
        <v>1687</v>
      </c>
      <c r="D7489" t="s">
        <v>7685</v>
      </c>
      <c r="E7489" t="s">
        <v>10</v>
      </c>
    </row>
    <row r="7490" spans="1:5" hidden="1" outlineLevel="2">
      <c r="A7490" s="3" t="e">
        <f>(HYPERLINK("http://www.autodoc.ru/Web/price/art/7246RGSV3RQ?analog=on","7246RGSV3RQ"))*1</f>
        <v>#VALUE!</v>
      </c>
      <c r="B7490" s="1">
        <v>6995627</v>
      </c>
      <c r="C7490" t="s">
        <v>1687</v>
      </c>
      <c r="D7490" t="s">
        <v>7686</v>
      </c>
      <c r="E7490" t="s">
        <v>10</v>
      </c>
    </row>
    <row r="7491" spans="1:5" hidden="1" outlineLevel="1">
      <c r="A7491" s="2">
        <v>0</v>
      </c>
      <c r="B7491" s="26" t="s">
        <v>7687</v>
      </c>
      <c r="C7491" s="27">
        <v>0</v>
      </c>
      <c r="D7491" s="27">
        <v>0</v>
      </c>
      <c r="E7491" s="27">
        <v>0</v>
      </c>
    </row>
    <row r="7492" spans="1:5" hidden="1" outlineLevel="2">
      <c r="A7492" s="3" t="e">
        <f>(HYPERLINK("http://www.autodoc.ru/Web/price/art/7277AGSMVW?analog=on","7277AGSMVW"))*1</f>
        <v>#VALUE!</v>
      </c>
      <c r="B7492" s="1">
        <v>6964601</v>
      </c>
      <c r="C7492" t="s">
        <v>366</v>
      </c>
      <c r="D7492" t="s">
        <v>7688</v>
      </c>
      <c r="E7492" t="s">
        <v>8</v>
      </c>
    </row>
    <row r="7493" spans="1:5" hidden="1" outlineLevel="2">
      <c r="A7493" s="3" t="e">
        <f>(HYPERLINK("http://www.autodoc.ru/Web/price/art/7277AGSMV?analog=on","7277AGSMV"))*1</f>
        <v>#VALUE!</v>
      </c>
      <c r="B7493" s="1">
        <v>6964820</v>
      </c>
      <c r="C7493" t="s">
        <v>366</v>
      </c>
      <c r="D7493" t="s">
        <v>7689</v>
      </c>
      <c r="E7493" t="s">
        <v>8</v>
      </c>
    </row>
    <row r="7494" spans="1:5" hidden="1" outlineLevel="1">
      <c r="A7494" s="2">
        <v>0</v>
      </c>
      <c r="B7494" s="26" t="s">
        <v>7690</v>
      </c>
      <c r="C7494" s="27">
        <v>0</v>
      </c>
      <c r="D7494" s="27">
        <v>0</v>
      </c>
      <c r="E7494" s="27">
        <v>0</v>
      </c>
    </row>
    <row r="7495" spans="1:5" hidden="1" outlineLevel="2">
      <c r="A7495" s="3" t="e">
        <f>(HYPERLINK("http://www.autodoc.ru/Web/price/art/7237ACC1B?analog=on","7237ACC1B"))*1</f>
        <v>#VALUE!</v>
      </c>
      <c r="B7495" s="1">
        <v>6966254</v>
      </c>
      <c r="C7495" t="s">
        <v>33</v>
      </c>
      <c r="D7495" t="s">
        <v>7691</v>
      </c>
      <c r="E7495" t="s">
        <v>8</v>
      </c>
    </row>
    <row r="7496" spans="1:5" hidden="1" outlineLevel="2">
      <c r="A7496" s="3" t="e">
        <f>(HYPERLINK("http://www.autodoc.ru/Web/price/art/7237ACCG1B?analog=on","7237ACCG1B"))*1</f>
        <v>#VALUE!</v>
      </c>
      <c r="B7496" s="1">
        <v>6963279</v>
      </c>
      <c r="C7496" t="s">
        <v>33</v>
      </c>
      <c r="D7496" t="s">
        <v>7692</v>
      </c>
      <c r="E7496" t="s">
        <v>8</v>
      </c>
    </row>
    <row r="7497" spans="1:5" hidden="1" outlineLevel="2">
      <c r="A7497" s="3" t="e">
        <f>(HYPERLINK("http://www.autodoc.ru/Web/price/art/7237ACL?analog=on","7237ACL"))*1</f>
        <v>#VALUE!</v>
      </c>
      <c r="B7497" s="1">
        <v>6966244</v>
      </c>
      <c r="C7497" t="s">
        <v>33</v>
      </c>
      <c r="D7497" t="s">
        <v>7693</v>
      </c>
      <c r="E7497" t="s">
        <v>8</v>
      </c>
    </row>
    <row r="7498" spans="1:5" hidden="1" outlineLevel="2">
      <c r="A7498" s="3" t="e">
        <f>(HYPERLINK("http://www.autodoc.ru/Web/price/art/7237AGS?analog=on","7237AGS"))*1</f>
        <v>#VALUE!</v>
      </c>
      <c r="B7498" s="1">
        <v>6966108</v>
      </c>
      <c r="C7498" t="s">
        <v>33</v>
      </c>
      <c r="D7498" t="s">
        <v>7694</v>
      </c>
      <c r="E7498" t="s">
        <v>8</v>
      </c>
    </row>
    <row r="7499" spans="1:5" hidden="1" outlineLevel="2">
      <c r="A7499" s="3" t="e">
        <f>(HYPERLINK("http://www.autodoc.ru/Web/price/art/7237AGSGN?analog=on","7237AGSGN"))*1</f>
        <v>#VALUE!</v>
      </c>
      <c r="B7499" s="1">
        <v>6966245</v>
      </c>
      <c r="C7499" t="s">
        <v>33</v>
      </c>
      <c r="D7499" t="s">
        <v>7695</v>
      </c>
      <c r="E7499" t="s">
        <v>8</v>
      </c>
    </row>
    <row r="7500" spans="1:5" hidden="1" outlineLevel="2">
      <c r="A7500" s="3" t="e">
        <f>(HYPERLINK("http://www.autodoc.ru/Web/price/art/7237AKCHT?analog=on","7237AKCHT"))*1</f>
        <v>#VALUE!</v>
      </c>
      <c r="B7500" s="1">
        <v>6100521</v>
      </c>
      <c r="C7500" t="s">
        <v>19</v>
      </c>
      <c r="D7500" t="s">
        <v>7696</v>
      </c>
      <c r="E7500" t="s">
        <v>21</v>
      </c>
    </row>
    <row r="7501" spans="1:5" hidden="1" outlineLevel="2">
      <c r="A7501" s="3" t="e">
        <f>(HYPERLINK("http://www.autodoc.ru/Web/price/art/7237ASMHT?analog=on","7237ASMHT"))*1</f>
        <v>#VALUE!</v>
      </c>
      <c r="B7501" s="1">
        <v>6100972</v>
      </c>
      <c r="C7501" t="s">
        <v>19</v>
      </c>
      <c r="D7501" t="s">
        <v>7697</v>
      </c>
      <c r="E7501" t="s">
        <v>21</v>
      </c>
    </row>
    <row r="7502" spans="1:5" hidden="1" outlineLevel="2">
      <c r="A7502" s="3" t="e">
        <f>(HYPERLINK("http://www.autodoc.ru/Web/price/art/7237BGDHABZ1X?analog=on","7237BGDHABZ1X"))*1</f>
        <v>#VALUE!</v>
      </c>
      <c r="B7502" s="1">
        <v>6998191</v>
      </c>
      <c r="C7502" t="s">
        <v>639</v>
      </c>
      <c r="D7502" t="s">
        <v>7698</v>
      </c>
      <c r="E7502" t="s">
        <v>23</v>
      </c>
    </row>
    <row r="7503" spans="1:5" hidden="1" outlineLevel="2">
      <c r="A7503" s="3" t="e">
        <f>(HYPERLINK("http://www.autodoc.ru/Web/price/art/7237BGDHBZ1X?analog=on","7237BGDHBZ1X"))*1</f>
        <v>#VALUE!</v>
      </c>
      <c r="B7503" s="1">
        <v>6998190</v>
      </c>
      <c r="C7503" t="s">
        <v>1582</v>
      </c>
      <c r="D7503" t="s">
        <v>7699</v>
      </c>
      <c r="E7503" t="s">
        <v>23</v>
      </c>
    </row>
    <row r="7504" spans="1:5" hidden="1" outlineLevel="2">
      <c r="A7504" s="3" t="e">
        <f>(HYPERLINK("http://www.autodoc.ru/Web/price/art/7237BGSEOW?analog=on","7237BGSEOW"))*1</f>
        <v>#VALUE!</v>
      </c>
      <c r="B7504" s="1">
        <v>6998805</v>
      </c>
      <c r="C7504" t="s">
        <v>36</v>
      </c>
      <c r="D7504" t="s">
        <v>7700</v>
      </c>
      <c r="E7504" t="s">
        <v>23</v>
      </c>
    </row>
    <row r="7505" spans="1:5" hidden="1" outlineLevel="2">
      <c r="A7505" s="3" t="e">
        <f>(HYPERLINK("http://www.autodoc.ru/Web/price/art/7237BGSHBZ?analog=on","7237BGSHBZ"))*1</f>
        <v>#VALUE!</v>
      </c>
      <c r="B7505" s="1">
        <v>6997420</v>
      </c>
      <c r="C7505" t="s">
        <v>33</v>
      </c>
      <c r="D7505" t="s">
        <v>7701</v>
      </c>
      <c r="E7505" t="s">
        <v>23</v>
      </c>
    </row>
    <row r="7506" spans="1:5" hidden="1" outlineLevel="2">
      <c r="A7506" s="3" t="e">
        <f>(HYPERLINK("http://www.autodoc.ru/Web/price/art/7237BGSHBZ1X?analog=on","7237BGSHBZ1X"))*1</f>
        <v>#VALUE!</v>
      </c>
      <c r="B7506" s="1">
        <v>6999476</v>
      </c>
      <c r="C7506" t="s">
        <v>1582</v>
      </c>
      <c r="D7506" t="s">
        <v>7702</v>
      </c>
      <c r="E7506" t="s">
        <v>23</v>
      </c>
    </row>
    <row r="7507" spans="1:5" hidden="1" outlineLevel="2">
      <c r="A7507" s="3" t="e">
        <f>(HYPERLINK("http://www.autodoc.ru/Web/price/art/7237BGSHZ?analog=on","7237BGSHZ"))*1</f>
        <v>#VALUE!</v>
      </c>
      <c r="B7507" s="1">
        <v>6998094</v>
      </c>
      <c r="C7507" t="s">
        <v>33</v>
      </c>
      <c r="D7507" t="s">
        <v>7703</v>
      </c>
      <c r="E7507" t="s">
        <v>23</v>
      </c>
    </row>
    <row r="7508" spans="1:5" hidden="1" outlineLevel="2">
      <c r="A7508" s="3" t="e">
        <f>(HYPERLINK("http://www.autodoc.ru/Web/price/art/7237LGSH5FD?analog=on","7237LGSH5FD"))*1</f>
        <v>#VALUE!</v>
      </c>
      <c r="B7508" s="1">
        <v>6994613</v>
      </c>
      <c r="C7508" t="s">
        <v>33</v>
      </c>
      <c r="D7508" t="s">
        <v>7704</v>
      </c>
      <c r="E7508" t="s">
        <v>10</v>
      </c>
    </row>
    <row r="7509" spans="1:5" hidden="1" outlineLevel="2">
      <c r="A7509" s="3" t="e">
        <f>(HYPERLINK("http://www.autodoc.ru/Web/price/art/7237LGSH5RD?analog=on","7237LGSH5RD"))*1</f>
        <v>#VALUE!</v>
      </c>
      <c r="B7509" s="1">
        <v>6991190</v>
      </c>
      <c r="C7509" t="s">
        <v>33</v>
      </c>
      <c r="D7509" t="s">
        <v>7705</v>
      </c>
      <c r="E7509" t="s">
        <v>10</v>
      </c>
    </row>
    <row r="7510" spans="1:5" hidden="1" outlineLevel="2">
      <c r="A7510" s="3" t="e">
        <f>(HYPERLINK("http://www.autodoc.ru/Web/price/art/7237LGSH5RD1H?analog=on","7237LGSH5RD1H"))*1</f>
        <v>#VALUE!</v>
      </c>
      <c r="B7510" s="1">
        <v>6993457</v>
      </c>
      <c r="C7510" t="s">
        <v>639</v>
      </c>
      <c r="D7510" t="s">
        <v>7706</v>
      </c>
      <c r="E7510" t="s">
        <v>10</v>
      </c>
    </row>
    <row r="7511" spans="1:5" hidden="1" outlineLevel="2">
      <c r="A7511" s="3" t="e">
        <f>(HYPERLINK("http://www.autodoc.ru/Web/price/art/7237LGSH5RQ?analog=on","7237LGSH5RQ"))*1</f>
        <v>#VALUE!</v>
      </c>
      <c r="B7511" s="1">
        <v>6997415</v>
      </c>
      <c r="C7511" t="s">
        <v>33</v>
      </c>
      <c r="D7511" t="s">
        <v>7707</v>
      </c>
      <c r="E7511" t="s">
        <v>10</v>
      </c>
    </row>
    <row r="7512" spans="1:5" hidden="1" outlineLevel="2">
      <c r="A7512" s="3" t="e">
        <f>(HYPERLINK("http://www.autodoc.ru/Web/price/art/7237RCLH5RD?analog=on","7237RCLH5RD"))*1</f>
        <v>#VALUE!</v>
      </c>
      <c r="B7512" s="1">
        <v>6997442</v>
      </c>
      <c r="C7512" t="s">
        <v>33</v>
      </c>
      <c r="D7512" t="s">
        <v>7708</v>
      </c>
      <c r="E7512" t="s">
        <v>10</v>
      </c>
    </row>
    <row r="7513" spans="1:5" hidden="1" outlineLevel="2">
      <c r="A7513" s="3" t="e">
        <f>(HYPERLINK("http://www.autodoc.ru/Web/price/art/7237RCLH5RQ?analog=on","7237RCLH5RQ"))*1</f>
        <v>#VALUE!</v>
      </c>
      <c r="B7513" s="1">
        <v>6997414</v>
      </c>
      <c r="C7513" t="s">
        <v>33</v>
      </c>
      <c r="D7513" t="s">
        <v>7709</v>
      </c>
      <c r="E7513" t="s">
        <v>10</v>
      </c>
    </row>
    <row r="7514" spans="1:5" hidden="1" outlineLevel="2">
      <c r="A7514" s="3" t="e">
        <f>(HYPERLINK("http://www.autodoc.ru/Web/price/art/7237RGSH5FD?analog=on","7237RGSH5FD"))*1</f>
        <v>#VALUE!</v>
      </c>
      <c r="B7514" s="1">
        <v>6994615</v>
      </c>
      <c r="C7514" t="s">
        <v>33</v>
      </c>
      <c r="D7514" t="s">
        <v>7710</v>
      </c>
      <c r="E7514" t="s">
        <v>10</v>
      </c>
    </row>
    <row r="7515" spans="1:5" hidden="1" outlineLevel="2">
      <c r="A7515" s="3" t="e">
        <f>(HYPERLINK("http://www.autodoc.ru/Web/price/art/7237RGSH5RD?analog=on","7237RGSH5RD"))*1</f>
        <v>#VALUE!</v>
      </c>
      <c r="B7515" s="1">
        <v>6991076</v>
      </c>
      <c r="C7515" t="s">
        <v>33</v>
      </c>
      <c r="D7515" t="s">
        <v>7711</v>
      </c>
      <c r="E7515" t="s">
        <v>10</v>
      </c>
    </row>
    <row r="7516" spans="1:5" hidden="1" outlineLevel="2">
      <c r="A7516" s="3" t="e">
        <f>(HYPERLINK("http://www.autodoc.ru/Web/price/art/7237RGSH5RD1H?analog=on","7237RGSH5RD1H"))*1</f>
        <v>#VALUE!</v>
      </c>
      <c r="B7516" s="1">
        <v>6993458</v>
      </c>
      <c r="C7516" t="s">
        <v>639</v>
      </c>
      <c r="D7516" t="s">
        <v>7712</v>
      </c>
      <c r="E7516" t="s">
        <v>10</v>
      </c>
    </row>
    <row r="7517" spans="1:5" hidden="1" outlineLevel="2">
      <c r="A7517" s="3" t="e">
        <f>(HYPERLINK("http://www.autodoc.ru/Web/price/art/7237RGSH5RQ?analog=on","7237RGSH5RQ"))*1</f>
        <v>#VALUE!</v>
      </c>
      <c r="B7517" s="1">
        <v>6997416</v>
      </c>
      <c r="C7517" t="s">
        <v>33</v>
      </c>
      <c r="D7517" t="s">
        <v>7713</v>
      </c>
      <c r="E7517" t="s">
        <v>10</v>
      </c>
    </row>
    <row r="7518" spans="1:5" hidden="1" outlineLevel="1">
      <c r="A7518" s="2">
        <v>0</v>
      </c>
      <c r="B7518" s="26" t="s">
        <v>7714</v>
      </c>
      <c r="C7518" s="27">
        <v>0</v>
      </c>
      <c r="D7518" s="27">
        <v>0</v>
      </c>
      <c r="E7518" s="27">
        <v>0</v>
      </c>
    </row>
    <row r="7519" spans="1:5" hidden="1" outlineLevel="2">
      <c r="A7519" s="3" t="e">
        <f>(HYPERLINK("http://www.autodoc.ru/Web/price/art/7249ACCMV1M?analog=on","7249ACCMV1M"))*1</f>
        <v>#VALUE!</v>
      </c>
      <c r="B7519" s="1">
        <v>6960834</v>
      </c>
      <c r="C7519" t="s">
        <v>216</v>
      </c>
      <c r="D7519" t="s">
        <v>7715</v>
      </c>
      <c r="E7519" t="s">
        <v>8</v>
      </c>
    </row>
    <row r="7520" spans="1:5" hidden="1" outlineLevel="2">
      <c r="A7520" s="3" t="e">
        <f>(HYPERLINK("http://www.autodoc.ru/Web/price/art/7249ACCMV6X?analog=on","7249ACCMV6X"))*1</f>
        <v>#VALUE!</v>
      </c>
      <c r="B7520" s="1">
        <v>6961257</v>
      </c>
      <c r="C7520" t="s">
        <v>896</v>
      </c>
      <c r="D7520" t="s">
        <v>7716</v>
      </c>
      <c r="E7520" t="s">
        <v>8</v>
      </c>
    </row>
    <row r="7521" spans="1:5" hidden="1" outlineLevel="2">
      <c r="A7521" s="3" t="e">
        <f>(HYPERLINK("http://www.autodoc.ru/Web/price/art/7249ACCV1R?analog=on","7249ACCV1R"))*1</f>
        <v>#VALUE!</v>
      </c>
      <c r="B7521" s="1">
        <v>6960822</v>
      </c>
      <c r="C7521" t="s">
        <v>216</v>
      </c>
      <c r="D7521" t="s">
        <v>7717</v>
      </c>
      <c r="E7521" t="s">
        <v>8</v>
      </c>
    </row>
    <row r="7522" spans="1:5" hidden="1" outlineLevel="2">
      <c r="A7522" s="3" t="e">
        <f>(HYPERLINK("http://www.autodoc.ru/Web/price/art/7249AGSMV1R?analog=on","7249AGSMV1R"))*1</f>
        <v>#VALUE!</v>
      </c>
      <c r="B7522" s="1">
        <v>6960818</v>
      </c>
      <c r="C7522" t="s">
        <v>216</v>
      </c>
      <c r="D7522" t="s">
        <v>7718</v>
      </c>
      <c r="E7522" t="s">
        <v>8</v>
      </c>
    </row>
    <row r="7523" spans="1:5" hidden="1" outlineLevel="2">
      <c r="A7523" s="3" t="e">
        <f>(HYPERLINK("http://www.autodoc.ru/Web/price/art/7249AGSV1R?analog=on","7249AGSV1R"))*1</f>
        <v>#VALUE!</v>
      </c>
      <c r="B7523" s="1">
        <v>6961919</v>
      </c>
      <c r="C7523" t="s">
        <v>216</v>
      </c>
      <c r="D7523" t="s">
        <v>7719</v>
      </c>
      <c r="E7523" t="s">
        <v>8</v>
      </c>
    </row>
    <row r="7524" spans="1:5" hidden="1" outlineLevel="2">
      <c r="A7524" s="3" t="e">
        <f>(HYPERLINK("http://www.autodoc.ru/Web/price/art/7249AGSV2R?analog=on","7249AGSV2R"))*1</f>
        <v>#VALUE!</v>
      </c>
      <c r="B7524" s="1">
        <v>6960810</v>
      </c>
      <c r="C7524" t="s">
        <v>216</v>
      </c>
      <c r="D7524" t="s">
        <v>7720</v>
      </c>
      <c r="E7524" t="s">
        <v>8</v>
      </c>
    </row>
    <row r="7525" spans="1:5" hidden="1" outlineLevel="2">
      <c r="A7525" s="3" t="e">
        <f>(HYPERLINK("http://www.autodoc.ru/Web/price/art/7249AKMH?analog=on","7249AKMH"))*1</f>
        <v>#VALUE!</v>
      </c>
      <c r="B7525" s="1">
        <v>6101274</v>
      </c>
      <c r="C7525" t="s">
        <v>19</v>
      </c>
      <c r="D7525" t="s">
        <v>7721</v>
      </c>
      <c r="E7525" t="s">
        <v>21</v>
      </c>
    </row>
    <row r="7526" spans="1:5" hidden="1" outlineLevel="2">
      <c r="A7526" s="3" t="e">
        <f>(HYPERLINK("http://www.autodoc.ru/Web/price/art/7249ASMHT?analog=on","7249ASMHT"))*1</f>
        <v>#VALUE!</v>
      </c>
      <c r="B7526" s="1">
        <v>6100525</v>
      </c>
      <c r="C7526" t="s">
        <v>19</v>
      </c>
      <c r="D7526" t="s">
        <v>7722</v>
      </c>
      <c r="E7526" t="s">
        <v>21</v>
      </c>
    </row>
    <row r="7527" spans="1:5" hidden="1" outlineLevel="2">
      <c r="A7527" s="3" t="e">
        <f>(HYPERLINK("http://www.autodoc.ru/Web/price/art/7249BGPE?analog=on","7249BGPE"))*1</f>
        <v>#VALUE!</v>
      </c>
      <c r="B7527" s="1">
        <v>6993081</v>
      </c>
      <c r="C7527" t="s">
        <v>261</v>
      </c>
      <c r="D7527" t="s">
        <v>7723</v>
      </c>
      <c r="E7527" t="s">
        <v>23</v>
      </c>
    </row>
    <row r="7528" spans="1:5" hidden="1" outlineLevel="2">
      <c r="A7528" s="3" t="e">
        <f>(HYPERLINK("http://www.autodoc.ru/Web/price/art/7249BGPEOW?analog=on","7249BGPEOW"))*1</f>
        <v>#VALUE!</v>
      </c>
      <c r="B7528" s="1">
        <v>6990923</v>
      </c>
      <c r="C7528" t="s">
        <v>261</v>
      </c>
      <c r="D7528" t="s">
        <v>7724</v>
      </c>
      <c r="E7528" t="s">
        <v>23</v>
      </c>
    </row>
    <row r="7529" spans="1:5" hidden="1" outlineLevel="2">
      <c r="A7529" s="3" t="e">
        <f>(HYPERLINK("http://www.autodoc.ru/Web/price/art/7249BGSE?analog=on","7249BGSE"))*1</f>
        <v>#VALUE!</v>
      </c>
      <c r="B7529" s="1">
        <v>6993082</v>
      </c>
      <c r="C7529" t="s">
        <v>261</v>
      </c>
      <c r="D7529" t="s">
        <v>7725</v>
      </c>
      <c r="E7529" t="s">
        <v>23</v>
      </c>
    </row>
    <row r="7530" spans="1:5" hidden="1" outlineLevel="2">
      <c r="A7530" s="3" t="e">
        <f>(HYPERLINK("http://www.autodoc.ru/Web/price/art/7249BGSEOW?analog=on","7249BGSEOW"))*1</f>
        <v>#VALUE!</v>
      </c>
      <c r="B7530" s="1">
        <v>6990461</v>
      </c>
      <c r="C7530" t="s">
        <v>261</v>
      </c>
      <c r="D7530" t="s">
        <v>7726</v>
      </c>
      <c r="E7530" t="s">
        <v>23</v>
      </c>
    </row>
    <row r="7531" spans="1:5" hidden="1" outlineLevel="2">
      <c r="A7531" s="3" t="e">
        <f>(HYPERLINK("http://www.autodoc.ru/Web/price/art/7249LGPE5RD?analog=on","7249LGPE5RD"))*1</f>
        <v>#VALUE!</v>
      </c>
      <c r="B7531" s="1">
        <v>6990919</v>
      </c>
      <c r="C7531" t="s">
        <v>261</v>
      </c>
      <c r="D7531" t="s">
        <v>7727</v>
      </c>
      <c r="E7531" t="s">
        <v>10</v>
      </c>
    </row>
    <row r="7532" spans="1:5" hidden="1" outlineLevel="2">
      <c r="A7532" s="3" t="e">
        <f>(HYPERLINK("http://www.autodoc.ru/Web/price/art/7249LGPE5RQZ?analog=on","7249LGPE5RQZ"))*1</f>
        <v>#VALUE!</v>
      </c>
      <c r="B7532" s="1">
        <v>6990464</v>
      </c>
      <c r="C7532" t="s">
        <v>261</v>
      </c>
      <c r="D7532" t="s">
        <v>7728</v>
      </c>
      <c r="E7532" t="s">
        <v>10</v>
      </c>
    </row>
    <row r="7533" spans="1:5" hidden="1" outlineLevel="2">
      <c r="A7533" s="3" t="e">
        <f>(HYPERLINK("http://www.autodoc.ru/Web/price/art/7249LGPE5RV?analog=on","7249LGPE5RV"))*1</f>
        <v>#VALUE!</v>
      </c>
      <c r="B7533" s="1">
        <v>6990467</v>
      </c>
      <c r="C7533" t="s">
        <v>261</v>
      </c>
      <c r="D7533" t="s">
        <v>7729</v>
      </c>
      <c r="E7533" t="s">
        <v>10</v>
      </c>
    </row>
    <row r="7534" spans="1:5" hidden="1" outlineLevel="2">
      <c r="A7534" s="3" t="e">
        <f>(HYPERLINK("http://www.autodoc.ru/Web/price/art/7249LGSE5RD?analog=on","7249LGSE5RD"))*1</f>
        <v>#VALUE!</v>
      </c>
      <c r="B7534" s="1">
        <v>6990922</v>
      </c>
      <c r="C7534" t="s">
        <v>261</v>
      </c>
      <c r="D7534" t="s">
        <v>7730</v>
      </c>
      <c r="E7534" t="s">
        <v>10</v>
      </c>
    </row>
    <row r="7535" spans="1:5" hidden="1" outlineLevel="2">
      <c r="A7535" s="3" t="e">
        <f>(HYPERLINK("http://www.autodoc.ru/Web/price/art/7249LGSE5RQZ?analog=on","7249LGSE5RQZ"))*1</f>
        <v>#VALUE!</v>
      </c>
      <c r="B7535" s="1">
        <v>6990465</v>
      </c>
      <c r="C7535" t="s">
        <v>261</v>
      </c>
      <c r="D7535" t="s">
        <v>7731</v>
      </c>
      <c r="E7535" t="s">
        <v>10</v>
      </c>
    </row>
    <row r="7536" spans="1:5" hidden="1" outlineLevel="2">
      <c r="A7536" s="3" t="e">
        <f>(HYPERLINK("http://www.autodoc.ru/Web/price/art/7249LGSE5RV?analog=on","7249LGSE5RV"))*1</f>
        <v>#VALUE!</v>
      </c>
      <c r="B7536" s="1">
        <v>6991714</v>
      </c>
      <c r="C7536" t="s">
        <v>261</v>
      </c>
      <c r="D7536" t="s">
        <v>7732</v>
      </c>
      <c r="E7536" t="s">
        <v>10</v>
      </c>
    </row>
    <row r="7537" spans="1:5" hidden="1" outlineLevel="2">
      <c r="A7537" s="3" t="e">
        <f>(HYPERLINK("http://www.autodoc.ru/Web/price/art/7249LGSH5FD?analog=on","7249LGSH5FD"))*1</f>
        <v>#VALUE!</v>
      </c>
      <c r="B7537" s="1">
        <v>6980130</v>
      </c>
      <c r="C7537" t="s">
        <v>216</v>
      </c>
      <c r="D7537" t="s">
        <v>7733</v>
      </c>
      <c r="E7537" t="s">
        <v>10</v>
      </c>
    </row>
    <row r="7538" spans="1:5" hidden="1" outlineLevel="2">
      <c r="A7538" s="3" t="e">
        <f>(HYPERLINK("http://www.autodoc.ru/Web/price/art/7249LGSH5RD?analog=on","7249LGSH5RD"))*1</f>
        <v>#VALUE!</v>
      </c>
      <c r="B7538" s="1">
        <v>6980132</v>
      </c>
      <c r="C7538" t="s">
        <v>216</v>
      </c>
      <c r="D7538" t="s">
        <v>7734</v>
      </c>
      <c r="E7538" t="s">
        <v>10</v>
      </c>
    </row>
    <row r="7539" spans="1:5" hidden="1" outlineLevel="2">
      <c r="A7539" s="3" t="e">
        <f>(HYPERLINK("http://www.autodoc.ru/Web/price/art/7249LGSH5RV?analog=on","7249LGSH5RV"))*1</f>
        <v>#VALUE!</v>
      </c>
      <c r="B7539" s="1">
        <v>6992779</v>
      </c>
      <c r="C7539" t="s">
        <v>216</v>
      </c>
      <c r="D7539" t="s">
        <v>7735</v>
      </c>
      <c r="E7539" t="s">
        <v>10</v>
      </c>
    </row>
    <row r="7540" spans="1:5" hidden="1" outlineLevel="2">
      <c r="A7540" s="3" t="e">
        <f>(HYPERLINK("http://www.autodoc.ru/Web/price/art/7249RGPE5RD?analog=on","7249RGPE5RD"))*1</f>
        <v>#VALUE!</v>
      </c>
      <c r="B7540" s="1">
        <v>6990921</v>
      </c>
      <c r="C7540" t="s">
        <v>261</v>
      </c>
      <c r="D7540" t="s">
        <v>7736</v>
      </c>
      <c r="E7540" t="s">
        <v>10</v>
      </c>
    </row>
    <row r="7541" spans="1:5" hidden="1" outlineLevel="2">
      <c r="A7541" s="3" t="e">
        <f>(HYPERLINK("http://www.autodoc.ru/Web/price/art/7249RGPE5RQAZ?analog=on","7249RGPE5RQAZ"))*1</f>
        <v>#VALUE!</v>
      </c>
      <c r="B7541" s="1">
        <v>6990462</v>
      </c>
      <c r="C7541" t="s">
        <v>261</v>
      </c>
      <c r="D7541" t="s">
        <v>7737</v>
      </c>
      <c r="E7541" t="s">
        <v>10</v>
      </c>
    </row>
    <row r="7542" spans="1:5" hidden="1" outlineLevel="2">
      <c r="A7542" s="3" t="e">
        <f>(HYPERLINK("http://www.autodoc.ru/Web/price/art/7249RGPE5RV?analog=on","7249RGPE5RV"))*1</f>
        <v>#VALUE!</v>
      </c>
      <c r="B7542" s="1">
        <v>6990466</v>
      </c>
      <c r="C7542" t="s">
        <v>261</v>
      </c>
      <c r="D7542" t="s">
        <v>7738</v>
      </c>
      <c r="E7542" t="s">
        <v>10</v>
      </c>
    </row>
    <row r="7543" spans="1:5" hidden="1" outlineLevel="2">
      <c r="A7543" s="3" t="e">
        <f>(HYPERLINK("http://www.autodoc.ru/Web/price/art/7249RGSE5RD?analog=on","7249RGSE5RD"))*1</f>
        <v>#VALUE!</v>
      </c>
      <c r="B7543" s="1">
        <v>6990920</v>
      </c>
      <c r="C7543" t="s">
        <v>261</v>
      </c>
      <c r="D7543" t="s">
        <v>7739</v>
      </c>
      <c r="E7543" t="s">
        <v>10</v>
      </c>
    </row>
    <row r="7544" spans="1:5" hidden="1" outlineLevel="2">
      <c r="A7544" s="3" t="e">
        <f>(HYPERLINK("http://www.autodoc.ru/Web/price/art/7249RGSE5RQAZ?analog=on","7249RGSE5RQAZ"))*1</f>
        <v>#VALUE!</v>
      </c>
      <c r="B7544" s="1">
        <v>6990463</v>
      </c>
      <c r="C7544" t="s">
        <v>261</v>
      </c>
      <c r="D7544" t="s">
        <v>7740</v>
      </c>
      <c r="E7544" t="s">
        <v>10</v>
      </c>
    </row>
    <row r="7545" spans="1:5" hidden="1" outlineLevel="2">
      <c r="A7545" s="3" t="e">
        <f>(HYPERLINK("http://www.autodoc.ru/Web/price/art/7249RGSE5RV?analog=on","7249RGSE5RV"))*1</f>
        <v>#VALUE!</v>
      </c>
      <c r="B7545" s="1">
        <v>6991713</v>
      </c>
      <c r="C7545" t="s">
        <v>261</v>
      </c>
      <c r="D7545" t="s">
        <v>7741</v>
      </c>
      <c r="E7545" t="s">
        <v>10</v>
      </c>
    </row>
    <row r="7546" spans="1:5" hidden="1" outlineLevel="2">
      <c r="A7546" s="3" t="e">
        <f>(HYPERLINK("http://www.autodoc.ru/Web/price/art/7249RGSH5FD?analog=on","7249RGSH5FD"))*1</f>
        <v>#VALUE!</v>
      </c>
      <c r="B7546" s="1">
        <v>6980131</v>
      </c>
      <c r="C7546" t="s">
        <v>216</v>
      </c>
      <c r="D7546" t="s">
        <v>7742</v>
      </c>
      <c r="E7546" t="s">
        <v>10</v>
      </c>
    </row>
    <row r="7547" spans="1:5" hidden="1" outlineLevel="2">
      <c r="A7547" s="3" t="e">
        <f>(HYPERLINK("http://www.autodoc.ru/Web/price/art/7249RGSH5RD?analog=on","7249RGSH5RD"))*1</f>
        <v>#VALUE!</v>
      </c>
      <c r="B7547" s="1">
        <v>6980133</v>
      </c>
      <c r="C7547" t="s">
        <v>216</v>
      </c>
      <c r="D7547" t="s">
        <v>7743</v>
      </c>
      <c r="E7547" t="s">
        <v>10</v>
      </c>
    </row>
    <row r="7548" spans="1:5" hidden="1" outlineLevel="2">
      <c r="A7548" s="3" t="e">
        <f>(HYPERLINK("http://www.autodoc.ru/Web/price/art/7249RGSH5RV?analog=on","7249RGSH5RV"))*1</f>
        <v>#VALUE!</v>
      </c>
      <c r="B7548" s="1">
        <v>6992780</v>
      </c>
      <c r="C7548" t="s">
        <v>216</v>
      </c>
      <c r="D7548" t="s">
        <v>7744</v>
      </c>
      <c r="E7548" t="s">
        <v>10</v>
      </c>
    </row>
    <row r="7549" spans="1:5" hidden="1" outlineLevel="1">
      <c r="A7549" s="2">
        <v>0</v>
      </c>
      <c r="B7549" s="26" t="s">
        <v>7745</v>
      </c>
      <c r="C7549" s="27">
        <v>0</v>
      </c>
      <c r="D7549" s="27">
        <v>0</v>
      </c>
      <c r="E7549" s="27">
        <v>0</v>
      </c>
    </row>
    <row r="7550" spans="1:5" hidden="1" outlineLevel="2">
      <c r="A7550" s="3" t="e">
        <f>(HYPERLINK("http://www.autodoc.ru/Web/price/art/7273ACDMVZ1R?analog=on","7273ACDMVZ1R"))*1</f>
        <v>#VALUE!</v>
      </c>
      <c r="B7550" s="1">
        <v>6961199</v>
      </c>
      <c r="C7550" t="s">
        <v>290</v>
      </c>
      <c r="D7550" t="s">
        <v>7746</v>
      </c>
      <c r="E7550" t="s">
        <v>8</v>
      </c>
    </row>
    <row r="7551" spans="1:5" hidden="1" outlineLevel="2">
      <c r="A7551" s="3" t="e">
        <f>(HYPERLINK("http://www.autodoc.ru/Web/price/art/7273AGAMVZ1R?analog=on","7273AGAMVZ1R"))*1</f>
        <v>#VALUE!</v>
      </c>
      <c r="B7551" s="1">
        <v>6961198</v>
      </c>
      <c r="C7551" t="s">
        <v>290</v>
      </c>
      <c r="D7551" t="s">
        <v>7747</v>
      </c>
      <c r="E7551" t="s">
        <v>8</v>
      </c>
    </row>
    <row r="7552" spans="1:5" hidden="1" outlineLevel="2">
      <c r="A7552" s="3" t="e">
        <f>(HYPERLINK("http://www.autodoc.ru/Web/price/art/7273AGSMVZ1R?analog=on","7273AGSMVZ1R"))*1</f>
        <v>#VALUE!</v>
      </c>
      <c r="B7552" s="1">
        <v>6961204</v>
      </c>
      <c r="C7552" t="s">
        <v>290</v>
      </c>
      <c r="D7552" t="s">
        <v>7748</v>
      </c>
      <c r="E7552" t="s">
        <v>8</v>
      </c>
    </row>
    <row r="7553" spans="1:5" hidden="1" outlineLevel="2">
      <c r="A7553" s="3" t="e">
        <f>(HYPERLINK("http://www.autodoc.ru/Web/price/art/7273AGSVZ1M?analog=on","7273AGSVZ1M"))*1</f>
        <v>#VALUE!</v>
      </c>
      <c r="B7553" s="1">
        <v>6961200</v>
      </c>
      <c r="C7553" t="s">
        <v>290</v>
      </c>
      <c r="D7553" t="s">
        <v>7749</v>
      </c>
      <c r="E7553" t="s">
        <v>8</v>
      </c>
    </row>
    <row r="7554" spans="1:5" hidden="1" outlineLevel="2">
      <c r="A7554" s="3" t="e">
        <f>(HYPERLINK("http://www.autodoc.ru/Web/price/art/7273LGSH5FD?analog=on","7273LGSH5FD"))*1</f>
        <v>#VALUE!</v>
      </c>
      <c r="B7554" s="1">
        <v>6993998</v>
      </c>
      <c r="C7554" t="s">
        <v>290</v>
      </c>
      <c r="D7554" t="s">
        <v>7750</v>
      </c>
      <c r="E7554" t="s">
        <v>10</v>
      </c>
    </row>
    <row r="7555" spans="1:5" hidden="1" outlineLevel="2">
      <c r="A7555" s="3" t="e">
        <f>(HYPERLINK("http://www.autodoc.ru/Web/price/art/7273RGSH5FD?analog=on","7273RGSH5FD"))*1</f>
        <v>#VALUE!</v>
      </c>
      <c r="B7555" s="1">
        <v>6993995</v>
      </c>
      <c r="C7555" t="s">
        <v>290</v>
      </c>
      <c r="D7555" t="s">
        <v>7751</v>
      </c>
      <c r="E7555" t="s">
        <v>10</v>
      </c>
    </row>
    <row r="7556" spans="1:5" hidden="1" outlineLevel="1">
      <c r="A7556" s="2">
        <v>0</v>
      </c>
      <c r="B7556" s="26" t="s">
        <v>7752</v>
      </c>
      <c r="C7556" s="27">
        <v>0</v>
      </c>
      <c r="D7556" s="27">
        <v>0</v>
      </c>
      <c r="E7556" s="27">
        <v>0</v>
      </c>
    </row>
    <row r="7557" spans="1:5" hidden="1" outlineLevel="2">
      <c r="A7557" s="3" t="e">
        <f>(HYPERLINK("http://www.autodoc.ru/Web/price/art/7286AGNMVZ1M?analog=on","7286AGNMVZ1M"))*1</f>
        <v>#VALUE!</v>
      </c>
      <c r="B7557" s="1">
        <v>6965838</v>
      </c>
      <c r="C7557" t="s">
        <v>965</v>
      </c>
      <c r="D7557" t="s">
        <v>7753</v>
      </c>
      <c r="E7557" t="s">
        <v>8</v>
      </c>
    </row>
    <row r="7558" spans="1:5" hidden="1" outlineLevel="1">
      <c r="A7558" s="2">
        <v>0</v>
      </c>
      <c r="B7558" s="26" t="s">
        <v>7754</v>
      </c>
      <c r="C7558" s="27">
        <v>0</v>
      </c>
      <c r="D7558" s="27">
        <v>0</v>
      </c>
      <c r="E7558" s="27">
        <v>0</v>
      </c>
    </row>
    <row r="7559" spans="1:5" hidden="1" outlineLevel="2">
      <c r="A7559" s="3" t="e">
        <f>(HYPERLINK("http://www.autodoc.ru/Web/price/art/7264ACL?analog=on","7264ACL"))*1</f>
        <v>#VALUE!</v>
      </c>
      <c r="B7559" s="1">
        <v>6961291</v>
      </c>
      <c r="C7559" t="s">
        <v>4323</v>
      </c>
      <c r="D7559" t="s">
        <v>7755</v>
      </c>
      <c r="E7559" t="s">
        <v>8</v>
      </c>
    </row>
    <row r="7560" spans="1:5" hidden="1" outlineLevel="2">
      <c r="A7560" s="3" t="e">
        <f>(HYPERLINK("http://www.autodoc.ru/Web/price/art/7264AGN?analog=on","7264AGN"))*1</f>
        <v>#VALUE!</v>
      </c>
      <c r="B7560" s="1">
        <v>6961454</v>
      </c>
      <c r="C7560" t="s">
        <v>4323</v>
      </c>
      <c r="D7560" t="s">
        <v>7756</v>
      </c>
      <c r="E7560" t="s">
        <v>8</v>
      </c>
    </row>
    <row r="7561" spans="1:5" hidden="1" outlineLevel="2">
      <c r="A7561" s="3" t="e">
        <f>(HYPERLINK("http://www.autodoc.ru/Web/price/art/7264AGNBL?analog=on","7264AGNBL"))*1</f>
        <v>#VALUE!</v>
      </c>
      <c r="B7561" s="1">
        <v>6962675</v>
      </c>
      <c r="C7561" t="s">
        <v>4323</v>
      </c>
      <c r="D7561" t="s">
        <v>7757</v>
      </c>
      <c r="E7561" t="s">
        <v>8</v>
      </c>
    </row>
    <row r="7562" spans="1:5" hidden="1" outlineLevel="2">
      <c r="A7562" s="3" t="e">
        <f>(HYPERLINK("http://www.autodoc.ru/Web/price/art/7264ASMST?analog=on","7264ASMST"))*1</f>
        <v>#VALUE!</v>
      </c>
      <c r="B7562" s="1">
        <v>6102144</v>
      </c>
      <c r="C7562" t="s">
        <v>19</v>
      </c>
      <c r="D7562" t="s">
        <v>7758</v>
      </c>
      <c r="E7562" t="s">
        <v>21</v>
      </c>
    </row>
    <row r="7563" spans="1:5" hidden="1" outlineLevel="2">
      <c r="A7563" s="3" t="e">
        <f>(HYPERLINK("http://www.autodoc.ru/Web/price/art/7264ASMSB?analog=on","7264ASMSB"))*1</f>
        <v>#VALUE!</v>
      </c>
      <c r="B7563" s="1">
        <v>6102145</v>
      </c>
      <c r="C7563" t="s">
        <v>19</v>
      </c>
      <c r="D7563" t="s">
        <v>7759</v>
      </c>
      <c r="E7563" t="s">
        <v>21</v>
      </c>
    </row>
    <row r="7564" spans="1:5" hidden="1" outlineLevel="2">
      <c r="A7564" s="3" t="e">
        <f>(HYPERLINK("http://www.autodoc.ru/Web/price/art/7264BGNSB?analog=on","7264BGNSB"))*1</f>
        <v>#VALUE!</v>
      </c>
      <c r="B7564" s="1">
        <v>6993986</v>
      </c>
      <c r="C7564" t="s">
        <v>4323</v>
      </c>
      <c r="D7564" t="s">
        <v>7760</v>
      </c>
      <c r="E7564" t="s">
        <v>23</v>
      </c>
    </row>
    <row r="7565" spans="1:5" hidden="1" outlineLevel="2">
      <c r="A7565" s="3" t="e">
        <f>(HYPERLINK("http://www.autodoc.ru/Web/price/art/7264BCLSB?analog=on","7264BCLSB"))*1</f>
        <v>#VALUE!</v>
      </c>
      <c r="B7565" s="1">
        <v>6993954</v>
      </c>
      <c r="C7565" t="s">
        <v>4323</v>
      </c>
      <c r="D7565" t="s">
        <v>7761</v>
      </c>
      <c r="E7565" t="s">
        <v>23</v>
      </c>
    </row>
    <row r="7566" spans="1:5" hidden="1" outlineLevel="2">
      <c r="A7566" s="3" t="e">
        <f>(HYPERLINK("http://www.autodoc.ru/Web/price/art/7264LCLS4FD?analog=on","7264LCLS4FD"))*1</f>
        <v>#VALUE!</v>
      </c>
      <c r="B7566" s="1">
        <v>6993399</v>
      </c>
      <c r="C7566" t="s">
        <v>4323</v>
      </c>
      <c r="D7566" t="s">
        <v>7762</v>
      </c>
      <c r="E7566" t="s">
        <v>10</v>
      </c>
    </row>
    <row r="7567" spans="1:5" hidden="1" outlineLevel="2">
      <c r="A7567" s="3" t="e">
        <f>(HYPERLINK("http://www.autodoc.ru/Web/price/art/7264LCLS4RD?analog=on","7264LCLS4RD"))*1</f>
        <v>#VALUE!</v>
      </c>
      <c r="B7567" s="1">
        <v>6993454</v>
      </c>
      <c r="C7567" t="s">
        <v>4323</v>
      </c>
      <c r="D7567" t="s">
        <v>7763</v>
      </c>
      <c r="E7567" t="s">
        <v>10</v>
      </c>
    </row>
    <row r="7568" spans="1:5" hidden="1" outlineLevel="2">
      <c r="A7568" s="3" t="e">
        <f>(HYPERLINK("http://www.autodoc.ru/Web/price/art/7264LGNS4FD?analog=on","7264LGNS4FD"))*1</f>
        <v>#VALUE!</v>
      </c>
      <c r="B7568" s="1">
        <v>6993452</v>
      </c>
      <c r="C7568" t="s">
        <v>4323</v>
      </c>
      <c r="D7568" t="s">
        <v>7764</v>
      </c>
      <c r="E7568" t="s">
        <v>10</v>
      </c>
    </row>
    <row r="7569" spans="1:5" hidden="1" outlineLevel="2">
      <c r="A7569" s="3" t="e">
        <f>(HYPERLINK("http://www.autodoc.ru/Web/price/art/7264LGNS4RD?analog=on","7264LGNS4RD"))*1</f>
        <v>#VALUE!</v>
      </c>
      <c r="B7569" s="1">
        <v>6993520</v>
      </c>
      <c r="C7569" t="s">
        <v>4323</v>
      </c>
      <c r="D7569" t="s">
        <v>7765</v>
      </c>
      <c r="E7569" t="s">
        <v>10</v>
      </c>
    </row>
    <row r="7570" spans="1:5" hidden="1" outlineLevel="2">
      <c r="A7570" s="3" t="e">
        <f>(HYPERLINK("http://www.autodoc.ru/Web/price/art/7264RCLS4FD?analog=on","7264RCLS4FD"))*1</f>
        <v>#VALUE!</v>
      </c>
      <c r="B7570" s="1">
        <v>6993398</v>
      </c>
      <c r="C7570" t="s">
        <v>4323</v>
      </c>
      <c r="D7570" t="s">
        <v>7766</v>
      </c>
      <c r="E7570" t="s">
        <v>10</v>
      </c>
    </row>
    <row r="7571" spans="1:5" hidden="1" outlineLevel="2">
      <c r="A7571" s="3" t="e">
        <f>(HYPERLINK("http://www.autodoc.ru/Web/price/art/7264RCLS4RD?analog=on","7264RCLS4RD"))*1</f>
        <v>#VALUE!</v>
      </c>
      <c r="B7571" s="1">
        <v>6993453</v>
      </c>
      <c r="C7571" t="s">
        <v>4323</v>
      </c>
      <c r="D7571" t="s">
        <v>7767</v>
      </c>
      <c r="E7571" t="s">
        <v>10</v>
      </c>
    </row>
    <row r="7572" spans="1:5" hidden="1" outlineLevel="2">
      <c r="A7572" s="3" t="e">
        <f>(HYPERLINK("http://www.autodoc.ru/Web/price/art/7264RGNS4FD?analog=on","7264RGNS4FD"))*1</f>
        <v>#VALUE!</v>
      </c>
      <c r="B7572" s="1">
        <v>6993400</v>
      </c>
      <c r="C7572" t="s">
        <v>4323</v>
      </c>
      <c r="D7572" t="s">
        <v>7768</v>
      </c>
      <c r="E7572" t="s">
        <v>10</v>
      </c>
    </row>
    <row r="7573" spans="1:5" hidden="1" outlineLevel="2">
      <c r="A7573" s="3" t="e">
        <f>(HYPERLINK("http://www.autodoc.ru/Web/price/art/7264RGNS4RD?analog=on","7264RGNS4RD"))*1</f>
        <v>#VALUE!</v>
      </c>
      <c r="B7573" s="1">
        <v>6993519</v>
      </c>
      <c r="C7573" t="s">
        <v>4323</v>
      </c>
      <c r="D7573" t="s">
        <v>7769</v>
      </c>
      <c r="E7573" t="s">
        <v>10</v>
      </c>
    </row>
    <row r="7574" spans="1:5" hidden="1" outlineLevel="1">
      <c r="A7574" s="2">
        <v>0</v>
      </c>
      <c r="B7574" s="26" t="s">
        <v>7770</v>
      </c>
      <c r="C7574" s="27">
        <v>0</v>
      </c>
      <c r="D7574" s="27">
        <v>0</v>
      </c>
      <c r="E7574" s="27">
        <v>0</v>
      </c>
    </row>
    <row r="7575" spans="1:5" hidden="1" outlineLevel="2">
      <c r="A7575" s="3" t="e">
        <f>(HYPERLINK("http://www.autodoc.ru/Web/price/art/7272AGS?analog=on","7272AGS"))*1</f>
        <v>#VALUE!</v>
      </c>
      <c r="B7575" s="1">
        <v>6962668</v>
      </c>
      <c r="C7575" t="s">
        <v>19</v>
      </c>
      <c r="D7575" t="s">
        <v>7771</v>
      </c>
      <c r="E7575" t="s">
        <v>8</v>
      </c>
    </row>
    <row r="7576" spans="1:5" hidden="1" outlineLevel="1">
      <c r="A7576" s="2">
        <v>0</v>
      </c>
      <c r="B7576" s="26" t="s">
        <v>7772</v>
      </c>
      <c r="C7576" s="27">
        <v>0</v>
      </c>
      <c r="D7576" s="27">
        <v>0</v>
      </c>
      <c r="E7576" s="27">
        <v>0</v>
      </c>
    </row>
    <row r="7577" spans="1:5" hidden="1" outlineLevel="2">
      <c r="A7577" s="3" t="e">
        <f>(HYPERLINK("http://www.autodoc.ru/Web/price/art/7239ACC1B?analog=on","7239ACC1B"))*1</f>
        <v>#VALUE!</v>
      </c>
      <c r="B7577" s="1">
        <v>6966252</v>
      </c>
      <c r="C7577" t="s">
        <v>901</v>
      </c>
      <c r="D7577" t="s">
        <v>7773</v>
      </c>
      <c r="E7577" t="s">
        <v>8</v>
      </c>
    </row>
    <row r="7578" spans="1:5" hidden="1" outlineLevel="2">
      <c r="A7578" s="3" t="e">
        <f>(HYPERLINK("http://www.autodoc.ru/Web/price/art/7239ACL?analog=on","7239ACL"))*1</f>
        <v>#VALUE!</v>
      </c>
      <c r="B7578" s="1">
        <v>6966248</v>
      </c>
      <c r="C7578" t="s">
        <v>901</v>
      </c>
      <c r="D7578" t="s">
        <v>7774</v>
      </c>
      <c r="E7578" t="s">
        <v>8</v>
      </c>
    </row>
    <row r="7579" spans="1:5" hidden="1" outlineLevel="2">
      <c r="A7579" s="3" t="e">
        <f>(HYPERLINK("http://www.autodoc.ru/Web/price/art/7239AGNBL?analog=on","7239AGNBL"))*1</f>
        <v>#VALUE!</v>
      </c>
      <c r="B7579" s="1">
        <v>6964402</v>
      </c>
      <c r="C7579" t="s">
        <v>901</v>
      </c>
      <c r="D7579" t="s">
        <v>7775</v>
      </c>
      <c r="E7579" t="s">
        <v>8</v>
      </c>
    </row>
    <row r="7580" spans="1:5" hidden="1" outlineLevel="2">
      <c r="A7580" s="3" t="e">
        <f>(HYPERLINK("http://www.autodoc.ru/Web/price/art/7239AGNGN?analog=on","7239AGNGN"))*1</f>
        <v>#VALUE!</v>
      </c>
      <c r="B7580" s="1">
        <v>6963664</v>
      </c>
      <c r="C7580" t="s">
        <v>901</v>
      </c>
      <c r="D7580" t="s">
        <v>7776</v>
      </c>
      <c r="E7580" t="s">
        <v>8</v>
      </c>
    </row>
    <row r="7581" spans="1:5" hidden="1" outlineLevel="2">
      <c r="A7581" s="3" t="e">
        <f>(HYPERLINK("http://www.autodoc.ru/Web/price/art/7239AGNH?analog=on","7239AGNH"))*1</f>
        <v>#VALUE!</v>
      </c>
      <c r="B7581" s="1">
        <v>6963337</v>
      </c>
      <c r="C7581" t="s">
        <v>901</v>
      </c>
      <c r="D7581" t="s">
        <v>7777</v>
      </c>
      <c r="E7581" t="s">
        <v>8</v>
      </c>
    </row>
    <row r="7582" spans="1:5" hidden="1" outlineLevel="2">
      <c r="A7582" s="3" t="e">
        <f>(HYPERLINK("http://www.autodoc.ru/Web/price/art/7239AGS?analog=on","7239AGS"))*1</f>
        <v>#VALUE!</v>
      </c>
      <c r="B7582" s="1">
        <v>6966249</v>
      </c>
      <c r="C7582" t="s">
        <v>901</v>
      </c>
      <c r="D7582" t="s">
        <v>7778</v>
      </c>
      <c r="E7582" t="s">
        <v>8</v>
      </c>
    </row>
    <row r="7583" spans="1:5" hidden="1" outlineLevel="2">
      <c r="A7583" s="3" t="e">
        <f>(HYPERLINK("http://www.autodoc.ru/Web/price/art/7239AKMH?analog=on","7239AKMH"))*1</f>
        <v>#VALUE!</v>
      </c>
      <c r="B7583" s="1">
        <v>6102317</v>
      </c>
      <c r="C7583" t="s">
        <v>19</v>
      </c>
      <c r="D7583" t="s">
        <v>7779</v>
      </c>
      <c r="E7583" t="s">
        <v>21</v>
      </c>
    </row>
    <row r="7584" spans="1:5" hidden="1" outlineLevel="2">
      <c r="A7584" s="3" t="e">
        <f>(HYPERLINK("http://www.autodoc.ru/Web/price/art/7239BCLHB?analog=on","7239BCLHB"))*1</f>
        <v>#VALUE!</v>
      </c>
      <c r="B7584" s="1">
        <v>6995053</v>
      </c>
      <c r="C7584" t="s">
        <v>901</v>
      </c>
      <c r="D7584" t="s">
        <v>7780</v>
      </c>
      <c r="E7584" t="s">
        <v>23</v>
      </c>
    </row>
    <row r="7585" spans="1:5" hidden="1" outlineLevel="2">
      <c r="A7585" s="3" t="e">
        <f>(HYPERLINK("http://www.autodoc.ru/Web/price/art/7239BGNSB?analog=on","7239BGNSB"))*1</f>
        <v>#VALUE!</v>
      </c>
      <c r="B7585" s="1">
        <v>6991172</v>
      </c>
      <c r="C7585" t="s">
        <v>901</v>
      </c>
      <c r="D7585" t="s">
        <v>7781</v>
      </c>
      <c r="E7585" t="s">
        <v>23</v>
      </c>
    </row>
    <row r="7586" spans="1:5" hidden="1" outlineLevel="2">
      <c r="A7586" s="3" t="e">
        <f>(HYPERLINK("http://www.autodoc.ru/Web/price/art/7239BGPHB?analog=on","7239BGPHB"))*1</f>
        <v>#VALUE!</v>
      </c>
      <c r="B7586" s="1">
        <v>6996018</v>
      </c>
      <c r="C7586" t="s">
        <v>7782</v>
      </c>
      <c r="D7586" t="s">
        <v>7783</v>
      </c>
      <c r="E7586" t="s">
        <v>23</v>
      </c>
    </row>
    <row r="7587" spans="1:5" hidden="1" outlineLevel="2">
      <c r="A7587" s="3" t="e">
        <f>(HYPERLINK("http://www.autodoc.ru/Web/price/art/7239BGPSB?analog=on","7239BGPSB"))*1</f>
        <v>#VALUE!</v>
      </c>
      <c r="B7587" s="1">
        <v>6996019</v>
      </c>
      <c r="C7587" t="s">
        <v>7782</v>
      </c>
      <c r="D7587" t="s">
        <v>7784</v>
      </c>
      <c r="E7587" t="s">
        <v>23</v>
      </c>
    </row>
    <row r="7588" spans="1:5" hidden="1" outlineLevel="2">
      <c r="A7588" s="3" t="e">
        <f>(HYPERLINK("http://www.autodoc.ru/Web/price/art/7239BGSEW?analog=on","7239BGSEW"))*1</f>
        <v>#VALUE!</v>
      </c>
      <c r="B7588" s="1">
        <v>6996274</v>
      </c>
      <c r="C7588" t="s">
        <v>3841</v>
      </c>
      <c r="D7588" t="s">
        <v>7785</v>
      </c>
      <c r="E7588" t="s">
        <v>23</v>
      </c>
    </row>
    <row r="7589" spans="1:5" hidden="1" outlineLevel="2">
      <c r="A7589" s="3" t="e">
        <f>(HYPERLINK("http://www.autodoc.ru/Web/price/art/7239BGSHB?analog=on","7239BGSHB"))*1</f>
        <v>#VALUE!</v>
      </c>
      <c r="B7589" s="1">
        <v>6995054</v>
      </c>
      <c r="C7589" t="s">
        <v>901</v>
      </c>
      <c r="D7589" t="s">
        <v>7786</v>
      </c>
      <c r="E7589" t="s">
        <v>23</v>
      </c>
    </row>
    <row r="7590" spans="1:5" hidden="1" outlineLevel="2">
      <c r="A7590" s="3" t="e">
        <f>(HYPERLINK("http://www.autodoc.ru/Web/price/art/7239BSMH?analog=on","7239BSMH"))*1</f>
        <v>#VALUE!</v>
      </c>
      <c r="B7590" s="1">
        <v>6100204</v>
      </c>
      <c r="C7590" t="s">
        <v>19</v>
      </c>
      <c r="D7590" t="s">
        <v>7787</v>
      </c>
      <c r="E7590" t="s">
        <v>21</v>
      </c>
    </row>
    <row r="7591" spans="1:5" hidden="1" outlineLevel="2">
      <c r="A7591" s="3" t="e">
        <f>(HYPERLINK("http://www.autodoc.ru/Web/price/art/7239LCLH5FD?analog=on","7239LCLH5FD"))*1</f>
        <v>#VALUE!</v>
      </c>
      <c r="B7591" s="1">
        <v>6994616</v>
      </c>
      <c r="C7591" t="s">
        <v>901</v>
      </c>
      <c r="D7591" t="s">
        <v>7788</v>
      </c>
      <c r="E7591" t="s">
        <v>10</v>
      </c>
    </row>
    <row r="7592" spans="1:5" hidden="1" outlineLevel="2">
      <c r="A7592" s="3" t="e">
        <f>(HYPERLINK("http://www.autodoc.ru/Web/price/art/7239LGNH5FD?analog=on","7239LGNH5FD"))*1</f>
        <v>#VALUE!</v>
      </c>
      <c r="B7592" s="1">
        <v>6994826</v>
      </c>
      <c r="C7592" t="s">
        <v>901</v>
      </c>
      <c r="D7592" t="s">
        <v>7789</v>
      </c>
      <c r="E7592" t="s">
        <v>10</v>
      </c>
    </row>
    <row r="7593" spans="1:5" hidden="1" outlineLevel="2">
      <c r="A7593" s="3" t="e">
        <f>(HYPERLINK("http://www.autodoc.ru/Web/price/art/7239LGNH5RD?analog=on","7239LGNH5RD"))*1</f>
        <v>#VALUE!</v>
      </c>
      <c r="B7593" s="1">
        <v>6994827</v>
      </c>
      <c r="C7593" t="s">
        <v>901</v>
      </c>
      <c r="D7593" t="s">
        <v>7790</v>
      </c>
      <c r="E7593" t="s">
        <v>10</v>
      </c>
    </row>
    <row r="7594" spans="1:5" hidden="1" outlineLevel="2">
      <c r="A7594" s="3" t="e">
        <f>(HYPERLINK("http://www.autodoc.ru/Web/price/art/7239LGNH5RV?analog=on","7239LGNH5RV"))*1</f>
        <v>#VALUE!</v>
      </c>
      <c r="B7594" s="1">
        <v>6994828</v>
      </c>
      <c r="C7594" t="s">
        <v>901</v>
      </c>
      <c r="D7594" t="s">
        <v>7791</v>
      </c>
      <c r="E7594" t="s">
        <v>10</v>
      </c>
    </row>
    <row r="7595" spans="1:5" hidden="1" outlineLevel="2">
      <c r="A7595" s="3" t="e">
        <f>(HYPERLINK("http://www.autodoc.ru/Web/price/art/7239RCLH5FD?analog=on","7239RCLH5FD"))*1</f>
        <v>#VALUE!</v>
      </c>
      <c r="B7595" s="1">
        <v>6994619</v>
      </c>
      <c r="C7595" t="s">
        <v>901</v>
      </c>
      <c r="D7595" t="s">
        <v>7792</v>
      </c>
      <c r="E7595" t="s">
        <v>10</v>
      </c>
    </row>
    <row r="7596" spans="1:5" hidden="1" outlineLevel="2">
      <c r="A7596" s="3" t="e">
        <f>(HYPERLINK("http://www.autodoc.ru/Web/price/art/7239RCLH5RV?analog=on","7239RCLH5RV"))*1</f>
        <v>#VALUE!</v>
      </c>
      <c r="B7596" s="1">
        <v>6994621</v>
      </c>
      <c r="C7596" t="s">
        <v>901</v>
      </c>
      <c r="D7596" t="s">
        <v>7793</v>
      </c>
      <c r="E7596" t="s">
        <v>10</v>
      </c>
    </row>
    <row r="7597" spans="1:5" hidden="1" outlineLevel="2">
      <c r="A7597" s="3" t="e">
        <f>(HYPERLINK("http://www.autodoc.ru/Web/price/art/7239RGNH5FD?analog=on","7239RGNH5FD"))*1</f>
        <v>#VALUE!</v>
      </c>
      <c r="B7597" s="1">
        <v>6994829</v>
      </c>
      <c r="C7597" t="s">
        <v>901</v>
      </c>
      <c r="D7597" t="s">
        <v>7794</v>
      </c>
      <c r="E7597" t="s">
        <v>10</v>
      </c>
    </row>
    <row r="7598" spans="1:5" hidden="1" outlineLevel="2">
      <c r="A7598" s="3" t="e">
        <f>(HYPERLINK("http://www.autodoc.ru/Web/price/art/7239RGNH5RD?analog=on","7239RGNH5RD"))*1</f>
        <v>#VALUE!</v>
      </c>
      <c r="B7598" s="1">
        <v>6994830</v>
      </c>
      <c r="C7598" t="s">
        <v>901</v>
      </c>
      <c r="D7598" t="s">
        <v>7795</v>
      </c>
      <c r="E7598" t="s">
        <v>10</v>
      </c>
    </row>
    <row r="7599" spans="1:5" hidden="1" outlineLevel="2">
      <c r="A7599" s="3" t="e">
        <f>(HYPERLINK("http://www.autodoc.ru/Web/price/art/7239RGNH5RV?analog=on","7239RGNH5RV"))*1</f>
        <v>#VALUE!</v>
      </c>
      <c r="B7599" s="1">
        <v>6994831</v>
      </c>
      <c r="C7599" t="s">
        <v>901</v>
      </c>
      <c r="D7599" t="s">
        <v>7796</v>
      </c>
      <c r="E7599" t="s">
        <v>10</v>
      </c>
    </row>
    <row r="7600" spans="1:5" hidden="1" outlineLevel="2">
      <c r="A7600" s="3" t="e">
        <f>(HYPERLINK("http://www.autodoc.ru/Web/price/art/7239RGSE5RD?analog=on","7239RGSE5RD"))*1</f>
        <v>#VALUE!</v>
      </c>
      <c r="B7600" s="1">
        <v>6900270</v>
      </c>
      <c r="C7600" t="s">
        <v>3841</v>
      </c>
      <c r="D7600" t="s">
        <v>7797</v>
      </c>
      <c r="E7600" t="s">
        <v>10</v>
      </c>
    </row>
    <row r="7601" spans="1:5" hidden="1" outlineLevel="1">
      <c r="A7601" s="2">
        <v>0</v>
      </c>
      <c r="B7601" s="26" t="s">
        <v>7798</v>
      </c>
      <c r="C7601" s="27">
        <v>0</v>
      </c>
      <c r="D7601" s="27">
        <v>0</v>
      </c>
      <c r="E7601" s="27">
        <v>0</v>
      </c>
    </row>
    <row r="7602" spans="1:5" hidden="1" outlineLevel="2">
      <c r="A7602" s="3" t="e">
        <f>(HYPERLINK("http://www.autodoc.ru/Web/price/art/7240ACC?analog=on","7240ACC"))*1</f>
        <v>#VALUE!</v>
      </c>
      <c r="B7602" s="1">
        <v>6963281</v>
      </c>
      <c r="C7602" t="s">
        <v>901</v>
      </c>
      <c r="D7602" t="s">
        <v>7799</v>
      </c>
      <c r="E7602" t="s">
        <v>8</v>
      </c>
    </row>
    <row r="7603" spans="1:5" hidden="1" outlineLevel="2">
      <c r="A7603" s="3" t="e">
        <f>(HYPERLINK("http://www.autodoc.ru/Web/price/art/7240AGN?analog=on","7240AGN"))*1</f>
        <v>#VALUE!</v>
      </c>
      <c r="B7603" s="1">
        <v>6963665</v>
      </c>
      <c r="C7603" t="s">
        <v>901</v>
      </c>
      <c r="D7603" t="s">
        <v>7800</v>
      </c>
      <c r="E7603" t="s">
        <v>8</v>
      </c>
    </row>
    <row r="7604" spans="1:5" hidden="1" outlineLevel="2">
      <c r="A7604" s="3" t="e">
        <f>(HYPERLINK("http://www.autodoc.ru/Web/price/art/7240AGNGN?analog=on","7240AGNGN"))*1</f>
        <v>#VALUE!</v>
      </c>
      <c r="B7604" s="1">
        <v>6963666</v>
      </c>
      <c r="C7604" t="s">
        <v>901</v>
      </c>
      <c r="D7604" t="s">
        <v>7801</v>
      </c>
      <c r="E7604" t="s">
        <v>8</v>
      </c>
    </row>
    <row r="7605" spans="1:5" hidden="1" outlineLevel="2">
      <c r="A7605" s="3" t="e">
        <f>(HYPERLINK("http://www.autodoc.ru/Web/price/art/7240BGNC?analog=on","7240BGNC"))*1</f>
        <v>#VALUE!</v>
      </c>
      <c r="B7605" s="1">
        <v>6994832</v>
      </c>
      <c r="C7605" t="s">
        <v>901</v>
      </c>
      <c r="D7605" t="s">
        <v>7802</v>
      </c>
      <c r="E7605" t="s">
        <v>23</v>
      </c>
    </row>
    <row r="7606" spans="1:5" hidden="1" outlineLevel="2">
      <c r="A7606" s="3" t="e">
        <f>(HYPERLINK("http://www.autodoc.ru/Web/price/art/7240BGPC?analog=on","7240BGPC"))*1</f>
        <v>#VALUE!</v>
      </c>
      <c r="B7606" s="1">
        <v>6995167</v>
      </c>
      <c r="C7606" t="s">
        <v>901</v>
      </c>
      <c r="D7606" t="s">
        <v>7803</v>
      </c>
      <c r="E7606" t="s">
        <v>23</v>
      </c>
    </row>
    <row r="7607" spans="1:5" hidden="1" outlineLevel="2">
      <c r="A7607" s="3" t="e">
        <f>(HYPERLINK("http://www.autodoc.ru/Web/price/art/7240BSMC?analog=on","7240BSMC"))*1</f>
        <v>#VALUE!</v>
      </c>
      <c r="B7607" s="1">
        <v>6100205</v>
      </c>
      <c r="C7607" t="s">
        <v>19</v>
      </c>
      <c r="D7607" t="s">
        <v>7804</v>
      </c>
      <c r="E7607" t="s">
        <v>21</v>
      </c>
    </row>
    <row r="7608" spans="1:5" hidden="1" outlineLevel="2">
      <c r="A7608" s="3" t="e">
        <f>(HYPERLINK("http://www.autodoc.ru/Web/price/art/7240LGNC2FD?analog=on","7240LGNC2FD"))*1</f>
        <v>#VALUE!</v>
      </c>
      <c r="B7608" s="1">
        <v>6991196</v>
      </c>
      <c r="C7608" t="s">
        <v>901</v>
      </c>
      <c r="D7608" t="s">
        <v>7805</v>
      </c>
      <c r="E7608" t="s">
        <v>10</v>
      </c>
    </row>
    <row r="7609" spans="1:5" hidden="1" outlineLevel="2">
      <c r="A7609" s="3" t="e">
        <f>(HYPERLINK("http://www.autodoc.ru/Web/price/art/7240LGNC2RQ?analog=on","7240LGNC2RQ"))*1</f>
        <v>#VALUE!</v>
      </c>
      <c r="B7609" s="1">
        <v>6994834</v>
      </c>
      <c r="C7609" t="s">
        <v>901</v>
      </c>
      <c r="D7609" t="s">
        <v>7806</v>
      </c>
      <c r="E7609" t="s">
        <v>10</v>
      </c>
    </row>
    <row r="7610" spans="1:5" hidden="1" outlineLevel="2">
      <c r="A7610" s="3" t="e">
        <f>(HYPERLINK("http://www.autodoc.ru/Web/price/art/7240LGNC2RQO?analog=on","7240LGNC2RQO"))*1</f>
        <v>#VALUE!</v>
      </c>
      <c r="B7610" s="1">
        <v>6994838</v>
      </c>
      <c r="C7610" t="s">
        <v>901</v>
      </c>
      <c r="D7610" t="s">
        <v>7807</v>
      </c>
      <c r="E7610" t="s">
        <v>10</v>
      </c>
    </row>
    <row r="7611" spans="1:5" hidden="1" outlineLevel="2">
      <c r="A7611" s="3" t="e">
        <f>(HYPERLINK("http://www.autodoc.ru/Web/price/art/7240LGPC2RQO?analog=on","7240LGPC2RQO"))*1</f>
        <v>#VALUE!</v>
      </c>
      <c r="B7611" s="1">
        <v>6995168</v>
      </c>
      <c r="C7611" t="s">
        <v>901</v>
      </c>
      <c r="D7611" t="s">
        <v>7808</v>
      </c>
      <c r="E7611" t="s">
        <v>10</v>
      </c>
    </row>
    <row r="7612" spans="1:5" hidden="1" outlineLevel="2">
      <c r="A7612" s="3" t="e">
        <f>(HYPERLINK("http://www.autodoc.ru/Web/price/art/7240RGNC2FD?analog=on","7240RGNC2FD"))*1</f>
        <v>#VALUE!</v>
      </c>
      <c r="B7612" s="1">
        <v>6991195</v>
      </c>
      <c r="C7612" t="s">
        <v>901</v>
      </c>
      <c r="D7612" t="s">
        <v>7809</v>
      </c>
      <c r="E7612" t="s">
        <v>10</v>
      </c>
    </row>
    <row r="7613" spans="1:5" hidden="1" outlineLevel="2">
      <c r="A7613" s="3" t="e">
        <f>(HYPERLINK("http://www.autodoc.ru/Web/price/art/7240RGNC2RQO?analog=on","7240RGNC2RQO"))*1</f>
        <v>#VALUE!</v>
      </c>
      <c r="B7613" s="1">
        <v>6994835</v>
      </c>
      <c r="C7613" t="s">
        <v>901</v>
      </c>
      <c r="D7613" t="s">
        <v>7810</v>
      </c>
      <c r="E7613" t="s">
        <v>10</v>
      </c>
    </row>
    <row r="7614" spans="1:5" hidden="1" outlineLevel="2">
      <c r="A7614" s="3" t="e">
        <f>(HYPERLINK("http://www.autodoc.ru/Web/price/art/7240RGNT2RQOW?analog=on","7240RGNT2RQOW"))*1</f>
        <v>#VALUE!</v>
      </c>
      <c r="B7614" s="1">
        <v>6994627</v>
      </c>
      <c r="C7614" t="s">
        <v>901</v>
      </c>
      <c r="D7614" t="s">
        <v>7811</v>
      </c>
      <c r="E7614" t="s">
        <v>10</v>
      </c>
    </row>
    <row r="7615" spans="1:5" hidden="1" outlineLevel="2">
      <c r="A7615" s="3" t="e">
        <f>(HYPERLINK("http://www.autodoc.ru/Web/price/art/7240RGPC2RQO?analog=on","7240RGPC2RQO"))*1</f>
        <v>#VALUE!</v>
      </c>
      <c r="B7615" s="1">
        <v>6995169</v>
      </c>
      <c r="C7615" t="s">
        <v>901</v>
      </c>
      <c r="D7615" t="s">
        <v>7812</v>
      </c>
      <c r="E7615" t="s">
        <v>10</v>
      </c>
    </row>
    <row r="7616" spans="1:5" hidden="1" outlineLevel="1">
      <c r="A7616" s="2">
        <v>0</v>
      </c>
      <c r="B7616" s="26" t="s">
        <v>7813</v>
      </c>
      <c r="C7616" s="27">
        <v>0</v>
      </c>
      <c r="D7616" s="27">
        <v>0</v>
      </c>
      <c r="E7616" s="27">
        <v>0</v>
      </c>
    </row>
    <row r="7617" spans="1:5" hidden="1" outlineLevel="2">
      <c r="A7617" s="3" t="e">
        <f>(HYPERLINK("http://www.autodoc.ru/Web/price/art/7260AGAMV1R?analog=on","7260AGAMV1R"))*1</f>
        <v>#VALUE!</v>
      </c>
      <c r="B7617" s="1">
        <v>6961468</v>
      </c>
      <c r="C7617" t="s">
        <v>2633</v>
      </c>
      <c r="D7617" t="s">
        <v>7814</v>
      </c>
      <c r="E7617" t="s">
        <v>8</v>
      </c>
    </row>
    <row r="7618" spans="1:5" hidden="1" outlineLevel="2">
      <c r="A7618" s="3" t="e">
        <f>(HYPERLINK("http://www.autodoc.ru/Web/price/art/7260AGAV1M?analog=on","7260AGAV1M"))*1</f>
        <v>#VALUE!</v>
      </c>
      <c r="B7618" s="1">
        <v>6961351</v>
      </c>
      <c r="C7618" t="s">
        <v>2633</v>
      </c>
      <c r="D7618" t="s">
        <v>7815</v>
      </c>
      <c r="E7618" t="s">
        <v>8</v>
      </c>
    </row>
    <row r="7619" spans="1:5" hidden="1" outlineLevel="2">
      <c r="A7619" s="3" t="e">
        <f>(HYPERLINK("http://www.autodoc.ru/Web/price/art/7260AGSMV1R?analog=on","7260AGSMV1R"))*1</f>
        <v>#VALUE!</v>
      </c>
      <c r="B7619" s="1">
        <v>6961352</v>
      </c>
      <c r="C7619" t="s">
        <v>2633</v>
      </c>
      <c r="D7619" t="s">
        <v>7814</v>
      </c>
      <c r="E7619" t="s">
        <v>8</v>
      </c>
    </row>
    <row r="7620" spans="1:5" hidden="1" outlineLevel="2">
      <c r="A7620" s="3" t="e">
        <f>(HYPERLINK("http://www.autodoc.ru/Web/price/art/7260AGSV1M?analog=on","7260AGSV1M"))*1</f>
        <v>#VALUE!</v>
      </c>
      <c r="B7620" s="1">
        <v>6961340</v>
      </c>
      <c r="C7620" t="s">
        <v>2633</v>
      </c>
      <c r="D7620" t="s">
        <v>7816</v>
      </c>
      <c r="E7620" t="s">
        <v>8</v>
      </c>
    </row>
    <row r="7621" spans="1:5" hidden="1" outlineLevel="2">
      <c r="A7621" s="3" t="e">
        <f>(HYPERLINK("http://www.autodoc.ru/Web/price/art/7260ASMH?analog=on","7260ASMH"))*1</f>
        <v>#VALUE!</v>
      </c>
      <c r="B7621" s="1">
        <v>6100617</v>
      </c>
      <c r="C7621" t="s">
        <v>19</v>
      </c>
      <c r="D7621" t="s">
        <v>7817</v>
      </c>
      <c r="E7621" t="s">
        <v>21</v>
      </c>
    </row>
    <row r="7622" spans="1:5" hidden="1" outlineLevel="2">
      <c r="A7622" s="3" t="e">
        <f>(HYPERLINK("http://www.autodoc.ru/Web/price/art/7260BGSE?analog=on","7260BGSE"))*1</f>
        <v>#VALUE!</v>
      </c>
      <c r="B7622" s="1">
        <v>6996116</v>
      </c>
      <c r="C7622" t="s">
        <v>755</v>
      </c>
      <c r="D7622" t="s">
        <v>7818</v>
      </c>
      <c r="E7622" t="s">
        <v>23</v>
      </c>
    </row>
    <row r="7623" spans="1:5" hidden="1" outlineLevel="2">
      <c r="A7623" s="3" t="e">
        <f>(HYPERLINK("http://www.autodoc.ru/Web/price/art/7260BGSEOW?analog=on","7260BGSEOW"))*1</f>
        <v>#VALUE!</v>
      </c>
      <c r="B7623" s="1">
        <v>6900109</v>
      </c>
      <c r="C7623" t="s">
        <v>755</v>
      </c>
      <c r="D7623" t="s">
        <v>7819</v>
      </c>
      <c r="E7623" t="s">
        <v>23</v>
      </c>
    </row>
    <row r="7624" spans="1:5" hidden="1" outlineLevel="2">
      <c r="A7624" s="3" t="e">
        <f>(HYPERLINK("http://www.autodoc.ru/Web/price/art/7260BGSH?analog=on","7260BGSH"))*1</f>
        <v>#VALUE!</v>
      </c>
      <c r="B7624" s="1">
        <v>6997801</v>
      </c>
      <c r="C7624" t="s">
        <v>2633</v>
      </c>
      <c r="D7624" t="s">
        <v>7820</v>
      </c>
      <c r="E7624" t="s">
        <v>23</v>
      </c>
    </row>
    <row r="7625" spans="1:5" hidden="1" outlineLevel="2">
      <c r="A7625" s="3" t="e">
        <f>(HYPERLINK("http://www.autodoc.ru/Web/price/art/7260BGSSB?analog=on","7260BGSSB"))*1</f>
        <v>#VALUE!</v>
      </c>
      <c r="B7625" s="1">
        <v>6900840</v>
      </c>
      <c r="C7625" t="s">
        <v>755</v>
      </c>
      <c r="D7625" t="s">
        <v>7821</v>
      </c>
      <c r="E7625" t="s">
        <v>23</v>
      </c>
    </row>
    <row r="7626" spans="1:5" hidden="1" outlineLevel="2">
      <c r="A7626" s="3" t="e">
        <f>(HYPERLINK("http://www.autodoc.ru/Web/price/art/7260LGSE5RD?analog=on","7260LGSE5RD"))*1</f>
        <v>#VALUE!</v>
      </c>
      <c r="B7626" s="1">
        <v>6997623</v>
      </c>
      <c r="C7626" t="s">
        <v>755</v>
      </c>
      <c r="D7626" t="s">
        <v>7822</v>
      </c>
      <c r="E7626" t="s">
        <v>10</v>
      </c>
    </row>
    <row r="7627" spans="1:5" hidden="1" outlineLevel="2">
      <c r="A7627" s="3" t="e">
        <f>(HYPERLINK("http://www.autodoc.ru/Web/price/art/7260LGSH3FD?analog=on","7260LGSH3FD"))*1</f>
        <v>#VALUE!</v>
      </c>
      <c r="B7627" s="1">
        <v>6993288</v>
      </c>
      <c r="C7627" t="s">
        <v>2633</v>
      </c>
      <c r="D7627" t="s">
        <v>7823</v>
      </c>
      <c r="E7627" t="s">
        <v>10</v>
      </c>
    </row>
    <row r="7628" spans="1:5" hidden="1" outlineLevel="2">
      <c r="A7628" s="3" t="e">
        <f>(HYPERLINK("http://www.autodoc.ru/Web/price/art/7260LGSH5FD?analog=on","7260LGSH5FD"))*1</f>
        <v>#VALUE!</v>
      </c>
      <c r="B7628" s="1">
        <v>6993289</v>
      </c>
      <c r="C7628" t="s">
        <v>2633</v>
      </c>
      <c r="D7628" t="s">
        <v>7823</v>
      </c>
      <c r="E7628" t="s">
        <v>10</v>
      </c>
    </row>
    <row r="7629" spans="1:5" hidden="1" outlineLevel="2">
      <c r="A7629" s="3" t="e">
        <f>(HYPERLINK("http://www.autodoc.ru/Web/price/art/7260LGSH5RD?analog=on","7260LGSH5RD"))*1</f>
        <v>#VALUE!</v>
      </c>
      <c r="B7629" s="1">
        <v>6995923</v>
      </c>
      <c r="C7629" t="s">
        <v>2633</v>
      </c>
      <c r="D7629" t="s">
        <v>7824</v>
      </c>
      <c r="E7629" t="s">
        <v>10</v>
      </c>
    </row>
    <row r="7630" spans="1:5" hidden="1" outlineLevel="2">
      <c r="A7630" s="3" t="e">
        <f>(HYPERLINK("http://www.autodoc.ru/Web/price/art/7260LGSH5RV?analog=on","7260LGSH5RV"))*1</f>
        <v>#VALUE!</v>
      </c>
      <c r="B7630" s="1">
        <v>6995924</v>
      </c>
      <c r="C7630" t="s">
        <v>2633</v>
      </c>
      <c r="D7630" t="s">
        <v>7825</v>
      </c>
      <c r="E7630" t="s">
        <v>10</v>
      </c>
    </row>
    <row r="7631" spans="1:5" hidden="1" outlineLevel="2">
      <c r="A7631" s="3" t="e">
        <f>(HYPERLINK("http://www.autodoc.ru/Web/price/art/7260LGSS4RD?analog=on","7260LGSS4RD"))*1</f>
        <v>#VALUE!</v>
      </c>
      <c r="B7631" s="1">
        <v>6995919</v>
      </c>
      <c r="C7631" t="s">
        <v>755</v>
      </c>
      <c r="D7631" t="s">
        <v>7826</v>
      </c>
      <c r="E7631" t="s">
        <v>10</v>
      </c>
    </row>
    <row r="7632" spans="1:5" hidden="1" outlineLevel="2">
      <c r="A7632" s="3" t="e">
        <f>(HYPERLINK("http://www.autodoc.ru/Web/price/art/7260LGSS4RV?analog=on","7260LGSS4RV"))*1</f>
        <v>#VALUE!</v>
      </c>
      <c r="B7632" s="1">
        <v>6995920</v>
      </c>
      <c r="C7632" t="s">
        <v>755</v>
      </c>
      <c r="D7632" t="s">
        <v>7827</v>
      </c>
      <c r="E7632" t="s">
        <v>10</v>
      </c>
    </row>
    <row r="7633" spans="1:5" hidden="1" outlineLevel="2">
      <c r="A7633" s="3" t="e">
        <f>(HYPERLINK("http://www.autodoc.ru/Web/price/art/7260RGSE5RD?analog=on","7260RGSE5RD"))*1</f>
        <v>#VALUE!</v>
      </c>
      <c r="B7633" s="1">
        <v>6993891</v>
      </c>
      <c r="C7633" t="s">
        <v>755</v>
      </c>
      <c r="D7633" t="s">
        <v>7828</v>
      </c>
      <c r="E7633" t="s">
        <v>10</v>
      </c>
    </row>
    <row r="7634" spans="1:5" hidden="1" outlineLevel="2">
      <c r="A7634" s="3" t="e">
        <f>(HYPERLINK("http://www.autodoc.ru/Web/price/art/7260RGSH3FD?analog=on","7260RGSH3FD"))*1</f>
        <v>#VALUE!</v>
      </c>
      <c r="B7634" s="1">
        <v>6993287</v>
      </c>
      <c r="C7634" t="s">
        <v>2633</v>
      </c>
      <c r="D7634" t="s">
        <v>7829</v>
      </c>
      <c r="E7634" t="s">
        <v>10</v>
      </c>
    </row>
    <row r="7635" spans="1:5" hidden="1" outlineLevel="2">
      <c r="A7635" s="3" t="e">
        <f>(HYPERLINK("http://www.autodoc.ru/Web/price/art/7260RGSH5FD?analog=on","7260RGSH5FD"))*1</f>
        <v>#VALUE!</v>
      </c>
      <c r="B7635" s="1">
        <v>6993290</v>
      </c>
      <c r="C7635" t="s">
        <v>2633</v>
      </c>
      <c r="D7635" t="s">
        <v>7829</v>
      </c>
      <c r="E7635" t="s">
        <v>10</v>
      </c>
    </row>
    <row r="7636" spans="1:5" hidden="1" outlineLevel="2">
      <c r="A7636" s="3" t="e">
        <f>(HYPERLINK("http://www.autodoc.ru/Web/price/art/7260RGSH5RD?analog=on","7260RGSH5RD"))*1</f>
        <v>#VALUE!</v>
      </c>
      <c r="B7636" s="1">
        <v>6993890</v>
      </c>
      <c r="C7636" t="s">
        <v>2633</v>
      </c>
      <c r="D7636" t="s">
        <v>7830</v>
      </c>
      <c r="E7636" t="s">
        <v>10</v>
      </c>
    </row>
    <row r="7637" spans="1:5" hidden="1" outlineLevel="2">
      <c r="A7637" s="3" t="e">
        <f>(HYPERLINK("http://www.autodoc.ru/Web/price/art/7260RGSH5RV?analog=on","7260RGSH5RV"))*1</f>
        <v>#VALUE!</v>
      </c>
      <c r="B7637" s="1">
        <v>6995925</v>
      </c>
      <c r="C7637" t="s">
        <v>2633</v>
      </c>
      <c r="D7637" t="s">
        <v>7831</v>
      </c>
      <c r="E7637" t="s">
        <v>10</v>
      </c>
    </row>
    <row r="7638" spans="1:5" hidden="1" outlineLevel="2">
      <c r="A7638" s="3" t="e">
        <f>(HYPERLINK("http://www.autodoc.ru/Web/price/art/7260RGSS4RD?analog=on","7260RGSS4RD"))*1</f>
        <v>#VALUE!</v>
      </c>
      <c r="B7638" s="1">
        <v>6993889</v>
      </c>
      <c r="C7638" t="s">
        <v>755</v>
      </c>
      <c r="D7638" t="s">
        <v>7832</v>
      </c>
      <c r="E7638" t="s">
        <v>10</v>
      </c>
    </row>
    <row r="7639" spans="1:5" hidden="1" outlineLevel="2">
      <c r="A7639" s="3" t="e">
        <f>(HYPERLINK("http://www.autodoc.ru/Web/price/art/7260RGSS4RV?analog=on","7260RGSS4RV"))*1</f>
        <v>#VALUE!</v>
      </c>
      <c r="B7639" s="1">
        <v>6995922</v>
      </c>
      <c r="C7639" t="s">
        <v>755</v>
      </c>
      <c r="D7639" t="s">
        <v>7833</v>
      </c>
      <c r="E7639" t="s">
        <v>10</v>
      </c>
    </row>
    <row r="7640" spans="1:5" hidden="1" outlineLevel="1">
      <c r="A7640" s="2">
        <v>0</v>
      </c>
      <c r="B7640" s="26" t="s">
        <v>7834</v>
      </c>
      <c r="C7640" s="27">
        <v>0</v>
      </c>
      <c r="D7640" s="27">
        <v>0</v>
      </c>
      <c r="E7640" s="27">
        <v>0</v>
      </c>
    </row>
    <row r="7641" spans="1:5" hidden="1" outlineLevel="2">
      <c r="A7641" s="3" t="e">
        <f>(HYPERLINK("http://www.autodoc.ru/Web/price/art/7275BGNC?analog=on","7275BGNC"))*1</f>
        <v>#VALUE!</v>
      </c>
      <c r="B7641" s="1">
        <v>6901449</v>
      </c>
      <c r="C7641" t="s">
        <v>366</v>
      </c>
      <c r="D7641" t="s">
        <v>7835</v>
      </c>
      <c r="E7641" t="s">
        <v>10</v>
      </c>
    </row>
    <row r="7642" spans="1:5" hidden="1" outlineLevel="2">
      <c r="A7642" s="3" t="e">
        <f>(HYPERLINK("http://www.autodoc.ru/Web/price/art/7275BGNCA?analog=on","7275BGNCA"))*1</f>
        <v>#VALUE!</v>
      </c>
      <c r="B7642" s="1">
        <v>6901450</v>
      </c>
      <c r="C7642" t="s">
        <v>366</v>
      </c>
      <c r="D7642" t="s">
        <v>7836</v>
      </c>
      <c r="E7642" t="s">
        <v>10</v>
      </c>
    </row>
    <row r="7643" spans="1:5" hidden="1" outlineLevel="2">
      <c r="A7643" s="3" t="e">
        <f>(HYPERLINK("http://www.autodoc.ru/Web/price/art/7275LGNC2FDW?analog=on","7275LGNC2FDW"))*1</f>
        <v>#VALUE!</v>
      </c>
      <c r="B7643" s="1">
        <v>6901452</v>
      </c>
      <c r="C7643" t="s">
        <v>366</v>
      </c>
      <c r="D7643" t="s">
        <v>7837</v>
      </c>
      <c r="E7643" t="s">
        <v>10</v>
      </c>
    </row>
    <row r="7644" spans="1:5" hidden="1" outlineLevel="2">
      <c r="A7644" s="3" t="e">
        <f>(HYPERLINK("http://www.autodoc.ru/Web/price/art/7275RGNC2FDW?analog=on","7275RGNC2FDW"))*1</f>
        <v>#VALUE!</v>
      </c>
      <c r="B7644" s="1">
        <v>6901451</v>
      </c>
      <c r="C7644" t="s">
        <v>366</v>
      </c>
      <c r="D7644" t="s">
        <v>7838</v>
      </c>
      <c r="E7644" t="s">
        <v>10</v>
      </c>
    </row>
    <row r="7645" spans="1:5" hidden="1" outlineLevel="1">
      <c r="A7645" s="2">
        <v>0</v>
      </c>
      <c r="B7645" s="26" t="s">
        <v>7839</v>
      </c>
      <c r="C7645" s="27">
        <v>0</v>
      </c>
      <c r="D7645" s="27">
        <v>0</v>
      </c>
      <c r="E7645" s="27">
        <v>0</v>
      </c>
    </row>
    <row r="7646" spans="1:5" hidden="1" outlineLevel="2">
      <c r="A7646" s="3" t="e">
        <f>(HYPERLINK("http://www.autodoc.ru/Web/price/art/7279AGNMV1P?analog=on","7279AGNMV1P"))*1</f>
        <v>#VALUE!</v>
      </c>
      <c r="B7646" s="1">
        <v>6964732</v>
      </c>
      <c r="C7646" t="s">
        <v>366</v>
      </c>
      <c r="D7646" t="s">
        <v>7840</v>
      </c>
      <c r="E7646" t="s">
        <v>8</v>
      </c>
    </row>
    <row r="7647" spans="1:5" hidden="1" outlineLevel="2">
      <c r="A7647" s="3" t="e">
        <f>(HYPERLINK("http://www.autodoc.ru/Web/price/art/7279AGNV1M?analog=on","7279AGNV1M"))*1</f>
        <v>#VALUE!</v>
      </c>
      <c r="B7647" s="1">
        <v>6964731</v>
      </c>
      <c r="C7647" t="s">
        <v>366</v>
      </c>
      <c r="D7647" t="s">
        <v>7841</v>
      </c>
      <c r="E7647" t="s">
        <v>8</v>
      </c>
    </row>
    <row r="7648" spans="1:5" hidden="1" outlineLevel="2">
      <c r="A7648" s="3" t="e">
        <f>(HYPERLINK("http://www.autodoc.ru/Web/price/art/7279AGAMV1P?analog=on","7279AGAMV1P"))*1</f>
        <v>#VALUE!</v>
      </c>
      <c r="B7648" s="1">
        <v>6964730</v>
      </c>
      <c r="C7648" t="s">
        <v>366</v>
      </c>
      <c r="D7648" t="s">
        <v>7842</v>
      </c>
      <c r="E7648" t="s">
        <v>8</v>
      </c>
    </row>
    <row r="7649" spans="1:5" hidden="1" outlineLevel="2">
      <c r="A7649" s="3" t="e">
        <f>(HYPERLINK("http://www.autodoc.ru/Web/price/art/7279AGAV1M?analog=on","7279AGAV1M"))*1</f>
        <v>#VALUE!</v>
      </c>
      <c r="B7649" s="1">
        <v>6964733</v>
      </c>
      <c r="C7649" t="s">
        <v>366</v>
      </c>
      <c r="D7649" t="s">
        <v>7843</v>
      </c>
      <c r="E7649" t="s">
        <v>8</v>
      </c>
    </row>
    <row r="7650" spans="1:5" hidden="1" outlineLevel="2">
      <c r="A7650" s="3" t="e">
        <f>(HYPERLINK("http://www.autodoc.ru/Web/price/art/7279AGNMV7I?analog=on","7279AGNMV7I"))*1</f>
        <v>#VALUE!</v>
      </c>
      <c r="B7650" s="1">
        <v>6965094</v>
      </c>
      <c r="C7650" t="s">
        <v>341</v>
      </c>
      <c r="D7650" t="s">
        <v>7844</v>
      </c>
      <c r="E7650" t="s">
        <v>8</v>
      </c>
    </row>
    <row r="7651" spans="1:5" hidden="1" outlineLevel="2">
      <c r="A7651" s="3" t="e">
        <f>(HYPERLINK("http://www.autodoc.ru/Web/price/art/7279AGNV6I?analog=on","7279AGNV6I"))*1</f>
        <v>#VALUE!</v>
      </c>
      <c r="B7651" s="1">
        <v>6965302</v>
      </c>
      <c r="C7651" t="s">
        <v>341</v>
      </c>
      <c r="D7651" t="s">
        <v>7845</v>
      </c>
      <c r="E7651" t="s">
        <v>8</v>
      </c>
    </row>
    <row r="7652" spans="1:5" hidden="1" outlineLevel="2">
      <c r="A7652" s="3" t="e">
        <f>(HYPERLINK("http://www.autodoc.ru/Web/price/art/7279BGNH?analog=on","7279BGNH"))*1</f>
        <v>#VALUE!</v>
      </c>
      <c r="B7652" s="1">
        <v>6901455</v>
      </c>
      <c r="C7652" t="s">
        <v>366</v>
      </c>
      <c r="D7652" t="s">
        <v>7846</v>
      </c>
      <c r="E7652" t="s">
        <v>10</v>
      </c>
    </row>
    <row r="7653" spans="1:5" hidden="1" outlineLevel="2">
      <c r="A7653" s="3" t="e">
        <f>(HYPERLINK("http://www.autodoc.ru/Web/price/art/7279BGNHA?analog=on","7279BGNHA"))*1</f>
        <v>#VALUE!</v>
      </c>
      <c r="B7653" s="1">
        <v>6901456</v>
      </c>
      <c r="C7653" t="s">
        <v>366</v>
      </c>
      <c r="D7653" t="s">
        <v>7847</v>
      </c>
      <c r="E7653" t="s">
        <v>10</v>
      </c>
    </row>
    <row r="7654" spans="1:5" hidden="1" outlineLevel="2">
      <c r="A7654" s="3" t="e">
        <f>(HYPERLINK("http://www.autodoc.ru/Web/price/art/7279LGNE5RDW?analog=on","7279LGNE5RDW"))*1</f>
        <v>#VALUE!</v>
      </c>
      <c r="B7654" s="1">
        <v>6901462</v>
      </c>
      <c r="C7654" t="s">
        <v>366</v>
      </c>
      <c r="D7654" t="s">
        <v>7848</v>
      </c>
      <c r="E7654" t="s">
        <v>10</v>
      </c>
    </row>
    <row r="7655" spans="1:5" hidden="1" outlineLevel="2">
      <c r="A7655" s="3" t="e">
        <f>(HYPERLINK("http://www.autodoc.ru/Web/price/art/7279RGNE5RDW?analog=on","7279RGNE5RDW"))*1</f>
        <v>#VALUE!</v>
      </c>
      <c r="B7655" s="1">
        <v>6901461</v>
      </c>
      <c r="C7655" t="s">
        <v>366</v>
      </c>
      <c r="D7655" t="s">
        <v>7849</v>
      </c>
      <c r="E7655" t="s">
        <v>10</v>
      </c>
    </row>
    <row r="7656" spans="1:5" hidden="1" outlineLevel="1">
      <c r="A7656" s="2">
        <v>0</v>
      </c>
      <c r="B7656" s="26" t="s">
        <v>7850</v>
      </c>
      <c r="C7656" s="27">
        <v>0</v>
      </c>
      <c r="D7656" s="27">
        <v>0</v>
      </c>
      <c r="E7656" s="27">
        <v>0</v>
      </c>
    </row>
    <row r="7657" spans="1:5" hidden="1" outlineLevel="2">
      <c r="A7657" s="3" t="e">
        <f>(HYPERLINK("http://www.autodoc.ru/Web/price/art/7245ACC1B?analog=on","7245ACC1B"))*1</f>
        <v>#VALUE!</v>
      </c>
      <c r="B7657" s="1">
        <v>6966253</v>
      </c>
      <c r="C7657" t="s">
        <v>240</v>
      </c>
      <c r="D7657" t="s">
        <v>7851</v>
      </c>
      <c r="E7657" t="s">
        <v>8</v>
      </c>
    </row>
    <row r="7658" spans="1:5" hidden="1" outlineLevel="2">
      <c r="A7658" s="3" t="e">
        <f>(HYPERLINK("http://www.autodoc.ru/Web/price/art/7245ACC1R?analog=on","7245ACC1R"))*1</f>
        <v>#VALUE!</v>
      </c>
      <c r="B7658" s="1">
        <v>6960488</v>
      </c>
      <c r="C7658" t="s">
        <v>240</v>
      </c>
      <c r="D7658" t="s">
        <v>7852</v>
      </c>
      <c r="E7658" t="s">
        <v>8</v>
      </c>
    </row>
    <row r="7659" spans="1:5" hidden="1" outlineLevel="2">
      <c r="A7659" s="3" t="e">
        <f>(HYPERLINK("http://www.autodoc.ru/Web/price/art/7245AGN?analog=on","7245AGN"))*1</f>
        <v>#VALUE!</v>
      </c>
      <c r="B7659" s="1">
        <v>6966255</v>
      </c>
      <c r="C7659" t="s">
        <v>240</v>
      </c>
      <c r="D7659" t="s">
        <v>7853</v>
      </c>
      <c r="E7659" t="s">
        <v>8</v>
      </c>
    </row>
    <row r="7660" spans="1:5" hidden="1" outlineLevel="2">
      <c r="A7660" s="3" t="e">
        <f>(HYPERLINK("http://www.autodoc.ru/Web/price/art/7245AGN1R?analog=on","7245AGN1R"))*1</f>
        <v>#VALUE!</v>
      </c>
      <c r="B7660" s="1">
        <v>6960489</v>
      </c>
      <c r="C7660" t="s">
        <v>5498</v>
      </c>
      <c r="D7660" t="s">
        <v>7854</v>
      </c>
      <c r="E7660" t="s">
        <v>8</v>
      </c>
    </row>
    <row r="7661" spans="1:5" hidden="1" outlineLevel="2">
      <c r="A7661" s="3" t="e">
        <f>(HYPERLINK("http://www.autodoc.ru/Web/price/art/7245AGNGN?analog=on","7245AGNGN"))*1</f>
        <v>#VALUE!</v>
      </c>
      <c r="B7661" s="1">
        <v>6963255</v>
      </c>
      <c r="C7661" t="s">
        <v>240</v>
      </c>
      <c r="D7661" t="s">
        <v>7855</v>
      </c>
      <c r="E7661" t="s">
        <v>8</v>
      </c>
    </row>
    <row r="7662" spans="1:5" hidden="1" outlineLevel="2">
      <c r="A7662" s="3" t="e">
        <f>(HYPERLINK("http://www.autodoc.ru/Web/price/art/7245AGNH?analog=on","7245AGNH"))*1</f>
        <v>#VALUE!</v>
      </c>
      <c r="B7662" s="1">
        <v>6961435</v>
      </c>
      <c r="C7662" t="s">
        <v>240</v>
      </c>
      <c r="D7662" t="s">
        <v>7856</v>
      </c>
      <c r="E7662" t="s">
        <v>8</v>
      </c>
    </row>
    <row r="7663" spans="1:5" hidden="1" outlineLevel="2">
      <c r="A7663" s="3" t="e">
        <f>(HYPERLINK("http://www.autodoc.ru/Web/price/art/7245AGNH1R?analog=on","7245AGNH1R"))*1</f>
        <v>#VALUE!</v>
      </c>
      <c r="B7663" s="1">
        <v>6960487</v>
      </c>
      <c r="C7663" t="s">
        <v>240</v>
      </c>
      <c r="D7663" t="s">
        <v>7857</v>
      </c>
      <c r="E7663" t="s">
        <v>8</v>
      </c>
    </row>
    <row r="7664" spans="1:5" hidden="1" outlineLevel="2">
      <c r="A7664" s="3" t="e">
        <f>(HYPERLINK("http://www.autodoc.ru/Web/price/art/7245AKMV?analog=on","7245AKMV"))*1</f>
        <v>#VALUE!</v>
      </c>
      <c r="B7664" s="1">
        <v>6101227</v>
      </c>
      <c r="C7664" t="s">
        <v>19</v>
      </c>
      <c r="D7664" t="s">
        <v>7858</v>
      </c>
      <c r="E7664" t="s">
        <v>21</v>
      </c>
    </row>
    <row r="7665" spans="1:5" hidden="1" outlineLevel="2">
      <c r="A7665" s="3" t="e">
        <f>(HYPERLINK("http://www.autodoc.ru/Web/price/art/7245BGNV?analog=on","7245BGNV"))*1</f>
        <v>#VALUE!</v>
      </c>
      <c r="B7665" s="1">
        <v>6994839</v>
      </c>
      <c r="C7665" t="s">
        <v>240</v>
      </c>
      <c r="D7665" t="s">
        <v>7859</v>
      </c>
      <c r="E7665" t="s">
        <v>23</v>
      </c>
    </row>
    <row r="7666" spans="1:5" hidden="1" outlineLevel="2">
      <c r="A7666" s="3" t="e">
        <f>(HYPERLINK("http://www.autodoc.ru/Web/price/art/7245BGPV?analog=on","7245BGPV"))*1</f>
        <v>#VALUE!</v>
      </c>
      <c r="B7666" s="1">
        <v>6990994</v>
      </c>
      <c r="C7666" t="s">
        <v>641</v>
      </c>
      <c r="D7666" t="s">
        <v>7860</v>
      </c>
      <c r="E7666" t="s">
        <v>23</v>
      </c>
    </row>
    <row r="7667" spans="1:5" hidden="1" outlineLevel="2">
      <c r="A7667" s="3" t="e">
        <f>(HYPERLINK("http://www.autodoc.ru/Web/price/art/7245BGPVO?analog=on","7245BGPVO"))*1</f>
        <v>#VALUE!</v>
      </c>
      <c r="B7667" s="1">
        <v>6990995</v>
      </c>
      <c r="C7667" t="s">
        <v>641</v>
      </c>
      <c r="D7667" t="s">
        <v>7861</v>
      </c>
      <c r="E7667" t="s">
        <v>23</v>
      </c>
    </row>
    <row r="7668" spans="1:5" hidden="1" outlineLevel="2">
      <c r="A7668" s="3" t="e">
        <f>(HYPERLINK("http://www.autodoc.ru/Web/price/art/7245BGSVO?analog=on","7245BGSVO"))*1</f>
        <v>#VALUE!</v>
      </c>
      <c r="B7668" s="1">
        <v>6993456</v>
      </c>
      <c r="C7668" t="s">
        <v>641</v>
      </c>
      <c r="D7668" t="s">
        <v>7862</v>
      </c>
      <c r="E7668" t="s">
        <v>23</v>
      </c>
    </row>
    <row r="7669" spans="1:5" hidden="1" outlineLevel="2">
      <c r="A7669" s="3" t="e">
        <f>(HYPERLINK("http://www.autodoc.ru/Web/price/art/7245BGSVOW1J?analog=on","7245BGSVOW1J"))*1</f>
        <v>#VALUE!</v>
      </c>
      <c r="B7669" s="1">
        <v>6992987</v>
      </c>
      <c r="C7669" t="s">
        <v>645</v>
      </c>
      <c r="D7669" t="s">
        <v>7863</v>
      </c>
      <c r="E7669" t="s">
        <v>23</v>
      </c>
    </row>
    <row r="7670" spans="1:5" hidden="1" outlineLevel="2">
      <c r="A7670" s="3" t="e">
        <f>(HYPERLINK("http://www.autodoc.ru/Web/price/art/7245LGNV5FD?analog=on","7245LGNV5FD"))*1</f>
        <v>#VALUE!</v>
      </c>
      <c r="B7670" s="1">
        <v>6997479</v>
      </c>
      <c r="C7670" t="s">
        <v>240</v>
      </c>
      <c r="D7670" t="s">
        <v>7864</v>
      </c>
      <c r="E7670" t="s">
        <v>10</v>
      </c>
    </row>
    <row r="7671" spans="1:5" hidden="1" outlineLevel="2">
      <c r="A7671" s="3" t="e">
        <f>(HYPERLINK("http://www.autodoc.ru/Web/price/art/7245LGNV5FV?analog=on","7245LGNV5FV"))*1</f>
        <v>#VALUE!</v>
      </c>
      <c r="B7671" s="1">
        <v>6997477</v>
      </c>
      <c r="C7671" t="s">
        <v>240</v>
      </c>
      <c r="D7671" t="s">
        <v>7865</v>
      </c>
      <c r="E7671" t="s">
        <v>10</v>
      </c>
    </row>
    <row r="7672" spans="1:5" hidden="1" outlineLevel="2">
      <c r="A7672" s="3" t="e">
        <f>(HYPERLINK("http://www.autodoc.ru/Web/price/art/7245LGNV5RD?analog=on","7245LGNV5RD"))*1</f>
        <v>#VALUE!</v>
      </c>
      <c r="B7672" s="1">
        <v>6994840</v>
      </c>
      <c r="C7672" t="s">
        <v>240</v>
      </c>
      <c r="D7672" t="s">
        <v>7866</v>
      </c>
      <c r="E7672" t="s">
        <v>10</v>
      </c>
    </row>
    <row r="7673" spans="1:5" hidden="1" outlineLevel="2">
      <c r="A7673" s="3" t="e">
        <f>(HYPERLINK("http://www.autodoc.ru/Web/price/art/7245LGNV5RQZ?analog=on","7245LGNV5RQZ"))*1</f>
        <v>#VALUE!</v>
      </c>
      <c r="B7673" s="1">
        <v>6997615</v>
      </c>
      <c r="C7673" t="s">
        <v>645</v>
      </c>
      <c r="D7673" t="s">
        <v>7867</v>
      </c>
      <c r="E7673" t="s">
        <v>10</v>
      </c>
    </row>
    <row r="7674" spans="1:5" hidden="1" outlineLevel="2">
      <c r="A7674" s="3" t="e">
        <f>(HYPERLINK("http://www.autodoc.ru/Web/price/art/7245LGPV5RD?analog=on","7245LGPV5RD"))*1</f>
        <v>#VALUE!</v>
      </c>
      <c r="B7674" s="1">
        <v>6990993</v>
      </c>
      <c r="C7674" t="s">
        <v>641</v>
      </c>
      <c r="D7674" t="s">
        <v>7868</v>
      </c>
      <c r="E7674" t="s">
        <v>10</v>
      </c>
    </row>
    <row r="7675" spans="1:5" hidden="1" outlineLevel="2">
      <c r="A7675" s="3" t="e">
        <f>(HYPERLINK("http://www.autodoc.ru/Web/price/art/7245LGPV5RQZ?analog=on","7245LGPV5RQZ"))*1</f>
        <v>#VALUE!</v>
      </c>
      <c r="B7675" s="1">
        <v>6991133</v>
      </c>
      <c r="C7675" t="s">
        <v>641</v>
      </c>
      <c r="D7675" t="s">
        <v>7869</v>
      </c>
      <c r="E7675" t="s">
        <v>10</v>
      </c>
    </row>
    <row r="7676" spans="1:5" hidden="1" outlineLevel="2">
      <c r="A7676" s="3" t="e">
        <f>(HYPERLINK("http://www.autodoc.ru/Web/price/art/7245LGSV5FD1H?analog=on","7245LGSV5FD1H"))*1</f>
        <v>#VALUE!</v>
      </c>
      <c r="B7676" s="1">
        <v>6991042</v>
      </c>
      <c r="C7676" t="s">
        <v>240</v>
      </c>
      <c r="D7676" t="s">
        <v>7864</v>
      </c>
      <c r="E7676" t="s">
        <v>10</v>
      </c>
    </row>
    <row r="7677" spans="1:5" hidden="1" outlineLevel="2">
      <c r="A7677" s="3" t="e">
        <f>(HYPERLINK("http://www.autodoc.ru/Web/price/art/7245RGNV5FD?analog=on","7245RGNV5FD"))*1</f>
        <v>#VALUE!</v>
      </c>
      <c r="B7677" s="1">
        <v>6997478</v>
      </c>
      <c r="C7677" t="s">
        <v>240</v>
      </c>
      <c r="D7677" t="s">
        <v>7870</v>
      </c>
      <c r="E7677" t="s">
        <v>10</v>
      </c>
    </row>
    <row r="7678" spans="1:5" hidden="1" outlineLevel="2">
      <c r="A7678" s="3" t="e">
        <f>(HYPERLINK("http://www.autodoc.ru/Web/price/art/7245RGNV5FV?analog=on","7245RGNV5FV"))*1</f>
        <v>#VALUE!</v>
      </c>
      <c r="B7678" s="1">
        <v>6997476</v>
      </c>
      <c r="C7678" t="s">
        <v>240</v>
      </c>
      <c r="D7678" t="s">
        <v>7871</v>
      </c>
      <c r="E7678" t="s">
        <v>10</v>
      </c>
    </row>
    <row r="7679" spans="1:5" hidden="1" outlineLevel="2">
      <c r="A7679" s="3" t="e">
        <f>(HYPERLINK("http://www.autodoc.ru/Web/price/art/7245RGNV5RD?analog=on","7245RGNV5RD"))*1</f>
        <v>#VALUE!</v>
      </c>
      <c r="B7679" s="1">
        <v>6991177</v>
      </c>
      <c r="C7679" t="s">
        <v>240</v>
      </c>
      <c r="D7679" t="s">
        <v>7872</v>
      </c>
      <c r="E7679" t="s">
        <v>10</v>
      </c>
    </row>
    <row r="7680" spans="1:5" hidden="1" outlineLevel="2">
      <c r="A7680" s="3" t="e">
        <f>(HYPERLINK("http://www.autodoc.ru/Web/price/art/7245RGNV5RQ?analog=on","7245RGNV5RQ"))*1</f>
        <v>#VALUE!</v>
      </c>
      <c r="B7680" s="1">
        <v>6997482</v>
      </c>
      <c r="C7680" t="s">
        <v>240</v>
      </c>
      <c r="D7680" t="s">
        <v>7873</v>
      </c>
      <c r="E7680" t="s">
        <v>10</v>
      </c>
    </row>
    <row r="7681" spans="1:5" hidden="1" outlineLevel="2">
      <c r="A7681" s="3" t="e">
        <f>(HYPERLINK("http://www.autodoc.ru/Web/price/art/7245RGNV5RQZ?analog=on","7245RGNV5RQZ"))*1</f>
        <v>#VALUE!</v>
      </c>
      <c r="B7681" s="1">
        <v>6997614</v>
      </c>
      <c r="C7681" t="s">
        <v>645</v>
      </c>
      <c r="D7681" t="s">
        <v>7874</v>
      </c>
      <c r="E7681" t="s">
        <v>10</v>
      </c>
    </row>
    <row r="7682" spans="1:5" hidden="1" outlineLevel="2">
      <c r="A7682" s="3" t="e">
        <f>(HYPERLINK("http://www.autodoc.ru/Web/price/art/7245RGPV5RD?analog=on","7245RGPV5RD"))*1</f>
        <v>#VALUE!</v>
      </c>
      <c r="B7682" s="1">
        <v>6990992</v>
      </c>
      <c r="C7682" t="s">
        <v>641</v>
      </c>
      <c r="D7682" t="s">
        <v>7875</v>
      </c>
      <c r="E7682" t="s">
        <v>10</v>
      </c>
    </row>
    <row r="7683" spans="1:5" hidden="1" outlineLevel="2">
      <c r="A7683" s="3" t="e">
        <f>(HYPERLINK("http://www.autodoc.ru/Web/price/art/7245RGPV5RQZ?analog=on","7245RGPV5RQZ"))*1</f>
        <v>#VALUE!</v>
      </c>
      <c r="B7683" s="1">
        <v>6991132</v>
      </c>
      <c r="C7683" t="s">
        <v>641</v>
      </c>
      <c r="D7683" t="s">
        <v>7876</v>
      </c>
      <c r="E7683" t="s">
        <v>10</v>
      </c>
    </row>
    <row r="7684" spans="1:5" hidden="1" outlineLevel="2">
      <c r="A7684" s="3" t="e">
        <f>(HYPERLINK("http://www.autodoc.ru/Web/price/art/7245RGSV5FD1H?analog=on","7245RGSV5FD1H"))*1</f>
        <v>#VALUE!</v>
      </c>
      <c r="B7684" s="1">
        <v>6991040</v>
      </c>
      <c r="C7684" t="s">
        <v>240</v>
      </c>
      <c r="D7684" t="s">
        <v>7877</v>
      </c>
      <c r="E7684" t="s">
        <v>10</v>
      </c>
    </row>
    <row r="7685" spans="1:5" hidden="1" outlineLevel="1">
      <c r="A7685" s="2">
        <v>0</v>
      </c>
      <c r="B7685" s="26" t="s">
        <v>7878</v>
      </c>
      <c r="C7685" s="27">
        <v>0</v>
      </c>
      <c r="D7685" s="27">
        <v>0</v>
      </c>
      <c r="E7685" s="27">
        <v>0</v>
      </c>
    </row>
    <row r="7686" spans="1:5" hidden="1" outlineLevel="2">
      <c r="A7686" s="3" t="e">
        <f>(HYPERLINK("http://www.autodoc.ru/Web/price/art/7257AGSMV1R?analog=on","7257AGSMV1R"))*1</f>
        <v>#VALUE!</v>
      </c>
      <c r="B7686" s="1">
        <v>6960408</v>
      </c>
      <c r="C7686" t="s">
        <v>755</v>
      </c>
      <c r="D7686" t="s">
        <v>7879</v>
      </c>
      <c r="E7686" t="s">
        <v>8</v>
      </c>
    </row>
    <row r="7687" spans="1:5" hidden="1" outlineLevel="2">
      <c r="A7687" s="3" t="e">
        <f>(HYPERLINK("http://www.autodoc.ru/Web/price/art/7257AGSV1M?analog=on","7257AGSV1M"))*1</f>
        <v>#VALUE!</v>
      </c>
      <c r="B7687" s="1">
        <v>6960406</v>
      </c>
      <c r="C7687" t="s">
        <v>755</v>
      </c>
      <c r="D7687" t="s">
        <v>7880</v>
      </c>
      <c r="E7687" t="s">
        <v>8</v>
      </c>
    </row>
    <row r="7688" spans="1:5" hidden="1" outlineLevel="2">
      <c r="A7688" s="3" t="e">
        <f>(HYPERLINK("http://www.autodoc.ru/Web/price/art/7257ACDMV1R?analog=on","7257ACDMV1R"))*1</f>
        <v>#VALUE!</v>
      </c>
      <c r="B7688" s="1">
        <v>6960409</v>
      </c>
      <c r="C7688" t="s">
        <v>755</v>
      </c>
      <c r="D7688" t="s">
        <v>7881</v>
      </c>
      <c r="E7688" t="s">
        <v>8</v>
      </c>
    </row>
    <row r="7689" spans="1:5" hidden="1" outlineLevel="2">
      <c r="A7689" s="3" t="e">
        <f>(HYPERLINK("http://www.autodoc.ru/Web/price/art/7257ASMV?analog=on","7257ASMV"))*1</f>
        <v>#VALUE!</v>
      </c>
      <c r="B7689" s="1">
        <v>6101577</v>
      </c>
      <c r="C7689" t="s">
        <v>19</v>
      </c>
      <c r="D7689" t="s">
        <v>7882</v>
      </c>
      <c r="E7689" t="s">
        <v>21</v>
      </c>
    </row>
    <row r="7690" spans="1:5" hidden="1" outlineLevel="2">
      <c r="A7690" s="3" t="e">
        <f>(HYPERLINK("http://www.autodoc.ru/Web/price/art/7257BGPV?analog=on","7257BGPV"))*1</f>
        <v>#VALUE!</v>
      </c>
      <c r="B7690" s="1">
        <v>6993794</v>
      </c>
      <c r="C7690" t="s">
        <v>755</v>
      </c>
      <c r="D7690" t="s">
        <v>7883</v>
      </c>
      <c r="E7690" t="s">
        <v>23</v>
      </c>
    </row>
    <row r="7691" spans="1:5" hidden="1" outlineLevel="2">
      <c r="A7691" s="3" t="e">
        <f>(HYPERLINK("http://www.autodoc.ru/Web/price/art/7257BGSV?analog=on","7257BGSV"))*1</f>
        <v>#VALUE!</v>
      </c>
      <c r="B7691" s="1">
        <v>6991708</v>
      </c>
      <c r="C7691" t="s">
        <v>755</v>
      </c>
      <c r="D7691" t="s">
        <v>7884</v>
      </c>
      <c r="E7691" t="s">
        <v>23</v>
      </c>
    </row>
    <row r="7692" spans="1:5" hidden="1" outlineLevel="2">
      <c r="A7692" s="3" t="e">
        <f>(HYPERLINK("http://www.autodoc.ru/Web/price/art/7257BGSVOW?analog=on","7257BGSVOW"))*1</f>
        <v>#VALUE!</v>
      </c>
      <c r="B7692" s="1">
        <v>6991264</v>
      </c>
      <c r="C7692" t="s">
        <v>755</v>
      </c>
      <c r="D7692" t="s">
        <v>7885</v>
      </c>
      <c r="E7692" t="s">
        <v>23</v>
      </c>
    </row>
    <row r="7693" spans="1:5" hidden="1" outlineLevel="2">
      <c r="A7693" s="3" t="e">
        <f>(HYPERLINK("http://www.autodoc.ru/Web/price/art/7257LGDV5RD?analog=on","7257LGDV5RD"))*1</f>
        <v>#VALUE!</v>
      </c>
      <c r="B7693" s="1">
        <v>6993793</v>
      </c>
      <c r="C7693" t="s">
        <v>755</v>
      </c>
      <c r="D7693" t="s">
        <v>7886</v>
      </c>
      <c r="E7693" t="s">
        <v>10</v>
      </c>
    </row>
    <row r="7694" spans="1:5" hidden="1" outlineLevel="2">
      <c r="A7694" s="3" t="e">
        <f>(HYPERLINK("http://www.autodoc.ru/Web/price/art/7257LGSV5FD?analog=on","7257LGSV5FD"))*1</f>
        <v>#VALUE!</v>
      </c>
      <c r="B7694" s="1">
        <v>6991686</v>
      </c>
      <c r="C7694" t="s">
        <v>755</v>
      </c>
      <c r="D7694" t="s">
        <v>7887</v>
      </c>
      <c r="E7694" t="s">
        <v>10</v>
      </c>
    </row>
    <row r="7695" spans="1:5" hidden="1" outlineLevel="2">
      <c r="A7695" s="3" t="e">
        <f>(HYPERLINK("http://www.autodoc.ru/Web/price/art/7257LGSV5FV?analog=on","7257LGSV5FV"))*1</f>
        <v>#VALUE!</v>
      </c>
      <c r="B7695" s="1">
        <v>6991744</v>
      </c>
      <c r="C7695" t="s">
        <v>755</v>
      </c>
      <c r="D7695" t="s">
        <v>7888</v>
      </c>
      <c r="E7695" t="s">
        <v>10</v>
      </c>
    </row>
    <row r="7696" spans="1:5" hidden="1" outlineLevel="2">
      <c r="A7696" s="3" t="e">
        <f>(HYPERLINK("http://www.autodoc.ru/Web/price/art/7257LGSV5RD?analog=on","7257LGSV5RD"))*1</f>
        <v>#VALUE!</v>
      </c>
      <c r="B7696" s="1">
        <v>6991688</v>
      </c>
      <c r="C7696" t="s">
        <v>755</v>
      </c>
      <c r="D7696" t="s">
        <v>7889</v>
      </c>
      <c r="E7696" t="s">
        <v>10</v>
      </c>
    </row>
    <row r="7697" spans="1:5" hidden="1" outlineLevel="2">
      <c r="A7697" s="3" t="e">
        <f>(HYPERLINK("http://www.autodoc.ru/Web/price/art/7257RGDV5RD?analog=on","7257RGDV5RD"))*1</f>
        <v>#VALUE!</v>
      </c>
      <c r="B7697" s="1">
        <v>6993792</v>
      </c>
      <c r="C7697" t="s">
        <v>755</v>
      </c>
      <c r="D7697" t="s">
        <v>7890</v>
      </c>
      <c r="E7697" t="s">
        <v>10</v>
      </c>
    </row>
    <row r="7698" spans="1:5" hidden="1" outlineLevel="2">
      <c r="A7698" s="3" t="e">
        <f>(HYPERLINK("http://www.autodoc.ru/Web/price/art/7257RGSV5FD?analog=on","7257RGSV5FD"))*1</f>
        <v>#VALUE!</v>
      </c>
      <c r="B7698" s="1">
        <v>6991685</v>
      </c>
      <c r="C7698" t="s">
        <v>755</v>
      </c>
      <c r="D7698" t="s">
        <v>7891</v>
      </c>
      <c r="E7698" t="s">
        <v>10</v>
      </c>
    </row>
    <row r="7699" spans="1:5" hidden="1" outlineLevel="2">
      <c r="A7699" s="3" t="e">
        <f>(HYPERLINK("http://www.autodoc.ru/Web/price/art/7257RGSV5FV?analog=on","7257RGSV5FV"))*1</f>
        <v>#VALUE!</v>
      </c>
      <c r="B7699" s="1">
        <v>6991745</v>
      </c>
      <c r="C7699" t="s">
        <v>755</v>
      </c>
      <c r="D7699" t="s">
        <v>7892</v>
      </c>
      <c r="E7699" t="s">
        <v>10</v>
      </c>
    </row>
    <row r="7700" spans="1:5" hidden="1" outlineLevel="2">
      <c r="A7700" s="3" t="e">
        <f>(HYPERLINK("http://www.autodoc.ru/Web/price/art/7257RGSV5RD?analog=on","7257RGSV5RD"))*1</f>
        <v>#VALUE!</v>
      </c>
      <c r="B7700" s="1">
        <v>6991687</v>
      </c>
      <c r="C7700" t="s">
        <v>755</v>
      </c>
      <c r="D7700" t="s">
        <v>7893</v>
      </c>
      <c r="E7700" t="s">
        <v>10</v>
      </c>
    </row>
    <row r="7701" spans="1:5" hidden="1" outlineLevel="1">
      <c r="A7701" s="2">
        <v>0</v>
      </c>
      <c r="B7701" s="26" t="s">
        <v>7894</v>
      </c>
      <c r="C7701" s="27">
        <v>0</v>
      </c>
      <c r="D7701" s="27">
        <v>0</v>
      </c>
      <c r="E7701" s="27">
        <v>0</v>
      </c>
    </row>
    <row r="7702" spans="1:5" hidden="1" outlineLevel="2">
      <c r="A7702" s="3" t="e">
        <f>(HYPERLINK("http://www.autodoc.ru/Web/price/art/7280AGSMV1R?analog=on","7280AGSMV1R"))*1</f>
        <v>#VALUE!</v>
      </c>
      <c r="B7702" s="1">
        <v>6962360</v>
      </c>
      <c r="C7702" t="s">
        <v>366</v>
      </c>
      <c r="D7702" t="s">
        <v>7895</v>
      </c>
      <c r="E7702" t="s">
        <v>8</v>
      </c>
    </row>
    <row r="7703" spans="1:5" hidden="1" outlineLevel="2">
      <c r="A7703" s="3" t="e">
        <f>(HYPERLINK("http://www.autodoc.ru/Web/price/art/7280AGSV1M?analog=on","7280AGSV1M"))*1</f>
        <v>#VALUE!</v>
      </c>
      <c r="B7703" s="1">
        <v>6962885</v>
      </c>
      <c r="C7703" t="s">
        <v>366</v>
      </c>
      <c r="D7703" t="s">
        <v>7896</v>
      </c>
      <c r="E7703" t="s">
        <v>8</v>
      </c>
    </row>
    <row r="7704" spans="1:5" hidden="1" outlineLevel="2">
      <c r="A7704" s="3" t="e">
        <f>(HYPERLINK("http://www.autodoc.ru/Web/price/art/7280RGSM5RDW?analog=on","7280RGSM5RDW"))*1</f>
        <v>#VALUE!</v>
      </c>
      <c r="B7704" s="1">
        <v>6900759</v>
      </c>
      <c r="C7704" t="s">
        <v>366</v>
      </c>
      <c r="D7704" t="s">
        <v>7897</v>
      </c>
      <c r="E7704" t="s">
        <v>10</v>
      </c>
    </row>
    <row r="7705" spans="1:5" hidden="1" outlineLevel="2">
      <c r="A7705" s="3" t="e">
        <f>(HYPERLINK("http://www.autodoc.ru/Web/price/art/7280RGSM5FDW?analog=on","7280RGSM5FDW"))*1</f>
        <v>#VALUE!</v>
      </c>
      <c r="B7705" s="1">
        <v>6997822</v>
      </c>
      <c r="C7705" t="s">
        <v>366</v>
      </c>
      <c r="D7705" t="s">
        <v>7898</v>
      </c>
      <c r="E7705" t="s">
        <v>10</v>
      </c>
    </row>
    <row r="7706" spans="1:5" hidden="1" outlineLevel="2">
      <c r="A7706" s="3" t="e">
        <f>(HYPERLINK("http://www.autodoc.ru/Web/price/art/7280RGSM5FV?analog=on","7280RGSM5FV"))*1</f>
        <v>#VALUE!</v>
      </c>
      <c r="B7706" s="1">
        <v>6998195</v>
      </c>
      <c r="C7706" t="s">
        <v>366</v>
      </c>
      <c r="D7706" t="s">
        <v>7899</v>
      </c>
      <c r="E7706" t="s">
        <v>10</v>
      </c>
    </row>
    <row r="7707" spans="1:5" hidden="1" outlineLevel="2">
      <c r="A7707" s="3" t="e">
        <f>(HYPERLINK("http://www.autodoc.ru/Web/price/art/7280LGSM5RDW?analog=on","7280LGSM5RDW"))*1</f>
        <v>#VALUE!</v>
      </c>
      <c r="B7707" s="1">
        <v>6900760</v>
      </c>
      <c r="C7707" t="s">
        <v>366</v>
      </c>
      <c r="D7707" t="s">
        <v>7900</v>
      </c>
      <c r="E7707" t="s">
        <v>10</v>
      </c>
    </row>
    <row r="7708" spans="1:5" hidden="1" outlineLevel="2">
      <c r="A7708" s="3" t="e">
        <f>(HYPERLINK("http://www.autodoc.ru/Web/price/art/7280LGSM5FDW?analog=on","7280LGSM5FDW"))*1</f>
        <v>#VALUE!</v>
      </c>
      <c r="B7708" s="1">
        <v>6997823</v>
      </c>
      <c r="C7708" t="s">
        <v>366</v>
      </c>
      <c r="D7708" t="s">
        <v>7901</v>
      </c>
      <c r="E7708" t="s">
        <v>10</v>
      </c>
    </row>
    <row r="7709" spans="1:5" hidden="1" outlineLevel="2">
      <c r="A7709" s="3" t="e">
        <f>(HYPERLINK("http://www.autodoc.ru/Web/price/art/7280LGSM5FV?analog=on","7280LGSM5FV"))*1</f>
        <v>#VALUE!</v>
      </c>
      <c r="B7709" s="1">
        <v>6998196</v>
      </c>
      <c r="C7709" t="s">
        <v>366</v>
      </c>
      <c r="D7709" t="s">
        <v>7902</v>
      </c>
      <c r="E7709" t="s">
        <v>10</v>
      </c>
    </row>
    <row r="7710" spans="1:5" hidden="1" outlineLevel="1">
      <c r="A7710" s="2">
        <v>0</v>
      </c>
      <c r="B7710" s="26" t="s">
        <v>7903</v>
      </c>
      <c r="C7710" s="27">
        <v>0</v>
      </c>
      <c r="D7710" s="27">
        <v>0</v>
      </c>
      <c r="E7710" s="27">
        <v>0</v>
      </c>
    </row>
    <row r="7711" spans="1:5" hidden="1" outlineLevel="2">
      <c r="A7711" s="3" t="e">
        <f>(HYPERLINK("http://www.autodoc.ru/Web/price/art/7263AGSMV1R?analog=on","7263AGSMV1R"))*1</f>
        <v>#VALUE!</v>
      </c>
      <c r="B7711" s="1">
        <v>6961341</v>
      </c>
      <c r="C7711" t="s">
        <v>425</v>
      </c>
      <c r="D7711" t="s">
        <v>7904</v>
      </c>
      <c r="E7711" t="s">
        <v>8</v>
      </c>
    </row>
    <row r="7712" spans="1:5" hidden="1" outlineLevel="2">
      <c r="A7712" s="3" t="e">
        <f>(HYPERLINK("http://www.autodoc.ru/Web/price/art/7263AGSV1M?analog=on","7263AGSV1M"))*1</f>
        <v>#VALUE!</v>
      </c>
      <c r="B7712" s="1">
        <v>6961342</v>
      </c>
      <c r="C7712" t="s">
        <v>425</v>
      </c>
      <c r="D7712" t="s">
        <v>7905</v>
      </c>
      <c r="E7712" t="s">
        <v>8</v>
      </c>
    </row>
    <row r="7713" spans="1:5" hidden="1" outlineLevel="2">
      <c r="A7713" s="3" t="e">
        <f>(HYPERLINK("http://www.autodoc.ru/Web/price/art/7263BGSVW?analog=on","7263BGSVW"))*1</f>
        <v>#VALUE!</v>
      </c>
      <c r="B7713" s="1">
        <v>6997532</v>
      </c>
      <c r="C7713" t="s">
        <v>425</v>
      </c>
      <c r="D7713" t="s">
        <v>7906</v>
      </c>
      <c r="E7713" t="s">
        <v>23</v>
      </c>
    </row>
    <row r="7714" spans="1:5" hidden="1" outlineLevel="2">
      <c r="A7714" s="3" t="e">
        <f>(HYPERLINK("http://www.autodoc.ru/Web/price/art/7263LGSV5FD?analog=on","7263LGSV5FD"))*1</f>
        <v>#VALUE!</v>
      </c>
      <c r="B7714" s="1">
        <v>6997393</v>
      </c>
      <c r="C7714" t="s">
        <v>425</v>
      </c>
      <c r="D7714" t="s">
        <v>7907</v>
      </c>
      <c r="E7714" t="s">
        <v>10</v>
      </c>
    </row>
    <row r="7715" spans="1:5" hidden="1" outlineLevel="2">
      <c r="A7715" s="3" t="e">
        <f>(HYPERLINK("http://www.autodoc.ru/Web/price/art/7263LGSV5RD?analog=on","7263LGSV5RD"))*1</f>
        <v>#VALUE!</v>
      </c>
      <c r="B7715" s="1">
        <v>6997624</v>
      </c>
      <c r="C7715" t="s">
        <v>425</v>
      </c>
      <c r="D7715" t="s">
        <v>7908</v>
      </c>
      <c r="E7715" t="s">
        <v>10</v>
      </c>
    </row>
    <row r="7716" spans="1:5" hidden="1" outlineLevel="2">
      <c r="A7716" s="3" t="e">
        <f>(HYPERLINK("http://www.autodoc.ru/Web/price/art/7263RGSV5FD?analog=on","7263RGSV5FD"))*1</f>
        <v>#VALUE!</v>
      </c>
      <c r="B7716" s="1">
        <v>6993892</v>
      </c>
      <c r="C7716" t="s">
        <v>425</v>
      </c>
      <c r="D7716" t="s">
        <v>7909</v>
      </c>
      <c r="E7716" t="s">
        <v>10</v>
      </c>
    </row>
    <row r="7717" spans="1:5" hidden="1" outlineLevel="2">
      <c r="A7717" s="3" t="e">
        <f>(HYPERLINK("http://www.autodoc.ru/Web/price/art/7263RGSV5RD?analog=on","7263RGSV5RD"))*1</f>
        <v>#VALUE!</v>
      </c>
      <c r="B7717" s="1">
        <v>6993893</v>
      </c>
      <c r="C7717" t="s">
        <v>425</v>
      </c>
      <c r="D7717" t="s">
        <v>7910</v>
      </c>
      <c r="E7717" t="s">
        <v>10</v>
      </c>
    </row>
    <row r="7718" spans="1:5" hidden="1" outlineLevel="1">
      <c r="A7718" s="2">
        <v>0</v>
      </c>
      <c r="B7718" s="26" t="s">
        <v>7911</v>
      </c>
      <c r="C7718" s="27">
        <v>0</v>
      </c>
      <c r="D7718" s="27">
        <v>0</v>
      </c>
      <c r="E7718" s="27">
        <v>0</v>
      </c>
    </row>
    <row r="7719" spans="1:5" hidden="1" outlineLevel="2">
      <c r="A7719" s="3" t="e">
        <f>(HYPERLINK("http://www.autodoc.ru/Web/price/art/7208ACL?analog=on","7208ACL"))*1</f>
        <v>#VALUE!</v>
      </c>
      <c r="B7719" s="1">
        <v>6966201</v>
      </c>
      <c r="C7719" t="s">
        <v>7912</v>
      </c>
      <c r="D7719" t="s">
        <v>7913</v>
      </c>
      <c r="E7719" t="s">
        <v>8</v>
      </c>
    </row>
    <row r="7720" spans="1:5" hidden="1" outlineLevel="1">
      <c r="A7720" s="2">
        <v>0</v>
      </c>
      <c r="B7720" s="26" t="s">
        <v>7914</v>
      </c>
      <c r="C7720" s="27">
        <v>0</v>
      </c>
      <c r="D7720" s="27">
        <v>0</v>
      </c>
      <c r="E7720" s="27">
        <v>0</v>
      </c>
    </row>
    <row r="7721" spans="1:5" hidden="1" outlineLevel="2">
      <c r="A7721" s="3" t="e">
        <f>(HYPERLINK("http://www.autodoc.ru/Web/price/art/7224ACL1C?analog=on","7224ACL1C"))*1</f>
        <v>#VALUE!</v>
      </c>
      <c r="B7721" s="1">
        <v>6966209</v>
      </c>
      <c r="C7721" t="s">
        <v>7915</v>
      </c>
      <c r="D7721" t="s">
        <v>7916</v>
      </c>
      <c r="E7721" t="s">
        <v>8</v>
      </c>
    </row>
    <row r="7722" spans="1:5" hidden="1" outlineLevel="2">
      <c r="A7722" s="3" t="e">
        <f>(HYPERLINK("http://www.autodoc.ru/Web/price/art/7224AGN1C?analog=on","7224AGN1C"))*1</f>
        <v>#VALUE!</v>
      </c>
      <c r="B7722" s="1">
        <v>6966212</v>
      </c>
      <c r="C7722" t="s">
        <v>7915</v>
      </c>
      <c r="D7722" t="s">
        <v>7917</v>
      </c>
      <c r="E7722" t="s">
        <v>8</v>
      </c>
    </row>
    <row r="7723" spans="1:5" hidden="1" outlineLevel="2">
      <c r="A7723" s="3" t="e">
        <f>(HYPERLINK("http://www.autodoc.ru/Web/price/art/7224ASRH?analog=on","7224ASRH"))*1</f>
        <v>#VALUE!</v>
      </c>
      <c r="B7723" s="1">
        <v>6100366</v>
      </c>
      <c r="C7723" t="s">
        <v>19</v>
      </c>
      <c r="D7723" t="s">
        <v>7918</v>
      </c>
      <c r="E7723" t="s">
        <v>21</v>
      </c>
    </row>
    <row r="7724" spans="1:5" hidden="1" outlineLevel="2">
      <c r="A7724" s="3" t="e">
        <f>(HYPERLINK("http://www.autodoc.ru/Web/price/art/7224BGNS?analog=on","7224BGNS"))*1</f>
        <v>#VALUE!</v>
      </c>
      <c r="B7724" s="1">
        <v>6998793</v>
      </c>
      <c r="C7724" t="s">
        <v>7915</v>
      </c>
      <c r="D7724" t="s">
        <v>7919</v>
      </c>
      <c r="E7724" t="s">
        <v>23</v>
      </c>
    </row>
    <row r="7725" spans="1:5" hidden="1" outlineLevel="2">
      <c r="A7725" s="3" t="e">
        <f>(HYPERLINK("http://www.autodoc.ru/Web/price/art/7224LCLH5FD?analog=on","7224LCLH5FD"))*1</f>
        <v>#VALUE!</v>
      </c>
      <c r="B7725" s="1">
        <v>6997401</v>
      </c>
      <c r="C7725" t="s">
        <v>7915</v>
      </c>
      <c r="D7725" t="s">
        <v>7920</v>
      </c>
      <c r="E7725" t="s">
        <v>10</v>
      </c>
    </row>
    <row r="7726" spans="1:5" hidden="1" outlineLevel="2">
      <c r="A7726" s="3" t="e">
        <f>(HYPERLINK("http://www.autodoc.ru/Web/price/art/7224LGNH5FD?analog=on","7224LGNH5FD"))*1</f>
        <v>#VALUE!</v>
      </c>
      <c r="B7726" s="1">
        <v>6997403</v>
      </c>
      <c r="C7726" t="s">
        <v>7915</v>
      </c>
      <c r="D7726" t="s">
        <v>7921</v>
      </c>
      <c r="E7726" t="s">
        <v>10</v>
      </c>
    </row>
    <row r="7727" spans="1:5" hidden="1" outlineLevel="2">
      <c r="A7727" s="3" t="e">
        <f>(HYPERLINK("http://www.autodoc.ru/Web/price/art/7224RCLH5FD?analog=on","7224RCLH5FD"))*1</f>
        <v>#VALUE!</v>
      </c>
      <c r="B7727" s="1">
        <v>6997402</v>
      </c>
      <c r="C7727" t="s">
        <v>7915</v>
      </c>
      <c r="D7727" t="s">
        <v>7922</v>
      </c>
      <c r="E7727" t="s">
        <v>10</v>
      </c>
    </row>
    <row r="7728" spans="1:5" hidden="1" outlineLevel="1">
      <c r="A7728" s="2">
        <v>0</v>
      </c>
      <c r="B7728" s="26" t="s">
        <v>7923</v>
      </c>
      <c r="C7728" s="27">
        <v>0</v>
      </c>
      <c r="D7728" s="27">
        <v>0</v>
      </c>
      <c r="E7728" s="27">
        <v>0</v>
      </c>
    </row>
    <row r="7729" spans="1:5" hidden="1" outlineLevel="2">
      <c r="A7729" s="3" t="e">
        <f>(HYPERLINK("http://www.autodoc.ru/Web/price/art/7218ACL1C?analog=on","7218ACL1C"))*1</f>
        <v>#VALUE!</v>
      </c>
      <c r="B7729" s="1">
        <v>6966211</v>
      </c>
      <c r="C7729" t="s">
        <v>146</v>
      </c>
      <c r="D7729" t="s">
        <v>7924</v>
      </c>
      <c r="E7729" t="s">
        <v>8</v>
      </c>
    </row>
    <row r="7730" spans="1:5" hidden="1" outlineLevel="1">
      <c r="A7730" s="2">
        <v>0</v>
      </c>
      <c r="B7730" s="26" t="s">
        <v>7925</v>
      </c>
      <c r="C7730" s="27">
        <v>0</v>
      </c>
      <c r="D7730" s="27">
        <v>0</v>
      </c>
      <c r="E7730" s="27">
        <v>0</v>
      </c>
    </row>
    <row r="7731" spans="1:5" hidden="1" outlineLevel="2">
      <c r="A7731" s="3" t="e">
        <f>(HYPERLINK("http://www.autodoc.ru/Web/price/art/7231ACL?analog=on","7231ACL"))*1</f>
        <v>#VALUE!</v>
      </c>
      <c r="B7731" s="1">
        <v>6966225</v>
      </c>
      <c r="C7731" t="s">
        <v>7926</v>
      </c>
      <c r="D7731" t="s">
        <v>7927</v>
      </c>
      <c r="E7731" t="s">
        <v>8</v>
      </c>
    </row>
    <row r="7732" spans="1:5" hidden="1" outlineLevel="2">
      <c r="A7732" s="3" t="e">
        <f>(HYPERLINK("http://www.autodoc.ru/Web/price/art/7231AGN?analog=on","7231AGN"))*1</f>
        <v>#VALUE!</v>
      </c>
      <c r="B7732" s="1">
        <v>6966226</v>
      </c>
      <c r="C7732" t="s">
        <v>7926</v>
      </c>
      <c r="D7732" t="s">
        <v>7928</v>
      </c>
      <c r="E7732" t="s">
        <v>8</v>
      </c>
    </row>
    <row r="7733" spans="1:5" hidden="1" outlineLevel="2">
      <c r="A7733" s="3" t="e">
        <f>(HYPERLINK("http://www.autodoc.ru/Web/price/art/7231AGNBL?analog=on","7231AGNBL"))*1</f>
        <v>#VALUE!</v>
      </c>
      <c r="B7733" s="1">
        <v>6966276</v>
      </c>
      <c r="C7733" t="s">
        <v>7926</v>
      </c>
      <c r="D7733" t="s">
        <v>7929</v>
      </c>
      <c r="E7733" t="s">
        <v>8</v>
      </c>
    </row>
    <row r="7734" spans="1:5" hidden="1" outlineLevel="2">
      <c r="A7734" s="3" t="e">
        <f>(HYPERLINK("http://www.autodoc.ru/Web/price/art/7231AGNGN?analog=on","7231AGNGN"))*1</f>
        <v>#VALUE!</v>
      </c>
      <c r="B7734" s="1">
        <v>6966275</v>
      </c>
      <c r="C7734" t="s">
        <v>7926</v>
      </c>
      <c r="D7734" t="s">
        <v>7930</v>
      </c>
      <c r="E7734" t="s">
        <v>8</v>
      </c>
    </row>
    <row r="7735" spans="1:5" hidden="1" outlineLevel="2">
      <c r="A7735" s="3" t="e">
        <f>(HYPERLINK("http://www.autodoc.ru/Web/price/art/7231AKMH?analog=on","7231AKMH"))*1</f>
        <v>#VALUE!</v>
      </c>
      <c r="B7735" s="1">
        <v>6100194</v>
      </c>
      <c r="C7735" t="s">
        <v>19</v>
      </c>
      <c r="D7735" t="s">
        <v>7931</v>
      </c>
      <c r="E7735" t="s">
        <v>21</v>
      </c>
    </row>
    <row r="7736" spans="1:5" hidden="1" outlineLevel="2">
      <c r="A7736" s="3" t="e">
        <f>(HYPERLINK("http://www.autodoc.ru/Web/price/art/7231ASGH?analog=on","7231ASGH"))*1</f>
        <v>#VALUE!</v>
      </c>
      <c r="B7736" s="1">
        <v>6100360</v>
      </c>
      <c r="C7736" t="s">
        <v>19</v>
      </c>
      <c r="D7736" t="s">
        <v>7932</v>
      </c>
      <c r="E7736" t="s">
        <v>21</v>
      </c>
    </row>
    <row r="7737" spans="1:5" hidden="1" outlineLevel="2">
      <c r="A7737" s="3" t="e">
        <f>(HYPERLINK("http://www.autodoc.ru/Web/price/art/7231ASMH?analog=on","7231ASMH"))*1</f>
        <v>#VALUE!</v>
      </c>
      <c r="B7737" s="1">
        <v>6100359</v>
      </c>
      <c r="C7737" t="s">
        <v>19</v>
      </c>
      <c r="D7737" t="s">
        <v>7933</v>
      </c>
      <c r="E7737" t="s">
        <v>21</v>
      </c>
    </row>
    <row r="7738" spans="1:5" hidden="1" outlineLevel="2">
      <c r="A7738" s="3" t="e">
        <f>(HYPERLINK("http://www.autodoc.ru/Web/price/art/7231BCLH?analog=on","7231BCLH"))*1</f>
        <v>#VALUE!</v>
      </c>
      <c r="B7738" s="1">
        <v>6998801</v>
      </c>
      <c r="C7738" t="s">
        <v>7926</v>
      </c>
      <c r="D7738" t="s">
        <v>7934</v>
      </c>
      <c r="E7738" t="s">
        <v>23</v>
      </c>
    </row>
    <row r="7739" spans="1:5" hidden="1" outlineLevel="2">
      <c r="A7739" s="3" t="e">
        <f>(HYPERLINK("http://www.autodoc.ru/Web/price/art/7231BCLS?analog=on","7231BCLS"))*1</f>
        <v>#VALUE!</v>
      </c>
      <c r="B7739" s="1">
        <v>6997130</v>
      </c>
      <c r="C7739" t="s">
        <v>7926</v>
      </c>
      <c r="D7739" t="s">
        <v>7935</v>
      </c>
      <c r="E7739" t="s">
        <v>23</v>
      </c>
    </row>
    <row r="7740" spans="1:5" hidden="1" outlineLevel="2">
      <c r="A7740" s="3" t="e">
        <f>(HYPERLINK("http://www.autodoc.ru/Web/price/art/7231BGNH?analog=on","7231BGNH"))*1</f>
        <v>#VALUE!</v>
      </c>
      <c r="B7740" s="1">
        <v>6994812</v>
      </c>
      <c r="C7740" t="s">
        <v>7926</v>
      </c>
      <c r="D7740" t="s">
        <v>7936</v>
      </c>
      <c r="E7740" t="s">
        <v>23</v>
      </c>
    </row>
    <row r="7741" spans="1:5" hidden="1" outlineLevel="2">
      <c r="A7741" s="3" t="e">
        <f>(HYPERLINK("http://www.autodoc.ru/Web/price/art/7231BGNS?analog=on","7231BGNS"))*1</f>
        <v>#VALUE!</v>
      </c>
      <c r="B7741" s="1">
        <v>6997118</v>
      </c>
      <c r="C7741" t="s">
        <v>7926</v>
      </c>
      <c r="D7741" t="s">
        <v>7937</v>
      </c>
      <c r="E7741" t="s">
        <v>23</v>
      </c>
    </row>
    <row r="7742" spans="1:5" hidden="1" outlineLevel="2">
      <c r="A7742" s="3" t="e">
        <f>(HYPERLINK("http://www.autodoc.ru/Web/price/art/7231LCLH5FD?analog=on","7231LCLH5FD"))*1</f>
        <v>#VALUE!</v>
      </c>
      <c r="B7742" s="1">
        <v>6997461</v>
      </c>
      <c r="C7742" t="s">
        <v>7926</v>
      </c>
      <c r="D7742" t="s">
        <v>7938</v>
      </c>
      <c r="E7742" t="s">
        <v>10</v>
      </c>
    </row>
    <row r="7743" spans="1:5" hidden="1" outlineLevel="2">
      <c r="A7743" s="3" t="e">
        <f>(HYPERLINK("http://www.autodoc.ru/Web/price/art/7231LCLH5RD?analog=on","7231LCLH5RD"))*1</f>
        <v>#VALUE!</v>
      </c>
      <c r="B7743" s="1">
        <v>6994815</v>
      </c>
      <c r="C7743" t="s">
        <v>7926</v>
      </c>
      <c r="D7743" t="s">
        <v>7939</v>
      </c>
      <c r="E7743" t="s">
        <v>10</v>
      </c>
    </row>
    <row r="7744" spans="1:5" hidden="1" outlineLevel="2">
      <c r="A7744" s="3" t="e">
        <f>(HYPERLINK("http://www.autodoc.ru/Web/price/art/7231LCLH5RV?analog=on","7231LCLH5RV"))*1</f>
        <v>#VALUE!</v>
      </c>
      <c r="B7744" s="1">
        <v>6997609</v>
      </c>
      <c r="C7744" t="s">
        <v>7926</v>
      </c>
      <c r="D7744" t="s">
        <v>7940</v>
      </c>
      <c r="E7744" t="s">
        <v>10</v>
      </c>
    </row>
    <row r="7745" spans="1:5" hidden="1" outlineLevel="2">
      <c r="A7745" s="3" t="e">
        <f>(HYPERLINK("http://www.autodoc.ru/Web/price/art/7231LGNH5FD?analog=on","7231LGNH5FD"))*1</f>
        <v>#VALUE!</v>
      </c>
      <c r="B7745" s="1">
        <v>6997463</v>
      </c>
      <c r="C7745" t="s">
        <v>7926</v>
      </c>
      <c r="D7745" t="s">
        <v>7941</v>
      </c>
      <c r="E7745" t="s">
        <v>10</v>
      </c>
    </row>
    <row r="7746" spans="1:5" hidden="1" outlineLevel="2">
      <c r="A7746" s="3" t="e">
        <f>(HYPERLINK("http://www.autodoc.ru/Web/price/art/7231LGNH5RD?analog=on","7231LGNH5RD"))*1</f>
        <v>#VALUE!</v>
      </c>
      <c r="B7746" s="1">
        <v>6994818</v>
      </c>
      <c r="C7746" t="s">
        <v>7926</v>
      </c>
      <c r="D7746" t="s">
        <v>7942</v>
      </c>
      <c r="E7746" t="s">
        <v>10</v>
      </c>
    </row>
    <row r="7747" spans="1:5" hidden="1" outlineLevel="2">
      <c r="A7747" s="3" t="e">
        <f>(HYPERLINK("http://www.autodoc.ru/Web/price/art/7231LGNH5RV?analog=on","7231LGNH5RV"))*1</f>
        <v>#VALUE!</v>
      </c>
      <c r="B7747" s="1">
        <v>6997611</v>
      </c>
      <c r="C7747" t="s">
        <v>7926</v>
      </c>
      <c r="D7747" t="s">
        <v>7943</v>
      </c>
      <c r="E7747" t="s">
        <v>10</v>
      </c>
    </row>
    <row r="7748" spans="1:5" hidden="1" outlineLevel="2">
      <c r="A7748" s="3" t="e">
        <f>(HYPERLINK("http://www.autodoc.ru/Web/price/art/7231RCLH5FD?analog=on","7231RCLH5FD"))*1</f>
        <v>#VALUE!</v>
      </c>
      <c r="B7748" s="1">
        <v>6997462</v>
      </c>
      <c r="C7748" t="s">
        <v>7926</v>
      </c>
      <c r="D7748" t="s">
        <v>7944</v>
      </c>
      <c r="E7748" t="s">
        <v>10</v>
      </c>
    </row>
    <row r="7749" spans="1:5" hidden="1" outlineLevel="2">
      <c r="A7749" s="3" t="e">
        <f>(HYPERLINK("http://www.autodoc.ru/Web/price/art/7231RCLH5RV?analog=on","7231RCLH5RV"))*1</f>
        <v>#VALUE!</v>
      </c>
      <c r="B7749" s="1">
        <v>6997610</v>
      </c>
      <c r="C7749" t="s">
        <v>7926</v>
      </c>
      <c r="D7749" t="s">
        <v>7945</v>
      </c>
      <c r="E7749" t="s">
        <v>10</v>
      </c>
    </row>
    <row r="7750" spans="1:5" hidden="1" outlineLevel="2">
      <c r="A7750" s="3" t="e">
        <f>(HYPERLINK("http://www.autodoc.ru/Web/price/art/7231RGNH3RQ?analog=on","7231RGNH3RQ"))*1</f>
        <v>#VALUE!</v>
      </c>
      <c r="B7750" s="1">
        <v>6996898</v>
      </c>
      <c r="C7750" t="s">
        <v>7926</v>
      </c>
      <c r="D7750" t="s">
        <v>7946</v>
      </c>
      <c r="E7750" t="s">
        <v>10</v>
      </c>
    </row>
    <row r="7751" spans="1:5" hidden="1" outlineLevel="2">
      <c r="A7751" s="3" t="e">
        <f>(HYPERLINK("http://www.autodoc.ru/Web/price/art/7231RGNH5FD?analog=on","7231RGNH5FD"))*1</f>
        <v>#VALUE!</v>
      </c>
      <c r="B7751" s="1">
        <v>6997464</v>
      </c>
      <c r="C7751" t="s">
        <v>7926</v>
      </c>
      <c r="D7751" t="s">
        <v>7947</v>
      </c>
      <c r="E7751" t="s">
        <v>10</v>
      </c>
    </row>
    <row r="7752" spans="1:5" hidden="1" outlineLevel="2">
      <c r="A7752" s="3" t="e">
        <f>(HYPERLINK("http://www.autodoc.ru/Web/price/art/7231RGNH5RD?analog=on","7231RGNH5RD"))*1</f>
        <v>#VALUE!</v>
      </c>
      <c r="B7752" s="1">
        <v>6994824</v>
      </c>
      <c r="C7752" t="s">
        <v>7926</v>
      </c>
      <c r="D7752" t="s">
        <v>7948</v>
      </c>
      <c r="E7752" t="s">
        <v>10</v>
      </c>
    </row>
    <row r="7753" spans="1:5" hidden="1" outlineLevel="2">
      <c r="A7753" s="3" t="e">
        <f>(HYPERLINK("http://www.autodoc.ru/Web/price/art/7231RGNH5RV?analog=on","7231RGNH5RV"))*1</f>
        <v>#VALUE!</v>
      </c>
      <c r="B7753" s="1">
        <v>6997612</v>
      </c>
      <c r="C7753" t="s">
        <v>7926</v>
      </c>
      <c r="D7753" t="s">
        <v>7949</v>
      </c>
      <c r="E7753" t="s">
        <v>10</v>
      </c>
    </row>
    <row r="7754" spans="1:5" hidden="1" outlineLevel="1">
      <c r="A7754" s="2">
        <v>0</v>
      </c>
      <c r="B7754" s="26" t="s">
        <v>7950</v>
      </c>
      <c r="C7754" s="27">
        <v>0</v>
      </c>
      <c r="D7754" s="27">
        <v>0</v>
      </c>
      <c r="E7754" s="27">
        <v>0</v>
      </c>
    </row>
    <row r="7755" spans="1:5" hidden="1" outlineLevel="2">
      <c r="A7755" s="3" t="e">
        <f>(HYPERLINK("http://www.autodoc.ru/Web/price/art/7230ACL1C?analog=on","7230ACL1C"))*1</f>
        <v>#VALUE!</v>
      </c>
      <c r="B7755" s="1">
        <v>6966221</v>
      </c>
      <c r="C7755" t="s">
        <v>620</v>
      </c>
      <c r="D7755" t="s">
        <v>7951</v>
      </c>
      <c r="E7755" t="s">
        <v>8</v>
      </c>
    </row>
    <row r="7756" spans="1:5" hidden="1" outlineLevel="2">
      <c r="A7756" s="3" t="e">
        <f>(HYPERLINK("http://www.autodoc.ru/Web/price/art/7230AGN1C?analog=on","7230AGN1C"))*1</f>
        <v>#VALUE!</v>
      </c>
      <c r="B7756" s="1">
        <v>6966222</v>
      </c>
      <c r="C7756" t="s">
        <v>620</v>
      </c>
      <c r="D7756" t="s">
        <v>7952</v>
      </c>
      <c r="E7756" t="s">
        <v>8</v>
      </c>
    </row>
    <row r="7757" spans="1:5" hidden="1" outlineLevel="2">
      <c r="A7757" s="3" t="e">
        <f>(HYPERLINK("http://www.autodoc.ru/Web/price/art/7230AGNGN1C?analog=on","7230AGNGN1C"))*1</f>
        <v>#VALUE!</v>
      </c>
      <c r="B7757" s="1">
        <v>6966262</v>
      </c>
      <c r="C7757" t="s">
        <v>620</v>
      </c>
      <c r="D7757" t="s">
        <v>7953</v>
      </c>
      <c r="E7757" t="s">
        <v>8</v>
      </c>
    </row>
    <row r="7758" spans="1:5" hidden="1" outlineLevel="2">
      <c r="A7758" s="3" t="e">
        <f>(HYPERLINK("http://www.autodoc.ru/Web/price/art/7230AKMS?analog=on","7230AKMS"))*1</f>
        <v>#VALUE!</v>
      </c>
      <c r="B7758" s="1">
        <v>6100518</v>
      </c>
      <c r="C7758" t="s">
        <v>19</v>
      </c>
      <c r="D7758" t="s">
        <v>7954</v>
      </c>
      <c r="E7758" t="s">
        <v>21</v>
      </c>
    </row>
    <row r="7759" spans="1:5" hidden="1" outlineLevel="2">
      <c r="A7759" s="3" t="e">
        <f>(HYPERLINK("http://www.autodoc.ru/Web/price/art/7230BCLE?analog=on","7230BCLE"))*1</f>
        <v>#VALUE!</v>
      </c>
      <c r="B7759" s="1">
        <v>6994802</v>
      </c>
      <c r="C7759" t="s">
        <v>620</v>
      </c>
      <c r="D7759" t="s">
        <v>7955</v>
      </c>
      <c r="E7759" t="s">
        <v>23</v>
      </c>
    </row>
    <row r="7760" spans="1:5" hidden="1" outlineLevel="2">
      <c r="A7760" s="3" t="e">
        <f>(HYPERLINK("http://www.autodoc.ru/Web/price/art/7230BCLS?analog=on","7230BCLS"))*1</f>
        <v>#VALUE!</v>
      </c>
      <c r="B7760" s="1">
        <v>6998798</v>
      </c>
      <c r="C7760" t="s">
        <v>620</v>
      </c>
      <c r="D7760" t="s">
        <v>7956</v>
      </c>
      <c r="E7760" t="s">
        <v>23</v>
      </c>
    </row>
    <row r="7761" spans="1:5" hidden="1" outlineLevel="2">
      <c r="A7761" s="3" t="e">
        <f>(HYPERLINK("http://www.autodoc.ru/Web/price/art/7230BGNE?analog=on","7230BGNE"))*1</f>
        <v>#VALUE!</v>
      </c>
      <c r="B7761" s="1">
        <v>6994803</v>
      </c>
      <c r="C7761" t="s">
        <v>620</v>
      </c>
      <c r="D7761" t="s">
        <v>7957</v>
      </c>
      <c r="E7761" t="s">
        <v>23</v>
      </c>
    </row>
    <row r="7762" spans="1:5" hidden="1" outlineLevel="2">
      <c r="A7762" s="3" t="e">
        <f>(HYPERLINK("http://www.autodoc.ru/Web/price/art/7230BGNS?analog=on","7230BGNS"))*1</f>
        <v>#VALUE!</v>
      </c>
      <c r="B7762" s="1">
        <v>6998800</v>
      </c>
      <c r="C7762" t="s">
        <v>620</v>
      </c>
      <c r="D7762" t="s">
        <v>7958</v>
      </c>
      <c r="E7762" t="s">
        <v>23</v>
      </c>
    </row>
    <row r="7763" spans="1:5" hidden="1" outlineLevel="2">
      <c r="A7763" s="3" t="e">
        <f>(HYPERLINK("http://www.autodoc.ru/Web/price/art/7230LCLE5RD?analog=on","7230LCLE5RD"))*1</f>
        <v>#VALUE!</v>
      </c>
      <c r="B7763" s="1">
        <v>6994804</v>
      </c>
      <c r="C7763" t="s">
        <v>620</v>
      </c>
      <c r="D7763" t="s">
        <v>7959</v>
      </c>
      <c r="E7763" t="s">
        <v>10</v>
      </c>
    </row>
    <row r="7764" spans="1:5" hidden="1" outlineLevel="2">
      <c r="A7764" s="3" t="e">
        <f>(HYPERLINK("http://www.autodoc.ru/Web/price/art/7230LCLS4FD?analog=on","7230LCLS4FD"))*1</f>
        <v>#VALUE!</v>
      </c>
      <c r="B7764" s="1">
        <v>6994594</v>
      </c>
      <c r="C7764" t="s">
        <v>620</v>
      </c>
      <c r="D7764" t="s">
        <v>7960</v>
      </c>
      <c r="E7764" t="s">
        <v>10</v>
      </c>
    </row>
    <row r="7765" spans="1:5" hidden="1" outlineLevel="2">
      <c r="A7765" s="3" t="e">
        <f>(HYPERLINK("http://www.autodoc.ru/Web/price/art/7230LGNS4FD?analog=on","7230LGNS4FD"))*1</f>
        <v>#VALUE!</v>
      </c>
      <c r="B7765" s="1">
        <v>6996895</v>
      </c>
      <c r="C7765" t="s">
        <v>620</v>
      </c>
      <c r="D7765" t="s">
        <v>7961</v>
      </c>
      <c r="E7765" t="s">
        <v>10</v>
      </c>
    </row>
    <row r="7766" spans="1:5" hidden="1" outlineLevel="2">
      <c r="A7766" s="3" t="e">
        <f>(HYPERLINK("http://www.autodoc.ru/Web/price/art/7230LGNS4RD?analog=on","7230LGNS4RD"))*1</f>
        <v>#VALUE!</v>
      </c>
      <c r="B7766" s="1">
        <v>6995330</v>
      </c>
      <c r="C7766" t="s">
        <v>620</v>
      </c>
      <c r="D7766" t="s">
        <v>7962</v>
      </c>
      <c r="E7766" t="s">
        <v>10</v>
      </c>
    </row>
    <row r="7767" spans="1:5" hidden="1" outlineLevel="2">
      <c r="A7767" s="3" t="e">
        <f>(HYPERLINK("http://www.autodoc.ru/Web/price/art/7230LGNS4RQ?analog=on","7230LGNS4RQ"))*1</f>
        <v>#VALUE!</v>
      </c>
      <c r="B7767" s="1">
        <v>6997127</v>
      </c>
      <c r="C7767" t="s">
        <v>620</v>
      </c>
      <c r="D7767" t="s">
        <v>7963</v>
      </c>
      <c r="E7767" t="s">
        <v>10</v>
      </c>
    </row>
    <row r="7768" spans="1:5" hidden="1" outlineLevel="2">
      <c r="A7768" s="3" t="e">
        <f>(HYPERLINK("http://www.autodoc.ru/Web/price/art/7230RCLE5RD?analog=on","7230RCLE5RD"))*1</f>
        <v>#VALUE!</v>
      </c>
      <c r="B7768" s="1">
        <v>6994808</v>
      </c>
      <c r="C7768" t="s">
        <v>620</v>
      </c>
      <c r="D7768" t="s">
        <v>7964</v>
      </c>
      <c r="E7768" t="s">
        <v>10</v>
      </c>
    </row>
    <row r="7769" spans="1:5" hidden="1" outlineLevel="2">
      <c r="A7769" s="3" t="e">
        <f>(HYPERLINK("http://www.autodoc.ru/Web/price/art/7230RCLS4FD?analog=on","7230RCLS4FD"))*1</f>
        <v>#VALUE!</v>
      </c>
      <c r="B7769" s="1">
        <v>6994595</v>
      </c>
      <c r="C7769" t="s">
        <v>620</v>
      </c>
      <c r="D7769" t="s">
        <v>7965</v>
      </c>
      <c r="E7769" t="s">
        <v>10</v>
      </c>
    </row>
    <row r="7770" spans="1:5" hidden="1" outlineLevel="2">
      <c r="A7770" s="3" t="e">
        <f>(HYPERLINK("http://www.autodoc.ru/Web/price/art/7230RCLS4RD?analog=on","7230RCLS4RD"))*1</f>
        <v>#VALUE!</v>
      </c>
      <c r="B7770" s="1">
        <v>6995329</v>
      </c>
      <c r="C7770" t="s">
        <v>620</v>
      </c>
      <c r="D7770" t="s">
        <v>7966</v>
      </c>
      <c r="E7770" t="s">
        <v>10</v>
      </c>
    </row>
    <row r="7771" spans="1:5" hidden="1" outlineLevel="2">
      <c r="A7771" s="3" t="e">
        <f>(HYPERLINK("http://www.autodoc.ru/Web/price/art/7230RGNE5RD?analog=on","7230RGNE5RD"))*1</f>
        <v>#VALUE!</v>
      </c>
      <c r="B7771" s="1">
        <v>6994810</v>
      </c>
      <c r="C7771" t="s">
        <v>620</v>
      </c>
      <c r="D7771" t="s">
        <v>7967</v>
      </c>
      <c r="E7771" t="s">
        <v>10</v>
      </c>
    </row>
    <row r="7772" spans="1:5" hidden="1" outlineLevel="2">
      <c r="A7772" s="3" t="e">
        <f>(HYPERLINK("http://www.autodoc.ru/Web/price/art/7230RGNS4FD?analog=on","7230RGNS4FD"))*1</f>
        <v>#VALUE!</v>
      </c>
      <c r="B7772" s="1">
        <v>6996896</v>
      </c>
      <c r="C7772" t="s">
        <v>620</v>
      </c>
      <c r="D7772" t="s">
        <v>7968</v>
      </c>
      <c r="E7772" t="s">
        <v>10</v>
      </c>
    </row>
    <row r="7773" spans="1:5" hidden="1" outlineLevel="2">
      <c r="A7773" s="3" t="e">
        <f>(HYPERLINK("http://www.autodoc.ru/Web/price/art/7230RGNS4RD?analog=on","7230RGNS4RD"))*1</f>
        <v>#VALUE!</v>
      </c>
      <c r="B7773" s="1">
        <v>6995331</v>
      </c>
      <c r="C7773" t="s">
        <v>620</v>
      </c>
      <c r="D7773" t="s">
        <v>7969</v>
      </c>
      <c r="E7773" t="s">
        <v>10</v>
      </c>
    </row>
    <row r="7774" spans="1:5" hidden="1" outlineLevel="2">
      <c r="A7774" s="3" t="e">
        <f>(HYPERLINK("http://www.autodoc.ru/Web/price/art/7230RGNS4RQ?analog=on","7230RGNS4RQ"))*1</f>
        <v>#VALUE!</v>
      </c>
      <c r="B7774" s="1">
        <v>6997128</v>
      </c>
      <c r="C7774" t="s">
        <v>620</v>
      </c>
      <c r="D7774" t="s">
        <v>7970</v>
      </c>
      <c r="E7774" t="s">
        <v>10</v>
      </c>
    </row>
    <row r="7775" spans="1:5" hidden="1" outlineLevel="1">
      <c r="A7775" s="2">
        <v>0</v>
      </c>
      <c r="B7775" s="26" t="s">
        <v>7971</v>
      </c>
      <c r="C7775" s="27">
        <v>0</v>
      </c>
      <c r="D7775" s="27">
        <v>0</v>
      </c>
      <c r="E7775" s="27">
        <v>0</v>
      </c>
    </row>
    <row r="7776" spans="1:5" hidden="1" outlineLevel="2">
      <c r="A7776" s="3" t="e">
        <f>(HYPERLINK("http://www.autodoc.ru/Web/price/art/7226ACL?analog=on","7226ACL"))*1</f>
        <v>#VALUE!</v>
      </c>
      <c r="B7776" s="1">
        <v>6966220</v>
      </c>
      <c r="C7776" t="s">
        <v>1838</v>
      </c>
      <c r="D7776" t="s">
        <v>7972</v>
      </c>
      <c r="E7776" t="s">
        <v>8</v>
      </c>
    </row>
    <row r="7777" spans="1:5" hidden="1" outlineLevel="2">
      <c r="A7777" s="3" t="e">
        <f>(HYPERLINK("http://www.autodoc.ru/Web/price/art/7226AGN?analog=on","7226AGN"))*1</f>
        <v>#VALUE!</v>
      </c>
      <c r="B7777" s="1">
        <v>6966219</v>
      </c>
      <c r="C7777" t="s">
        <v>1838</v>
      </c>
      <c r="D7777" t="s">
        <v>7973</v>
      </c>
      <c r="E7777" t="s">
        <v>8</v>
      </c>
    </row>
    <row r="7778" spans="1:5" hidden="1" outlineLevel="2">
      <c r="A7778" s="3" t="e">
        <f>(HYPERLINK("http://www.autodoc.ru/Web/price/art/7226AGNGN?analog=on","7226AGNGN"))*1</f>
        <v>#VALUE!</v>
      </c>
      <c r="B7778" s="1">
        <v>6966291</v>
      </c>
      <c r="C7778" t="s">
        <v>1838</v>
      </c>
      <c r="D7778" t="s">
        <v>7974</v>
      </c>
      <c r="E7778" t="s">
        <v>8</v>
      </c>
    </row>
    <row r="7779" spans="1:5" hidden="1" outlineLevel="2">
      <c r="A7779" s="3" t="e">
        <f>(HYPERLINK("http://www.autodoc.ru/Web/price/art/7226AKMH?analog=on","7226AKMH"))*1</f>
        <v>#VALUE!</v>
      </c>
      <c r="B7779" s="1">
        <v>6101806</v>
      </c>
      <c r="C7779" t="s">
        <v>19</v>
      </c>
      <c r="D7779" t="s">
        <v>7975</v>
      </c>
      <c r="E7779" t="s">
        <v>21</v>
      </c>
    </row>
    <row r="7780" spans="1:5" hidden="1" outlineLevel="2">
      <c r="A7780" s="3" t="e">
        <f>(HYPERLINK("http://www.autodoc.ru/Web/price/art/7226ASFHC?analog=on","7226ASFHC"))*1</f>
        <v>#VALUE!</v>
      </c>
      <c r="B7780" s="1">
        <v>6100364</v>
      </c>
      <c r="C7780" t="s">
        <v>19</v>
      </c>
      <c r="D7780" t="s">
        <v>7976</v>
      </c>
      <c r="E7780" t="s">
        <v>21</v>
      </c>
    </row>
    <row r="7781" spans="1:5" hidden="1" outlineLevel="2">
      <c r="A7781" s="3" t="e">
        <f>(HYPERLINK("http://www.autodoc.ru/Web/price/art/7226ASGH?analog=on","7226ASGH"))*1</f>
        <v>#VALUE!</v>
      </c>
      <c r="B7781" s="1">
        <v>6100363</v>
      </c>
      <c r="C7781" t="s">
        <v>19</v>
      </c>
      <c r="D7781" t="s">
        <v>7976</v>
      </c>
      <c r="E7781" t="s">
        <v>21</v>
      </c>
    </row>
    <row r="7782" spans="1:5" hidden="1" outlineLevel="2">
      <c r="A7782" s="3" t="e">
        <f>(HYPERLINK("http://www.autodoc.ru/Web/price/art/7226BGNH?analog=on","7226BGNH"))*1</f>
        <v>#VALUE!</v>
      </c>
      <c r="B7782" s="1">
        <v>6998668</v>
      </c>
      <c r="C7782" t="s">
        <v>1838</v>
      </c>
      <c r="D7782" t="s">
        <v>7977</v>
      </c>
      <c r="E7782" t="s">
        <v>23</v>
      </c>
    </row>
    <row r="7783" spans="1:5" hidden="1" outlineLevel="2">
      <c r="A7783" s="3" t="e">
        <f>(HYPERLINK("http://www.autodoc.ru/Web/price/art/7226LGNH5FD?analog=on","7226LGNH5FD"))*1</f>
        <v>#VALUE!</v>
      </c>
      <c r="B7783" s="1">
        <v>6994578</v>
      </c>
      <c r="C7783" t="s">
        <v>1838</v>
      </c>
      <c r="D7783" t="s">
        <v>7978</v>
      </c>
      <c r="E7783" t="s">
        <v>10</v>
      </c>
    </row>
    <row r="7784" spans="1:5" hidden="1" outlineLevel="2">
      <c r="A7784" s="3" t="e">
        <f>(HYPERLINK("http://www.autodoc.ru/Web/price/art/7226LGNH5RD?analog=on","7226LGNH5RD"))*1</f>
        <v>#VALUE!</v>
      </c>
      <c r="B7784" s="1">
        <v>6994579</v>
      </c>
      <c r="C7784" t="s">
        <v>1838</v>
      </c>
      <c r="D7784" t="s">
        <v>7979</v>
      </c>
      <c r="E7784" t="s">
        <v>10</v>
      </c>
    </row>
    <row r="7785" spans="1:5" hidden="1" outlineLevel="2">
      <c r="A7785" s="3" t="e">
        <f>(HYPERLINK("http://www.autodoc.ru/Web/price/art/7226LGNH5RV?analog=on","7226LGNH5RV"))*1</f>
        <v>#VALUE!</v>
      </c>
      <c r="B7785" s="1">
        <v>6994580</v>
      </c>
      <c r="C7785" t="s">
        <v>1838</v>
      </c>
      <c r="D7785" t="s">
        <v>7980</v>
      </c>
      <c r="E7785" t="s">
        <v>10</v>
      </c>
    </row>
    <row r="7786" spans="1:5" hidden="1" outlineLevel="2">
      <c r="A7786" s="3" t="e">
        <f>(HYPERLINK("http://www.autodoc.ru/Web/price/art/7226RGNH5FD?analog=on","7226RGNH5FD"))*1</f>
        <v>#VALUE!</v>
      </c>
      <c r="B7786" s="1">
        <v>6994581</v>
      </c>
      <c r="C7786" t="s">
        <v>1838</v>
      </c>
      <c r="D7786" t="s">
        <v>7981</v>
      </c>
      <c r="E7786" t="s">
        <v>10</v>
      </c>
    </row>
    <row r="7787" spans="1:5" hidden="1" outlineLevel="2">
      <c r="A7787" s="3" t="e">
        <f>(HYPERLINK("http://www.autodoc.ru/Web/price/art/7226RGNH5RD?analog=on","7226RGNH5RD"))*1</f>
        <v>#VALUE!</v>
      </c>
      <c r="B7787" s="1">
        <v>6994582</v>
      </c>
      <c r="C7787" t="s">
        <v>1838</v>
      </c>
      <c r="D7787" t="s">
        <v>7982</v>
      </c>
      <c r="E7787" t="s">
        <v>10</v>
      </c>
    </row>
    <row r="7788" spans="1:5" hidden="1" outlineLevel="2">
      <c r="A7788" s="3" t="e">
        <f>(HYPERLINK("http://www.autodoc.ru/Web/price/art/7226RGNH5RV?analog=on","7226RGNH5RV"))*1</f>
        <v>#VALUE!</v>
      </c>
      <c r="B7788" s="1">
        <v>6994583</v>
      </c>
      <c r="C7788" t="s">
        <v>1838</v>
      </c>
      <c r="D7788" t="s">
        <v>7983</v>
      </c>
      <c r="E7788" t="s">
        <v>10</v>
      </c>
    </row>
    <row r="7789" spans="1:5" hidden="1" outlineLevel="1">
      <c r="A7789" s="2">
        <v>0</v>
      </c>
      <c r="B7789" s="26" t="s">
        <v>7984</v>
      </c>
      <c r="C7789" s="27">
        <v>0</v>
      </c>
      <c r="D7789" s="27">
        <v>0</v>
      </c>
      <c r="E7789" s="27">
        <v>0</v>
      </c>
    </row>
    <row r="7790" spans="1:5" hidden="1" outlineLevel="2">
      <c r="A7790" s="3" t="e">
        <f>(HYPERLINK("http://www.autodoc.ru/Web/price/art/7235AGN?analog=on","7235AGN"))*1</f>
        <v>#VALUE!</v>
      </c>
      <c r="B7790" s="1">
        <v>6966243</v>
      </c>
      <c r="C7790" t="s">
        <v>1573</v>
      </c>
      <c r="D7790" t="s">
        <v>7985</v>
      </c>
      <c r="E7790" t="s">
        <v>8</v>
      </c>
    </row>
    <row r="7791" spans="1:5" hidden="1" outlineLevel="2">
      <c r="A7791" s="3" t="e">
        <f>(HYPERLINK("http://www.autodoc.ru/Web/price/art/7235AKMHT?analog=on","7235AKMHT"))*1</f>
        <v>#VALUE!</v>
      </c>
      <c r="B7791" s="1">
        <v>6100200</v>
      </c>
      <c r="C7791" t="s">
        <v>19</v>
      </c>
      <c r="D7791" t="s">
        <v>7986</v>
      </c>
      <c r="E7791" t="s">
        <v>21</v>
      </c>
    </row>
    <row r="7792" spans="1:5" hidden="1" outlineLevel="2">
      <c r="A7792" s="3" t="e">
        <f>(HYPERLINK("http://www.autodoc.ru/Web/price/art/7235BGNHBZ?analog=on","7235BGNHBZ"))*1</f>
        <v>#VALUE!</v>
      </c>
      <c r="B7792" s="1">
        <v>6998803</v>
      </c>
      <c r="C7792" t="s">
        <v>1573</v>
      </c>
      <c r="D7792" t="s">
        <v>7987</v>
      </c>
      <c r="E7792" t="s">
        <v>23</v>
      </c>
    </row>
    <row r="7793" spans="1:5" hidden="1" outlineLevel="2">
      <c r="A7793" s="3" t="e">
        <f>(HYPERLINK("http://www.autodoc.ru/Web/price/art/7235BGNHZ?analog=on","7235BGNHZ"))*1</f>
        <v>#VALUE!</v>
      </c>
      <c r="B7793" s="1">
        <v>6998804</v>
      </c>
      <c r="C7793" t="s">
        <v>1573</v>
      </c>
      <c r="D7793" t="s">
        <v>7988</v>
      </c>
      <c r="E7793" t="s">
        <v>23</v>
      </c>
    </row>
    <row r="7794" spans="1:5" hidden="1" outlineLevel="2">
      <c r="A7794" s="3" t="e">
        <f>(HYPERLINK("http://www.autodoc.ru/Web/price/art/7235LGNH5FD?analog=on","7235LGNH5FD"))*1</f>
        <v>#VALUE!</v>
      </c>
      <c r="B7794" s="1">
        <v>6994600</v>
      </c>
      <c r="C7794" t="s">
        <v>1573</v>
      </c>
      <c r="D7794" t="s">
        <v>7989</v>
      </c>
      <c r="E7794" t="s">
        <v>10</v>
      </c>
    </row>
    <row r="7795" spans="1:5" hidden="1" outlineLevel="2">
      <c r="A7795" s="3" t="e">
        <f>(HYPERLINK("http://www.autodoc.ru/Web/price/art/7235LGNH5RD?analog=on","7235LGNH5RD"))*1</f>
        <v>#VALUE!</v>
      </c>
      <c r="B7795" s="1">
        <v>6994601</v>
      </c>
      <c r="C7795" t="s">
        <v>1573</v>
      </c>
      <c r="D7795" t="s">
        <v>7990</v>
      </c>
      <c r="E7795" t="s">
        <v>10</v>
      </c>
    </row>
    <row r="7796" spans="1:5" hidden="1" outlineLevel="2">
      <c r="A7796" s="3" t="e">
        <f>(HYPERLINK("http://www.autodoc.ru/Web/price/art/7235RGNH5FD?analog=on","7235RGNH5FD"))*1</f>
        <v>#VALUE!</v>
      </c>
      <c r="B7796" s="1">
        <v>6994603</v>
      </c>
      <c r="C7796" t="s">
        <v>1573</v>
      </c>
      <c r="D7796" t="s">
        <v>7991</v>
      </c>
      <c r="E7796" t="s">
        <v>10</v>
      </c>
    </row>
    <row r="7797" spans="1:5" hidden="1" outlineLevel="2">
      <c r="A7797" s="3" t="e">
        <f>(HYPERLINK("http://www.autodoc.ru/Web/price/art/7235RGNH5RD?analog=on","7235RGNH5RD"))*1</f>
        <v>#VALUE!</v>
      </c>
      <c r="B7797" s="1">
        <v>6994604</v>
      </c>
      <c r="C7797" t="s">
        <v>1573</v>
      </c>
      <c r="D7797" t="s">
        <v>7992</v>
      </c>
      <c r="E7797" t="s">
        <v>10</v>
      </c>
    </row>
    <row r="7798" spans="1:5" hidden="1" outlineLevel="2">
      <c r="A7798" s="3" t="e">
        <f>(HYPERLINK("http://www.autodoc.ru/Web/price/art/7235RGNH5RQZ1G?analog=on","7235RGNH5RQZ1G"))*1</f>
        <v>#VALUE!</v>
      </c>
      <c r="B7798" s="1">
        <v>6994237</v>
      </c>
      <c r="C7798" t="s">
        <v>1573</v>
      </c>
      <c r="D7798" t="s">
        <v>7993</v>
      </c>
      <c r="E7798" t="s">
        <v>10</v>
      </c>
    </row>
    <row r="7799" spans="1:5" hidden="1" outlineLevel="1">
      <c r="A7799" s="2">
        <v>0</v>
      </c>
      <c r="B7799" s="26" t="s">
        <v>7994</v>
      </c>
      <c r="C7799" s="27">
        <v>0</v>
      </c>
      <c r="D7799" s="27">
        <v>0</v>
      </c>
      <c r="E7799" s="27">
        <v>0</v>
      </c>
    </row>
    <row r="7800" spans="1:5" hidden="1" outlineLevel="2">
      <c r="A7800" s="3" t="e">
        <f>(HYPERLINK("http://www.autodoc.ru/Web/price/art/7276AGS?analog=on","7276AGS"))*1</f>
        <v>#VALUE!</v>
      </c>
      <c r="B7800" s="1">
        <v>6962980</v>
      </c>
      <c r="C7800" t="s">
        <v>7595</v>
      </c>
      <c r="D7800" t="s">
        <v>7995</v>
      </c>
      <c r="E7800" t="s">
        <v>8</v>
      </c>
    </row>
    <row r="7801" spans="1:5" hidden="1" outlineLevel="2">
      <c r="A7801" s="3" t="e">
        <f>(HYPERLINK("http://www.autodoc.ru/Web/price/art/7276RGNR5FD?analog=on","7276RGNR5FD"))*1</f>
        <v>#VALUE!</v>
      </c>
      <c r="B7801" s="1">
        <v>6900400</v>
      </c>
      <c r="C7801" t="s">
        <v>7595</v>
      </c>
      <c r="D7801" t="s">
        <v>7996</v>
      </c>
      <c r="E7801" t="s">
        <v>10</v>
      </c>
    </row>
    <row r="7802" spans="1:5" hidden="1" outlineLevel="2">
      <c r="A7802" s="3" t="e">
        <f>(HYPERLINK("http://www.autodoc.ru/Web/price/art/7276LGNR5FD?analog=on","7276LGNR5FD"))*1</f>
        <v>#VALUE!</v>
      </c>
      <c r="B7802" s="1">
        <v>6900401</v>
      </c>
      <c r="C7802" t="s">
        <v>7595</v>
      </c>
      <c r="D7802" t="s">
        <v>7997</v>
      </c>
      <c r="E7802" t="s">
        <v>10</v>
      </c>
    </row>
    <row r="7803" spans="1:5" hidden="1" outlineLevel="2">
      <c r="A7803" s="3" t="e">
        <f>(HYPERLINK("http://www.autodoc.ru/Web/price/art/7276RGSH5RD?analog=on","7276RGSH5RD"))*1</f>
        <v>#VALUE!</v>
      </c>
      <c r="B7803" s="1">
        <v>6900402</v>
      </c>
      <c r="C7803" t="s">
        <v>366</v>
      </c>
      <c r="D7803" t="s">
        <v>7998</v>
      </c>
      <c r="E7803" t="s">
        <v>10</v>
      </c>
    </row>
    <row r="7804" spans="1:5" hidden="1" outlineLevel="2">
      <c r="A7804" s="3" t="e">
        <f>(HYPERLINK("http://www.autodoc.ru/Web/price/art/7276LGSH5RD?analog=on","7276LGSH5RD"))*1</f>
        <v>#VALUE!</v>
      </c>
      <c r="B7804" s="1">
        <v>6900403</v>
      </c>
      <c r="C7804" t="s">
        <v>366</v>
      </c>
      <c r="D7804" t="s">
        <v>7999</v>
      </c>
      <c r="E7804" t="s">
        <v>10</v>
      </c>
    </row>
    <row r="7805" spans="1:5" hidden="1" outlineLevel="2">
      <c r="A7805" s="3" t="e">
        <f>(HYPERLINK("http://www.autodoc.ru/Web/price/art/7276RGSH5RV?analog=on","7276RGSH5RV"))*1</f>
        <v>#VALUE!</v>
      </c>
      <c r="B7805" s="1">
        <v>6900404</v>
      </c>
      <c r="C7805" t="s">
        <v>366</v>
      </c>
      <c r="D7805" t="s">
        <v>8000</v>
      </c>
      <c r="E7805" t="s">
        <v>10</v>
      </c>
    </row>
    <row r="7806" spans="1:5" hidden="1" outlineLevel="2">
      <c r="A7806" s="3" t="e">
        <f>(HYPERLINK("http://www.autodoc.ru/Web/price/art/7276LGSH5RV?analog=on","7276LGSH5RV"))*1</f>
        <v>#VALUE!</v>
      </c>
      <c r="B7806" s="1">
        <v>6900405</v>
      </c>
      <c r="C7806" t="s">
        <v>366</v>
      </c>
      <c r="D7806" t="s">
        <v>8001</v>
      </c>
      <c r="E7806" t="s">
        <v>10</v>
      </c>
    </row>
    <row r="7807" spans="1:5" hidden="1" outlineLevel="2">
      <c r="A7807" s="3" t="e">
        <f>(HYPERLINK("http://www.autodoc.ru/Web/price/art/7276BGSH1E?analog=on","7276BGSH1E"))*1</f>
        <v>#VALUE!</v>
      </c>
      <c r="B7807" s="1">
        <v>6900406</v>
      </c>
      <c r="C7807" t="s">
        <v>366</v>
      </c>
      <c r="D7807" t="s">
        <v>8002</v>
      </c>
      <c r="E7807" t="s">
        <v>23</v>
      </c>
    </row>
    <row r="7808" spans="1:5" hidden="1" outlineLevel="1">
      <c r="A7808" s="2">
        <v>0</v>
      </c>
      <c r="B7808" s="26" t="s">
        <v>8003</v>
      </c>
      <c r="C7808" s="27">
        <v>0</v>
      </c>
      <c r="D7808" s="27">
        <v>0</v>
      </c>
      <c r="E7808" s="27">
        <v>0</v>
      </c>
    </row>
    <row r="7809" spans="1:5" hidden="1" outlineLevel="2">
      <c r="A7809" s="3" t="e">
        <f>(HYPERLINK("http://www.autodoc.ru/Web/price/art/7252ACCV?analog=on","7252ACCV"))*1</f>
        <v>#VALUE!</v>
      </c>
      <c r="B7809" s="1">
        <v>6960176</v>
      </c>
      <c r="C7809" t="s">
        <v>8004</v>
      </c>
      <c r="D7809" t="s">
        <v>8005</v>
      </c>
      <c r="E7809" t="s">
        <v>8</v>
      </c>
    </row>
    <row r="7810" spans="1:5" hidden="1" outlineLevel="2">
      <c r="A7810" s="3" t="e">
        <f>(HYPERLINK("http://www.autodoc.ru/Web/price/art/7252ACCV1H?analog=on","7252ACCV1H"))*1</f>
        <v>#VALUE!</v>
      </c>
      <c r="B7810" s="1">
        <v>6961714</v>
      </c>
      <c r="C7810" t="s">
        <v>8004</v>
      </c>
      <c r="D7810" t="s">
        <v>8006</v>
      </c>
      <c r="E7810" t="s">
        <v>8</v>
      </c>
    </row>
    <row r="7811" spans="1:5" hidden="1" outlineLevel="2">
      <c r="A7811" s="3" t="e">
        <f>(HYPERLINK("http://www.autodoc.ru/Web/price/art/7252AGSMV1P?analog=on","7252AGSMV1P"))*1</f>
        <v>#VALUE!</v>
      </c>
      <c r="B7811" s="1">
        <v>6961100</v>
      </c>
      <c r="C7811" t="s">
        <v>8007</v>
      </c>
      <c r="D7811" t="s">
        <v>8008</v>
      </c>
      <c r="E7811" t="s">
        <v>8</v>
      </c>
    </row>
    <row r="7812" spans="1:5" hidden="1" outlineLevel="2">
      <c r="A7812" s="3" t="e">
        <f>(HYPERLINK("http://www.autodoc.ru/Web/price/art/7252AGSV?analog=on","7252AGSV"))*1</f>
        <v>#VALUE!</v>
      </c>
      <c r="B7812" s="1">
        <v>6960177</v>
      </c>
      <c r="C7812" t="s">
        <v>8004</v>
      </c>
      <c r="D7812" t="s">
        <v>8009</v>
      </c>
      <c r="E7812" t="s">
        <v>8</v>
      </c>
    </row>
    <row r="7813" spans="1:5" hidden="1" outlineLevel="2">
      <c r="A7813" s="3" t="e">
        <f>(HYPERLINK("http://www.autodoc.ru/Web/price/art/6300AGSV?analog=on","6300AGSV"))*1</f>
        <v>#VALUE!</v>
      </c>
      <c r="B7813" s="1">
        <v>6190459</v>
      </c>
      <c r="C7813" t="s">
        <v>8004</v>
      </c>
      <c r="D7813" t="s">
        <v>8010</v>
      </c>
      <c r="E7813" t="s">
        <v>8</v>
      </c>
    </row>
    <row r="7814" spans="1:5" hidden="1" outlineLevel="2">
      <c r="A7814" s="3" t="e">
        <f>(HYPERLINK("http://www.autodoc.ru/Web/price/art/7252AGSV1C?analog=on","7252AGSV1C"))*1</f>
        <v>#VALUE!</v>
      </c>
      <c r="B7814" s="1">
        <v>6960178</v>
      </c>
      <c r="C7814" t="s">
        <v>8004</v>
      </c>
      <c r="D7814" t="s">
        <v>8011</v>
      </c>
      <c r="E7814" t="s">
        <v>8</v>
      </c>
    </row>
    <row r="7815" spans="1:5" hidden="1" outlineLevel="2">
      <c r="A7815" s="3" t="e">
        <f>(HYPERLINK("http://www.autodoc.ru/Web/price/art/7252AGSV1H?analog=on","7252AGSV1H"))*1</f>
        <v>#VALUE!</v>
      </c>
      <c r="B7815" s="1">
        <v>6961715</v>
      </c>
      <c r="C7815" t="s">
        <v>8004</v>
      </c>
      <c r="D7815" t="s">
        <v>8012</v>
      </c>
      <c r="E7815" t="s">
        <v>8</v>
      </c>
    </row>
    <row r="7816" spans="1:5" hidden="1" outlineLevel="2">
      <c r="A7816" s="3" t="e">
        <f>(HYPERLINK("http://www.autodoc.ru/Web/price/art/7252ASMVT?analog=on","7252ASMVT"))*1</f>
        <v>#VALUE!</v>
      </c>
      <c r="B7816" s="1">
        <v>6100330</v>
      </c>
      <c r="C7816" t="s">
        <v>19</v>
      </c>
      <c r="D7816" t="s">
        <v>8013</v>
      </c>
      <c r="E7816" t="s">
        <v>21</v>
      </c>
    </row>
    <row r="7817" spans="1:5" hidden="1" outlineLevel="2">
      <c r="A7817" s="3" t="e">
        <f>(HYPERLINK("http://www.autodoc.ru/Web/price/art/7252BGSV?analog=on","7252BGSV"))*1</f>
        <v>#VALUE!</v>
      </c>
      <c r="B7817" s="1">
        <v>6990926</v>
      </c>
      <c r="C7817" t="s">
        <v>8004</v>
      </c>
      <c r="D7817" t="s">
        <v>8014</v>
      </c>
      <c r="E7817" t="s">
        <v>23</v>
      </c>
    </row>
    <row r="7818" spans="1:5" hidden="1" outlineLevel="2">
      <c r="A7818" s="3" t="e">
        <f>(HYPERLINK("http://www.autodoc.ru/Web/price/art/7252BGSVL?analog=on","7252BGSVL"))*1</f>
        <v>#VALUE!</v>
      </c>
      <c r="B7818" s="1">
        <v>6990765</v>
      </c>
      <c r="C7818" t="s">
        <v>8004</v>
      </c>
      <c r="D7818" t="s">
        <v>8015</v>
      </c>
      <c r="E7818" t="s">
        <v>23</v>
      </c>
    </row>
    <row r="7819" spans="1:5" hidden="1" outlineLevel="2">
      <c r="A7819" s="3" t="e">
        <f>(HYPERLINK("http://www.autodoc.ru/Web/price/art/7252BGSVLU?analog=on","7252BGSVLU"))*1</f>
        <v>#VALUE!</v>
      </c>
      <c r="B7819" s="1">
        <v>6990444</v>
      </c>
      <c r="C7819" t="s">
        <v>8004</v>
      </c>
      <c r="D7819" t="s">
        <v>8016</v>
      </c>
      <c r="E7819" t="s">
        <v>23</v>
      </c>
    </row>
    <row r="7820" spans="1:5" hidden="1" outlineLevel="2">
      <c r="A7820" s="3" t="e">
        <f>(HYPERLINK("http://www.autodoc.ru/Web/price/art/7252BGSVR?analog=on","7252BGSVR"))*1</f>
        <v>#VALUE!</v>
      </c>
      <c r="B7820" s="1">
        <v>6990764</v>
      </c>
      <c r="C7820" t="s">
        <v>8004</v>
      </c>
      <c r="D7820" t="s">
        <v>8017</v>
      </c>
      <c r="E7820" t="s">
        <v>23</v>
      </c>
    </row>
    <row r="7821" spans="1:5" hidden="1" outlineLevel="2">
      <c r="A7821" s="3" t="e">
        <f>(HYPERLINK("http://www.autodoc.ru/Web/price/art/7252BGSVRU?analog=on","7252BGSVRU"))*1</f>
        <v>#VALUE!</v>
      </c>
      <c r="B7821" s="1">
        <v>6991146</v>
      </c>
      <c r="C7821" t="s">
        <v>8004</v>
      </c>
      <c r="D7821" t="s">
        <v>8018</v>
      </c>
      <c r="E7821" t="s">
        <v>23</v>
      </c>
    </row>
    <row r="7822" spans="1:5" hidden="1" outlineLevel="2">
      <c r="A7822" s="3" t="e">
        <f>(HYPERLINK("http://www.autodoc.ru/Web/price/art/7252LGSV2FD?analog=on","7252LGSV2FD"))*1</f>
        <v>#VALUE!</v>
      </c>
      <c r="B7822" s="1">
        <v>6991153</v>
      </c>
      <c r="C7822" t="s">
        <v>8004</v>
      </c>
      <c r="D7822" t="s">
        <v>8019</v>
      </c>
      <c r="E7822" t="s">
        <v>10</v>
      </c>
    </row>
    <row r="7823" spans="1:5" hidden="1" outlineLevel="2">
      <c r="A7823" s="3" t="e">
        <f>(HYPERLINK("http://www.autodoc.ru/Web/price/art/7252LGSV2FV?analog=on","7252LGSV2FV"))*1</f>
        <v>#VALUE!</v>
      </c>
      <c r="B7823" s="1">
        <v>6990475</v>
      </c>
      <c r="C7823" t="s">
        <v>8004</v>
      </c>
      <c r="D7823" t="s">
        <v>8020</v>
      </c>
      <c r="E7823" t="s">
        <v>10</v>
      </c>
    </row>
    <row r="7824" spans="1:5" hidden="1" outlineLevel="2">
      <c r="A7824" s="3" t="e">
        <f>(HYPERLINK("http://www.autodoc.ru/Web/price/art/7252LGSV2RQ?analog=on","7252LGSV2RQ"))*1</f>
        <v>#VALUE!</v>
      </c>
      <c r="B7824" s="1">
        <v>6990775</v>
      </c>
      <c r="C7824" t="s">
        <v>8004</v>
      </c>
      <c r="D7824" t="s">
        <v>8021</v>
      </c>
      <c r="E7824" t="s">
        <v>10</v>
      </c>
    </row>
    <row r="7825" spans="1:5" hidden="1" outlineLevel="2">
      <c r="A7825" s="3" t="e">
        <f>(HYPERLINK("http://www.autodoc.ru/Web/price/art/7252LGSV3MQ?analog=on","7252LGSV3MQ"))*1</f>
        <v>#VALUE!</v>
      </c>
      <c r="B7825" s="1">
        <v>6990773</v>
      </c>
      <c r="C7825" t="s">
        <v>8004</v>
      </c>
      <c r="D7825" t="s">
        <v>8022</v>
      </c>
      <c r="E7825" t="s">
        <v>10</v>
      </c>
    </row>
    <row r="7826" spans="1:5" hidden="1" outlineLevel="2">
      <c r="A7826" s="3" t="e">
        <f>(HYPERLINK("http://www.autodoc.ru/Web/price/art/7252LGSV4RD?analog=on","7252LGSV4RD"))*1</f>
        <v>#VALUE!</v>
      </c>
      <c r="B7826" s="1">
        <v>6990774</v>
      </c>
      <c r="C7826" t="s">
        <v>8004</v>
      </c>
      <c r="D7826" t="s">
        <v>8023</v>
      </c>
      <c r="E7826" t="s">
        <v>10</v>
      </c>
    </row>
    <row r="7827" spans="1:5" hidden="1" outlineLevel="2">
      <c r="A7827" s="3" t="e">
        <f>(HYPERLINK("http://www.autodoc.ru/Web/price/art/7252LGSV4RQ1J?analog=on","7252LGSV4RQ1J"))*1</f>
        <v>#VALUE!</v>
      </c>
      <c r="B7827" s="1">
        <v>6992099</v>
      </c>
      <c r="C7827" t="s">
        <v>8004</v>
      </c>
      <c r="D7827" t="s">
        <v>8024</v>
      </c>
      <c r="E7827" t="s">
        <v>10</v>
      </c>
    </row>
    <row r="7828" spans="1:5" hidden="1" outlineLevel="2">
      <c r="A7828" s="3" t="e">
        <f>(HYPERLINK("http://www.autodoc.ru/Web/price/art/7252LGSV4RQ6J?analog=on","7252LGSV4RQ6J"))*1</f>
        <v>#VALUE!</v>
      </c>
      <c r="B7828" s="1">
        <v>6900980</v>
      </c>
      <c r="C7828" t="s">
        <v>8004</v>
      </c>
      <c r="D7828" t="s">
        <v>8025</v>
      </c>
      <c r="E7828" t="s">
        <v>10</v>
      </c>
    </row>
    <row r="7829" spans="1:5" hidden="1" outlineLevel="2">
      <c r="A7829" s="3" t="e">
        <f>(HYPERLINK("http://www.autodoc.ru/Web/price/art/7252RGSV2FD?analog=on","7252RGSV2FD"))*1</f>
        <v>#VALUE!</v>
      </c>
      <c r="B7829" s="1">
        <v>6991151</v>
      </c>
      <c r="C7829" t="s">
        <v>8004</v>
      </c>
      <c r="D7829" t="s">
        <v>8026</v>
      </c>
      <c r="E7829" t="s">
        <v>10</v>
      </c>
    </row>
    <row r="7830" spans="1:5" hidden="1" outlineLevel="2">
      <c r="A7830" s="3" t="e">
        <f>(HYPERLINK("http://www.autodoc.ru/Web/price/art/7252RGSV2FV?analog=on","7252RGSV2FV"))*1</f>
        <v>#VALUE!</v>
      </c>
      <c r="B7830" s="1">
        <v>6990474</v>
      </c>
      <c r="C7830" t="s">
        <v>8004</v>
      </c>
      <c r="D7830" t="s">
        <v>8027</v>
      </c>
      <c r="E7830" t="s">
        <v>10</v>
      </c>
    </row>
    <row r="7831" spans="1:5" hidden="1" outlineLevel="2">
      <c r="A7831" s="3" t="e">
        <f>(HYPERLINK("http://www.autodoc.ru/Web/price/art/7252RGSV2RQ?analog=on","7252RGSV2RQ"))*1</f>
        <v>#VALUE!</v>
      </c>
      <c r="B7831" s="1">
        <v>6990769</v>
      </c>
      <c r="C7831" t="s">
        <v>8004</v>
      </c>
      <c r="D7831" t="s">
        <v>8028</v>
      </c>
      <c r="E7831" t="s">
        <v>10</v>
      </c>
    </row>
    <row r="7832" spans="1:5" hidden="1" outlineLevel="2">
      <c r="A7832" s="3" t="e">
        <f>(HYPERLINK("http://www.autodoc.ru/Web/price/art/7252RGSV4RD?analog=on","7252RGSV4RD"))*1</f>
        <v>#VALUE!</v>
      </c>
      <c r="B7832" s="1">
        <v>6990770</v>
      </c>
      <c r="C7832" t="s">
        <v>8004</v>
      </c>
      <c r="D7832" t="s">
        <v>8029</v>
      </c>
      <c r="E7832" t="s">
        <v>10</v>
      </c>
    </row>
    <row r="7833" spans="1:5" hidden="1" outlineLevel="2">
      <c r="A7833" s="3" t="e">
        <f>(HYPERLINK("http://www.autodoc.ru/Web/price/art/7252RGSV4RQ1J?analog=on","7252RGSV4RQ1J"))*1</f>
        <v>#VALUE!</v>
      </c>
      <c r="B7833" s="1">
        <v>6992100</v>
      </c>
      <c r="C7833" t="s">
        <v>8004</v>
      </c>
      <c r="D7833" t="s">
        <v>8030</v>
      </c>
      <c r="E7833" t="s">
        <v>10</v>
      </c>
    </row>
    <row r="7834" spans="1:5" hidden="1" outlineLevel="2">
      <c r="A7834" s="3" t="e">
        <f>(HYPERLINK("http://www.autodoc.ru/Web/price/art/7252LGSV2RQ2J?analog=on","7252LGSV2RQ2J"))*1</f>
        <v>#VALUE!</v>
      </c>
      <c r="B7834" s="1">
        <v>6900984</v>
      </c>
      <c r="C7834" t="s">
        <v>8004</v>
      </c>
      <c r="D7834" t="s">
        <v>8031</v>
      </c>
      <c r="E7834" t="s">
        <v>10</v>
      </c>
    </row>
    <row r="7835" spans="1:5" hidden="1" outlineLevel="1">
      <c r="A7835" s="2">
        <v>0</v>
      </c>
      <c r="B7835" s="26" t="s">
        <v>8032</v>
      </c>
      <c r="C7835" s="27">
        <v>0</v>
      </c>
      <c r="D7835" s="27">
        <v>0</v>
      </c>
      <c r="E7835" s="27">
        <v>0</v>
      </c>
    </row>
    <row r="7836" spans="1:5" hidden="1" outlineLevel="2">
      <c r="A7836" s="3" t="e">
        <f>(HYPERLINK("http://www.autodoc.ru/Web/price/art/7222ACL1C?analog=on","7222ACL1C"))*1</f>
        <v>#VALUE!</v>
      </c>
      <c r="B7836" s="1">
        <v>6966233</v>
      </c>
      <c r="C7836" t="s">
        <v>8033</v>
      </c>
      <c r="D7836" t="s">
        <v>8034</v>
      </c>
      <c r="E7836" t="s">
        <v>8</v>
      </c>
    </row>
    <row r="7837" spans="1:5" hidden="1" outlineLevel="2">
      <c r="A7837" s="3" t="e">
        <f>(HYPERLINK("http://www.autodoc.ru/Web/price/art/7222ASRV?analog=on","7222ASRV"))*1</f>
        <v>#VALUE!</v>
      </c>
      <c r="B7837" s="1">
        <v>6100368</v>
      </c>
      <c r="C7837" t="s">
        <v>19</v>
      </c>
      <c r="D7837" t="s">
        <v>8035</v>
      </c>
      <c r="E7837" t="s">
        <v>21</v>
      </c>
    </row>
    <row r="7838" spans="1:5" hidden="1" outlineLevel="2">
      <c r="A7838" s="3" t="e">
        <f>(HYPERLINK("http://www.autodoc.ru/Web/price/art/7222LCLV2FD?analog=on","7222LCLV2FD"))*1</f>
        <v>#VALUE!</v>
      </c>
      <c r="B7838" s="1">
        <v>6997371</v>
      </c>
      <c r="C7838" t="s">
        <v>8033</v>
      </c>
      <c r="D7838" t="s">
        <v>8036</v>
      </c>
      <c r="E7838" t="s">
        <v>10</v>
      </c>
    </row>
    <row r="7839" spans="1:5" hidden="1" outlineLevel="2">
      <c r="A7839" s="3" t="e">
        <f>(HYPERLINK("http://www.autodoc.ru/Web/price/art/7222LCLV2FV?analog=on","7222LCLV2FV"))*1</f>
        <v>#VALUE!</v>
      </c>
      <c r="B7839" s="1">
        <v>6997369</v>
      </c>
      <c r="C7839" t="s">
        <v>8033</v>
      </c>
      <c r="D7839" t="s">
        <v>8037</v>
      </c>
      <c r="E7839" t="s">
        <v>10</v>
      </c>
    </row>
    <row r="7840" spans="1:5" hidden="1" outlineLevel="2">
      <c r="A7840" s="3" t="e">
        <f>(HYPERLINK("http://www.autodoc.ru/Web/price/art/7222RCLV2FD?analog=on","7222RCLV2FD"))*1</f>
        <v>#VALUE!</v>
      </c>
      <c r="B7840" s="1">
        <v>6997370</v>
      </c>
      <c r="C7840" t="s">
        <v>8033</v>
      </c>
      <c r="D7840" t="s">
        <v>8038</v>
      </c>
      <c r="E7840" t="s">
        <v>10</v>
      </c>
    </row>
    <row r="7841" spans="1:5" hidden="1" outlineLevel="2">
      <c r="A7841" s="3" t="e">
        <f>(HYPERLINK("http://www.autodoc.ru/Web/price/art/7222RCLV2FV?analog=on","7222RCLV2FV"))*1</f>
        <v>#VALUE!</v>
      </c>
      <c r="B7841" s="1">
        <v>6997368</v>
      </c>
      <c r="C7841" t="s">
        <v>8033</v>
      </c>
      <c r="D7841" t="s">
        <v>8039</v>
      </c>
      <c r="E7841" t="s">
        <v>10</v>
      </c>
    </row>
    <row r="7842" spans="1:5" hidden="1" outlineLevel="1">
      <c r="A7842" s="2">
        <v>0</v>
      </c>
      <c r="B7842" s="26" t="s">
        <v>8040</v>
      </c>
      <c r="C7842" s="27">
        <v>0</v>
      </c>
      <c r="D7842" s="27">
        <v>0</v>
      </c>
      <c r="E7842" s="27">
        <v>0</v>
      </c>
    </row>
    <row r="7843" spans="1:5" hidden="1" outlineLevel="2">
      <c r="A7843" s="3" t="e">
        <f>(HYPERLINK("http://www.autodoc.ru/Web/price/art/7268AGSMV1Q?analog=on","7268AGSMV1Q"))*1</f>
        <v>#VALUE!</v>
      </c>
      <c r="B7843" s="1">
        <v>6962336</v>
      </c>
      <c r="C7843" t="s">
        <v>3406</v>
      </c>
      <c r="D7843" t="s">
        <v>8041</v>
      </c>
      <c r="E7843" t="s">
        <v>8</v>
      </c>
    </row>
    <row r="7844" spans="1:5" hidden="1" outlineLevel="2">
      <c r="A7844" s="3" t="e">
        <f>(HYPERLINK("http://www.autodoc.ru/Web/price/art/7268AGSV1M?analog=on","7268AGSV1M"))*1</f>
        <v>#VALUE!</v>
      </c>
      <c r="B7844" s="1">
        <v>6962337</v>
      </c>
      <c r="C7844" t="s">
        <v>3406</v>
      </c>
      <c r="D7844" t="s">
        <v>8042</v>
      </c>
      <c r="E7844" t="s">
        <v>8</v>
      </c>
    </row>
    <row r="7845" spans="1:5" hidden="1" outlineLevel="1">
      <c r="A7845" s="2">
        <v>0</v>
      </c>
      <c r="B7845" s="26" t="s">
        <v>8043</v>
      </c>
      <c r="C7845" s="27">
        <v>0</v>
      </c>
      <c r="D7845" s="27">
        <v>0</v>
      </c>
      <c r="E7845" s="27">
        <v>0</v>
      </c>
    </row>
    <row r="7846" spans="1:5" hidden="1" outlineLevel="2">
      <c r="A7846" s="3" t="e">
        <f>(HYPERLINK("http://www.autodoc.ru/Web/price/art/7236ACC1B?analog=on","7236ACC1B"))*1</f>
        <v>#VALUE!</v>
      </c>
      <c r="B7846" s="1">
        <v>6963335</v>
      </c>
      <c r="C7846" t="s">
        <v>8044</v>
      </c>
      <c r="D7846" t="s">
        <v>8045</v>
      </c>
      <c r="E7846" t="s">
        <v>8</v>
      </c>
    </row>
    <row r="7847" spans="1:5" hidden="1" outlineLevel="2">
      <c r="A7847" s="3" t="e">
        <f>(HYPERLINK("http://www.autodoc.ru/Web/price/art/7236ACL?analog=on","7236ACL"))*1</f>
        <v>#VALUE!</v>
      </c>
      <c r="B7847" s="1">
        <v>6964562</v>
      </c>
      <c r="C7847" t="s">
        <v>8044</v>
      </c>
      <c r="D7847" t="s">
        <v>8046</v>
      </c>
      <c r="E7847" t="s">
        <v>8</v>
      </c>
    </row>
    <row r="7848" spans="1:5" hidden="1" outlineLevel="2">
      <c r="A7848" s="3" t="e">
        <f>(HYPERLINK("http://www.autodoc.ru/Web/price/art/7236AGS2B?analog=on","7236AGS2B"))*1</f>
        <v>#VALUE!</v>
      </c>
      <c r="B7848" s="1">
        <v>6966235</v>
      </c>
      <c r="C7848" t="s">
        <v>831</v>
      </c>
      <c r="D7848" t="s">
        <v>8047</v>
      </c>
      <c r="E7848" t="s">
        <v>8</v>
      </c>
    </row>
    <row r="7849" spans="1:5" hidden="1" outlineLevel="2">
      <c r="A7849" s="3" t="e">
        <f>(HYPERLINK("http://www.autodoc.ru/Web/price/art/7236AGSBL?analog=on","7236AGSBL"))*1</f>
        <v>#VALUE!</v>
      </c>
      <c r="B7849" s="1">
        <v>6966247</v>
      </c>
      <c r="C7849" t="s">
        <v>8044</v>
      </c>
      <c r="D7849" t="s">
        <v>8048</v>
      </c>
      <c r="E7849" t="s">
        <v>8</v>
      </c>
    </row>
    <row r="7850" spans="1:5" hidden="1" outlineLevel="2">
      <c r="A7850" s="3" t="e">
        <f>(HYPERLINK("http://www.autodoc.ru/Web/price/art/7236AGSGN?analog=on","7236AGSGN"))*1</f>
        <v>#VALUE!</v>
      </c>
      <c r="B7850" s="1">
        <v>6966246</v>
      </c>
      <c r="C7850" t="s">
        <v>8044</v>
      </c>
      <c r="D7850" t="s">
        <v>8049</v>
      </c>
      <c r="E7850" t="s">
        <v>8</v>
      </c>
    </row>
    <row r="7851" spans="1:5" hidden="1" outlineLevel="2">
      <c r="A7851" s="3" t="e">
        <f>(HYPERLINK("http://www.autodoc.ru/Web/price/art/7236ASMH?analog=on","7236ASMH"))*1</f>
        <v>#VALUE!</v>
      </c>
      <c r="B7851" s="1">
        <v>6100356</v>
      </c>
      <c r="C7851" t="s">
        <v>19</v>
      </c>
      <c r="D7851" t="s">
        <v>8050</v>
      </c>
      <c r="E7851" t="s">
        <v>21</v>
      </c>
    </row>
    <row r="7852" spans="1:5" hidden="1" outlineLevel="2">
      <c r="A7852" s="3" t="e">
        <f>(HYPERLINK("http://www.autodoc.ru/Web/price/art/7236BGNH?analog=on","7236BGNH"))*1</f>
        <v>#VALUE!</v>
      </c>
      <c r="B7852" s="1">
        <v>6997604</v>
      </c>
      <c r="C7852" t="s">
        <v>8044</v>
      </c>
      <c r="D7852" t="s">
        <v>8051</v>
      </c>
      <c r="E7852" t="s">
        <v>23</v>
      </c>
    </row>
    <row r="7853" spans="1:5" hidden="1" outlineLevel="2">
      <c r="A7853" s="3" t="e">
        <f>(HYPERLINK("http://www.autodoc.ru/Web/price/art/7236BSRH?analog=on","7236BSRH"))*1</f>
        <v>#VALUE!</v>
      </c>
      <c r="B7853" s="1">
        <v>6100355</v>
      </c>
      <c r="C7853" t="s">
        <v>19</v>
      </c>
      <c r="D7853" t="s">
        <v>8052</v>
      </c>
      <c r="E7853" t="s">
        <v>21</v>
      </c>
    </row>
    <row r="7854" spans="1:5" hidden="1" outlineLevel="2">
      <c r="A7854" s="3" t="e">
        <f>(HYPERLINK("http://www.autodoc.ru/Web/price/art/7236LGNH3FD?analog=on","7236LGNH3FD"))*1</f>
        <v>#VALUE!</v>
      </c>
      <c r="B7854" s="1">
        <v>6994606</v>
      </c>
      <c r="C7854" t="s">
        <v>8044</v>
      </c>
      <c r="D7854" t="s">
        <v>8053</v>
      </c>
      <c r="E7854" t="s">
        <v>10</v>
      </c>
    </row>
    <row r="7855" spans="1:5" hidden="1" outlineLevel="2">
      <c r="A7855" s="3" t="e">
        <f>(HYPERLINK("http://www.autodoc.ru/Web/price/art/7236LGNH3RQ?analog=on","7236LGNH3RQ"))*1</f>
        <v>#VALUE!</v>
      </c>
      <c r="B7855" s="1">
        <v>6997603</v>
      </c>
      <c r="C7855" t="s">
        <v>8044</v>
      </c>
      <c r="D7855" t="s">
        <v>8054</v>
      </c>
      <c r="E7855" t="s">
        <v>10</v>
      </c>
    </row>
    <row r="7856" spans="1:5" hidden="1" outlineLevel="2">
      <c r="A7856" s="3" t="e">
        <f>(HYPERLINK("http://www.autodoc.ru/Web/price/art/7236RGNH3FD?analog=on","7236RGNH3FD"))*1</f>
        <v>#VALUE!</v>
      </c>
      <c r="B7856" s="1">
        <v>6994608</v>
      </c>
      <c r="C7856" t="s">
        <v>8044</v>
      </c>
      <c r="D7856" t="s">
        <v>8055</v>
      </c>
      <c r="E7856" t="s">
        <v>10</v>
      </c>
    </row>
    <row r="7857" spans="1:5" hidden="1" outlineLevel="2">
      <c r="A7857" s="3" t="e">
        <f>(HYPERLINK("http://www.autodoc.ru/Web/price/art/7236RGNH3RQ?analog=on","7236RGNH3RQ"))*1</f>
        <v>#VALUE!</v>
      </c>
      <c r="B7857" s="1">
        <v>6997602</v>
      </c>
      <c r="C7857" t="s">
        <v>8044</v>
      </c>
      <c r="D7857" t="s">
        <v>8056</v>
      </c>
      <c r="E7857" t="s">
        <v>10</v>
      </c>
    </row>
    <row r="7858" spans="1:5" hidden="1" outlineLevel="1">
      <c r="A7858" s="2">
        <v>0</v>
      </c>
      <c r="B7858" s="26" t="s">
        <v>8057</v>
      </c>
      <c r="C7858" s="27">
        <v>0</v>
      </c>
      <c r="D7858" s="27">
        <v>0</v>
      </c>
      <c r="E7858" s="27">
        <v>0</v>
      </c>
    </row>
    <row r="7859" spans="1:5" hidden="1" outlineLevel="2">
      <c r="A7859" s="3" t="e">
        <f>(HYPERLINK("http://www.autodoc.ru/Web/price/art/7250ACDMVW1M?analog=on","7250ACDMVW1M"))*1</f>
        <v>#VALUE!</v>
      </c>
      <c r="B7859" s="1">
        <v>6961258</v>
      </c>
      <c r="C7859" t="s">
        <v>2176</v>
      </c>
      <c r="D7859" t="s">
        <v>8058</v>
      </c>
      <c r="E7859" t="s">
        <v>8</v>
      </c>
    </row>
    <row r="7860" spans="1:5" hidden="1" outlineLevel="1">
      <c r="A7860" s="2">
        <v>0</v>
      </c>
      <c r="B7860" s="26" t="s">
        <v>8059</v>
      </c>
      <c r="C7860" s="27">
        <v>0</v>
      </c>
      <c r="D7860" s="27">
        <v>0</v>
      </c>
      <c r="E7860" s="27">
        <v>0</v>
      </c>
    </row>
    <row r="7861" spans="1:5" hidden="1" outlineLevel="2">
      <c r="A7861" s="3" t="e">
        <f>(HYPERLINK("http://www.autodoc.ru/Web/price/art/7219ACL?analog=on","7219ACL"))*1</f>
        <v>#VALUE!</v>
      </c>
      <c r="B7861" s="1">
        <v>6963501</v>
      </c>
      <c r="C7861" t="s">
        <v>8060</v>
      </c>
      <c r="D7861" t="s">
        <v>8061</v>
      </c>
      <c r="E7861" t="s">
        <v>8</v>
      </c>
    </row>
    <row r="7862" spans="1:5" hidden="1" outlineLevel="2">
      <c r="A7862" s="3" t="e">
        <f>(HYPERLINK("http://www.autodoc.ru/Web/price/art/7219AGN?analog=on","7219AGN"))*1</f>
        <v>#VALUE!</v>
      </c>
      <c r="B7862" s="1">
        <v>6964183</v>
      </c>
      <c r="C7862" t="s">
        <v>8060</v>
      </c>
      <c r="D7862" t="s">
        <v>8062</v>
      </c>
      <c r="E7862" t="s">
        <v>8</v>
      </c>
    </row>
    <row r="7863" spans="1:5" hidden="1" outlineLevel="1">
      <c r="A7863" s="2">
        <v>0</v>
      </c>
      <c r="B7863" s="26" t="s">
        <v>8063</v>
      </c>
      <c r="C7863" s="27">
        <v>0</v>
      </c>
      <c r="D7863" s="27">
        <v>0</v>
      </c>
      <c r="E7863" s="27">
        <v>0</v>
      </c>
    </row>
    <row r="7864" spans="1:5" hidden="1" outlineLevel="2">
      <c r="A7864" s="3" t="e">
        <f>(HYPERLINK("http://www.autodoc.ru/Web/price/art/7233AGN?analog=on","7233AGN"))*1</f>
        <v>#VALUE!</v>
      </c>
      <c r="B7864" s="1">
        <v>6963502</v>
      </c>
      <c r="C7864" t="s">
        <v>4409</v>
      </c>
      <c r="D7864" t="s">
        <v>8064</v>
      </c>
      <c r="E7864" t="s">
        <v>8</v>
      </c>
    </row>
    <row r="7865" spans="1:5" hidden="1" outlineLevel="2">
      <c r="A7865" s="3" t="e">
        <f>(HYPERLINK("http://www.autodoc.ru/Web/price/art/7233AGNGN?analog=on","7233AGNGN"))*1</f>
        <v>#VALUE!</v>
      </c>
      <c r="B7865" s="1">
        <v>6963795</v>
      </c>
      <c r="C7865" t="s">
        <v>4409</v>
      </c>
      <c r="D7865" t="s">
        <v>8065</v>
      </c>
      <c r="E7865" t="s">
        <v>8</v>
      </c>
    </row>
    <row r="7866" spans="1:5" hidden="1" outlineLevel="2">
      <c r="A7866" s="3" t="e">
        <f>(HYPERLINK("http://www.autodoc.ru/Web/price/art/7233ASML?analog=on","7233ASML"))*1</f>
        <v>#VALUE!</v>
      </c>
      <c r="B7866" s="1">
        <v>6100307</v>
      </c>
      <c r="C7866" t="s">
        <v>19</v>
      </c>
      <c r="D7866" t="s">
        <v>8066</v>
      </c>
      <c r="E7866" t="s">
        <v>21</v>
      </c>
    </row>
    <row r="7867" spans="1:5" hidden="1" outlineLevel="2">
      <c r="A7867" s="3" t="e">
        <f>(HYPERLINK("http://www.autodoc.ru/Web/price/art/7233FGNL2FD?analog=on","7233FGNL2FD"))*1</f>
        <v>#VALUE!</v>
      </c>
      <c r="B7867" s="1">
        <v>6900374</v>
      </c>
      <c r="C7867" t="s">
        <v>4409</v>
      </c>
      <c r="D7867" t="s">
        <v>8067</v>
      </c>
      <c r="E7867" t="s">
        <v>10</v>
      </c>
    </row>
    <row r="7868" spans="1:5" hidden="1" outlineLevel="1">
      <c r="A7868" s="2">
        <v>0</v>
      </c>
      <c r="B7868" s="26" t="s">
        <v>8068</v>
      </c>
      <c r="C7868" s="27">
        <v>0</v>
      </c>
      <c r="D7868" s="27">
        <v>0</v>
      </c>
      <c r="E7868" s="27">
        <v>0</v>
      </c>
    </row>
    <row r="7869" spans="1:5" hidden="1" outlineLevel="2">
      <c r="A7869" s="3" t="e">
        <f>(HYPERLINK("http://www.autodoc.ru/Web/price/art/7270ACL?analog=on","7270ACL"))*1</f>
        <v>#VALUE!</v>
      </c>
      <c r="B7869" s="1">
        <v>6190169</v>
      </c>
      <c r="C7869" t="s">
        <v>19</v>
      </c>
      <c r="D7869" t="s">
        <v>8069</v>
      </c>
      <c r="E7869" t="s">
        <v>8</v>
      </c>
    </row>
    <row r="7870" spans="1:5" hidden="1" outlineLevel="1">
      <c r="A7870" s="2">
        <v>0</v>
      </c>
      <c r="B7870" s="26" t="s">
        <v>8070</v>
      </c>
      <c r="C7870" s="27">
        <v>0</v>
      </c>
      <c r="D7870" s="27">
        <v>0</v>
      </c>
      <c r="E7870" s="27">
        <v>0</v>
      </c>
    </row>
    <row r="7871" spans="1:5" hidden="1" outlineLevel="2">
      <c r="A7871" s="3" t="e">
        <f>(HYPERLINK("http://www.autodoc.ru/Web/price/art/7223ACL1C?analog=on","7223ACL1C"))*1</f>
        <v>#VALUE!</v>
      </c>
      <c r="B7871" s="1">
        <v>6966202</v>
      </c>
      <c r="C7871" t="s">
        <v>8071</v>
      </c>
      <c r="D7871" t="s">
        <v>8072</v>
      </c>
      <c r="E7871" t="s">
        <v>8</v>
      </c>
    </row>
    <row r="7872" spans="1:5" hidden="1" outlineLevel="2">
      <c r="A7872" s="3" t="e">
        <f>(HYPERLINK("http://www.autodoc.ru/Web/price/art/7223ASRV?analog=on","7223ASRV"))*1</f>
        <v>#VALUE!</v>
      </c>
      <c r="B7872" s="1">
        <v>6100367</v>
      </c>
      <c r="C7872" t="s">
        <v>19</v>
      </c>
      <c r="D7872" t="s">
        <v>8073</v>
      </c>
      <c r="E7872" t="s">
        <v>21</v>
      </c>
    </row>
    <row r="7873" spans="1:5" hidden="1" outlineLevel="1">
      <c r="A7873" s="2">
        <v>0</v>
      </c>
      <c r="B7873" s="26" t="s">
        <v>8074</v>
      </c>
      <c r="C7873" s="27">
        <v>0</v>
      </c>
      <c r="D7873" s="27">
        <v>0</v>
      </c>
      <c r="E7873" s="27">
        <v>0</v>
      </c>
    </row>
    <row r="7874" spans="1:5" hidden="1" outlineLevel="2">
      <c r="A7874" s="3" t="e">
        <f>(HYPERLINK("http://www.autodoc.ru/Web/price/art/7247ACC?analog=on","7247ACC"))*1</f>
        <v>#VALUE!</v>
      </c>
      <c r="B7874" s="1">
        <v>6960773</v>
      </c>
      <c r="C7874" t="s">
        <v>1687</v>
      </c>
      <c r="D7874" t="s">
        <v>8075</v>
      </c>
      <c r="E7874" t="s">
        <v>8</v>
      </c>
    </row>
    <row r="7875" spans="1:5" hidden="1" outlineLevel="2">
      <c r="A7875" s="3" t="e">
        <f>(HYPERLINK("http://www.autodoc.ru/Web/price/art/7247AGN?analog=on","7247AGN"))*1</f>
        <v>#VALUE!</v>
      </c>
      <c r="B7875" s="1">
        <v>6961437</v>
      </c>
      <c r="C7875" t="s">
        <v>1687</v>
      </c>
      <c r="D7875" t="s">
        <v>8076</v>
      </c>
      <c r="E7875" t="s">
        <v>8</v>
      </c>
    </row>
    <row r="7876" spans="1:5" hidden="1" outlineLevel="2">
      <c r="A7876" s="3" t="e">
        <f>(HYPERLINK("http://www.autodoc.ru/Web/price/art/7247AGNBL?analog=on","7247AGNBL"))*1</f>
        <v>#VALUE!</v>
      </c>
      <c r="B7876" s="1">
        <v>6962398</v>
      </c>
      <c r="C7876" t="s">
        <v>1687</v>
      </c>
      <c r="D7876" t="s">
        <v>8077</v>
      </c>
      <c r="E7876" t="s">
        <v>8</v>
      </c>
    </row>
    <row r="7877" spans="1:5" hidden="1" outlineLevel="2">
      <c r="A7877" s="3" t="e">
        <f>(HYPERLINK("http://www.autodoc.ru/Web/price/art/7247AGNH?analog=on","7247AGNH"))*1</f>
        <v>#VALUE!</v>
      </c>
      <c r="B7877" s="1">
        <v>6961438</v>
      </c>
      <c r="C7877" t="s">
        <v>1687</v>
      </c>
      <c r="D7877" t="s">
        <v>8078</v>
      </c>
      <c r="E7877" t="s">
        <v>8</v>
      </c>
    </row>
    <row r="7878" spans="1:5" hidden="1" outlineLevel="2">
      <c r="A7878" s="3" t="e">
        <f>(HYPERLINK("http://www.autodoc.ru/Web/price/art/7247AKKV1F?analog=on","7247AKKV1F"))*1</f>
        <v>#VALUE!</v>
      </c>
      <c r="B7878" s="1">
        <v>6102375</v>
      </c>
      <c r="C7878" t="s">
        <v>19</v>
      </c>
      <c r="D7878" t="s">
        <v>8079</v>
      </c>
      <c r="E7878" t="s">
        <v>21</v>
      </c>
    </row>
    <row r="7879" spans="1:5" hidden="1" outlineLevel="2">
      <c r="A7879" s="3" t="e">
        <f>(HYPERLINK("http://www.autodoc.ru/Web/price/art/7247ASMV?analog=on","7247ASMV"))*1</f>
        <v>#VALUE!</v>
      </c>
      <c r="B7879" s="1">
        <v>6100524</v>
      </c>
      <c r="C7879" t="s">
        <v>19</v>
      </c>
      <c r="D7879" t="s">
        <v>8080</v>
      </c>
      <c r="E7879" t="s">
        <v>21</v>
      </c>
    </row>
    <row r="7880" spans="1:5" hidden="1" outlineLevel="2">
      <c r="A7880" s="3" t="e">
        <f>(HYPERLINK("http://www.autodoc.ru/Web/price/art/7247BGNVL1J?analog=on","7247BGNVL1J"))*1</f>
        <v>#VALUE!</v>
      </c>
      <c r="B7880" s="1">
        <v>6991178</v>
      </c>
      <c r="C7880" t="s">
        <v>1687</v>
      </c>
      <c r="D7880" t="s">
        <v>8081</v>
      </c>
      <c r="E7880" t="s">
        <v>23</v>
      </c>
    </row>
    <row r="7881" spans="1:5" hidden="1" outlineLevel="2">
      <c r="A7881" s="3" t="e">
        <f>(HYPERLINK("http://www.autodoc.ru/Web/price/art/7247BGNVLU1J?analog=on","7247BGNVLU1J"))*1</f>
        <v>#VALUE!</v>
      </c>
      <c r="B7881" s="1">
        <v>6993461</v>
      </c>
      <c r="C7881" t="s">
        <v>1687</v>
      </c>
      <c r="D7881" t="s">
        <v>8082</v>
      </c>
      <c r="E7881" t="s">
        <v>23</v>
      </c>
    </row>
    <row r="7882" spans="1:5" hidden="1" outlineLevel="2">
      <c r="A7882" s="3" t="e">
        <f>(HYPERLINK("http://www.autodoc.ru/Web/price/art/7247BGNVR?analog=on","7247BGNVR"))*1</f>
        <v>#VALUE!</v>
      </c>
      <c r="B7882" s="1">
        <v>6994844</v>
      </c>
      <c r="C7882" t="s">
        <v>1687</v>
      </c>
      <c r="D7882" t="s">
        <v>8083</v>
      </c>
      <c r="E7882" t="s">
        <v>23</v>
      </c>
    </row>
    <row r="7883" spans="1:5" hidden="1" outlineLevel="2">
      <c r="A7883" s="3" t="e">
        <f>(HYPERLINK("http://www.autodoc.ru/Web/price/art/7247BGNVR1J?analog=on","7247BGNVR1J"))*1</f>
        <v>#VALUE!</v>
      </c>
      <c r="B7883" s="1">
        <v>6991179</v>
      </c>
      <c r="C7883" t="s">
        <v>1687</v>
      </c>
      <c r="D7883" t="s">
        <v>8084</v>
      </c>
      <c r="E7883" t="s">
        <v>23</v>
      </c>
    </row>
    <row r="7884" spans="1:5" hidden="1" outlineLevel="2">
      <c r="A7884" s="3" t="e">
        <f>(HYPERLINK("http://www.autodoc.ru/Web/price/art/7247BGNVRU1J?analog=on","7247BGNVRU1J"))*1</f>
        <v>#VALUE!</v>
      </c>
      <c r="B7884" s="1">
        <v>6993463</v>
      </c>
      <c r="C7884" t="s">
        <v>1687</v>
      </c>
      <c r="D7884" t="s">
        <v>8085</v>
      </c>
      <c r="E7884" t="s">
        <v>23</v>
      </c>
    </row>
    <row r="7885" spans="1:5" hidden="1" outlineLevel="2">
      <c r="A7885" s="3" t="e">
        <f>(HYPERLINK("http://www.autodoc.ru/Web/price/art/7247LGSV4FDW?analog=on","7247LGSV4FDW"))*1</f>
        <v>#VALUE!</v>
      </c>
      <c r="B7885" s="1">
        <v>6190183</v>
      </c>
      <c r="C7885" t="s">
        <v>1687</v>
      </c>
      <c r="D7885" t="s">
        <v>8086</v>
      </c>
      <c r="E7885" t="s">
        <v>10</v>
      </c>
    </row>
    <row r="7886" spans="1:5" hidden="1" outlineLevel="2">
      <c r="A7886" s="3" t="e">
        <f>(HYPERLINK("http://www.autodoc.ru/Web/price/art/7247LGSV4FV?analog=on","7247LGSV4FV"))*1</f>
        <v>#VALUE!</v>
      </c>
      <c r="B7886" s="1">
        <v>6190184</v>
      </c>
      <c r="C7886" t="s">
        <v>1687</v>
      </c>
      <c r="D7886" t="s">
        <v>8087</v>
      </c>
      <c r="E7886" t="s">
        <v>10</v>
      </c>
    </row>
    <row r="7887" spans="1:5" hidden="1" outlineLevel="2">
      <c r="A7887" s="3" t="e">
        <f>(HYPERLINK("http://www.autodoc.ru/Web/price/art/7247RGSV4FDW?analog=on","7247RGSV4FDW"))*1</f>
        <v>#VALUE!</v>
      </c>
      <c r="B7887" s="1">
        <v>6190185</v>
      </c>
      <c r="C7887" t="s">
        <v>1687</v>
      </c>
      <c r="D7887" t="s">
        <v>8088</v>
      </c>
      <c r="E7887" t="s">
        <v>10</v>
      </c>
    </row>
    <row r="7888" spans="1:5" hidden="1" outlineLevel="2">
      <c r="A7888" s="3" t="e">
        <f>(HYPERLINK("http://www.autodoc.ru/Web/price/art/7247RGSV4FV?analog=on","7247RGSV4FV"))*1</f>
        <v>#VALUE!</v>
      </c>
      <c r="B7888" s="1">
        <v>6190186</v>
      </c>
      <c r="C7888" t="s">
        <v>1687</v>
      </c>
      <c r="D7888" t="s">
        <v>8089</v>
      </c>
      <c r="E7888" t="s">
        <v>10</v>
      </c>
    </row>
    <row r="7889" spans="1:5" hidden="1" outlineLevel="1">
      <c r="A7889" s="2">
        <v>0</v>
      </c>
      <c r="B7889" s="26" t="s">
        <v>8090</v>
      </c>
      <c r="C7889" s="27">
        <v>0</v>
      </c>
      <c r="D7889" s="27">
        <v>0</v>
      </c>
      <c r="E7889" s="27">
        <v>0</v>
      </c>
    </row>
    <row r="7890" spans="1:5" hidden="1" outlineLevel="2">
      <c r="A7890" s="3" t="e">
        <f>(HYPERLINK("http://www.autodoc.ru/Web/price/art/7253ACLW?analog=on","7253ACLW"))*1</f>
        <v>#VALUE!</v>
      </c>
      <c r="B7890" s="1">
        <v>6960813</v>
      </c>
      <c r="C7890" t="s">
        <v>1974</v>
      </c>
      <c r="D7890" t="s">
        <v>8091</v>
      </c>
      <c r="E7890" t="s">
        <v>8</v>
      </c>
    </row>
    <row r="7891" spans="1:5" hidden="1" outlineLevel="2">
      <c r="A7891" s="3" t="e">
        <f>(HYPERLINK("http://www.autodoc.ru/Web/price/art/7253AGNBLW?analog=on","7253AGNBLW"))*1</f>
        <v>#VALUE!</v>
      </c>
      <c r="B7891" s="1">
        <v>6961062</v>
      </c>
      <c r="C7891" t="s">
        <v>1974</v>
      </c>
      <c r="D7891" t="s">
        <v>8092</v>
      </c>
      <c r="E7891" t="s">
        <v>8</v>
      </c>
    </row>
    <row r="7892" spans="1:5" hidden="1" outlineLevel="2">
      <c r="A7892" s="3" t="e">
        <f>(HYPERLINK("http://www.autodoc.ru/Web/price/art/7253AGNW?analog=on","7253AGNW"))*1</f>
        <v>#VALUE!</v>
      </c>
      <c r="B7892" s="1">
        <v>6960812</v>
      </c>
      <c r="C7892" t="s">
        <v>1974</v>
      </c>
      <c r="D7892" t="s">
        <v>8093</v>
      </c>
      <c r="E7892" t="s">
        <v>8</v>
      </c>
    </row>
    <row r="7893" spans="1:5" hidden="1" outlineLevel="2">
      <c r="A7893" s="3" t="e">
        <f>(HYPERLINK("http://www.autodoc.ru/Web/price/art/7253ASML?analog=on","7253ASML"))*1</f>
        <v>#VALUE!</v>
      </c>
      <c r="B7893" s="1">
        <v>6101436</v>
      </c>
      <c r="C7893" t="s">
        <v>19</v>
      </c>
      <c r="D7893" t="s">
        <v>8094</v>
      </c>
      <c r="E7893" t="s">
        <v>21</v>
      </c>
    </row>
    <row r="7894" spans="1:5" hidden="1" outlineLevel="1">
      <c r="A7894" s="2">
        <v>0</v>
      </c>
      <c r="B7894" s="26" t="s">
        <v>8095</v>
      </c>
      <c r="C7894" s="27">
        <v>0</v>
      </c>
      <c r="D7894" s="27">
        <v>0</v>
      </c>
      <c r="E7894" s="27">
        <v>0</v>
      </c>
    </row>
    <row r="7895" spans="1:5" hidden="1" outlineLevel="2">
      <c r="A7895" s="3" t="e">
        <f>(HYPERLINK("http://www.autodoc.ru/Web/price/art/7242AGN?analog=on","7242AGN"))*1</f>
        <v>#VALUE!</v>
      </c>
      <c r="B7895" s="1">
        <v>6963767</v>
      </c>
      <c r="C7895" t="s">
        <v>1007</v>
      </c>
      <c r="D7895" t="s">
        <v>8096</v>
      </c>
      <c r="E7895" t="s">
        <v>8</v>
      </c>
    </row>
    <row r="7896" spans="1:5" hidden="1" outlineLevel="2">
      <c r="A7896" s="3" t="e">
        <f>(HYPERLINK("http://www.autodoc.ru/Web/price/art/7242AGNGN?analog=on","7242AGNGN"))*1</f>
        <v>#VALUE!</v>
      </c>
      <c r="B7896" s="1">
        <v>6963285</v>
      </c>
      <c r="C7896" t="s">
        <v>1007</v>
      </c>
      <c r="D7896" t="s">
        <v>8097</v>
      </c>
      <c r="E7896" t="s">
        <v>8</v>
      </c>
    </row>
    <row r="7897" spans="1:5" hidden="1" outlineLevel="2">
      <c r="A7897" s="3" t="e">
        <f>(HYPERLINK("http://www.autodoc.ru/Web/price/art/7242ASML?analog=on","7242ASML"))*1</f>
        <v>#VALUE!</v>
      </c>
      <c r="B7897" s="1">
        <v>6100469</v>
      </c>
      <c r="C7897" t="s">
        <v>19</v>
      </c>
      <c r="D7897" t="s">
        <v>8098</v>
      </c>
      <c r="E7897" t="s">
        <v>21</v>
      </c>
    </row>
    <row r="7898" spans="1:5" hidden="1" outlineLevel="2">
      <c r="A7898" s="3" t="e">
        <f>(HYPERLINK("http://www.autodoc.ru/Web/price/art/7242LGNL2FD?analog=on","7242LGNL2FD"))*1</f>
        <v>#VALUE!</v>
      </c>
      <c r="B7898" s="1">
        <v>6996272</v>
      </c>
      <c r="C7898" t="s">
        <v>1007</v>
      </c>
      <c r="D7898" t="s">
        <v>8099</v>
      </c>
      <c r="E7898" t="s">
        <v>10</v>
      </c>
    </row>
    <row r="7899" spans="1:5" hidden="1" outlineLevel="2">
      <c r="A7899" s="3" t="e">
        <f>(HYPERLINK("http://www.autodoc.ru/Web/price/art/7242RGNL2FD?analog=on","7242RGNL2FD"))*1</f>
        <v>#VALUE!</v>
      </c>
      <c r="B7899" s="1">
        <v>6996273</v>
      </c>
      <c r="C7899" t="s">
        <v>1007</v>
      </c>
      <c r="D7899" t="s">
        <v>8099</v>
      </c>
      <c r="E7899" t="s">
        <v>10</v>
      </c>
    </row>
    <row r="7900" spans="1:5" collapsed="1">
      <c r="A7900" s="28" t="s">
        <v>4255</v>
      </c>
      <c r="B7900" s="28">
        <v>0</v>
      </c>
      <c r="C7900" s="28">
        <v>0</v>
      </c>
      <c r="D7900" s="28">
        <v>0</v>
      </c>
      <c r="E7900" s="28">
        <v>0</v>
      </c>
    </row>
    <row r="7901" spans="1:5" hidden="1" outlineLevel="1">
      <c r="A7901" s="2">
        <v>0</v>
      </c>
      <c r="B7901" s="26" t="s">
        <v>8100</v>
      </c>
      <c r="C7901" s="27">
        <v>0</v>
      </c>
      <c r="D7901" s="27">
        <v>0</v>
      </c>
      <c r="E7901" s="27">
        <v>0</v>
      </c>
    </row>
    <row r="7902" spans="1:5" hidden="1" outlineLevel="2">
      <c r="A7902" s="3" t="e">
        <f>(HYPERLINK("http://www.autodoc.ru/Web/price/art/7035AGNPV?analog=on","7035AGNPV"))*1</f>
        <v>#VALUE!</v>
      </c>
      <c r="B7902" s="1">
        <v>6961433</v>
      </c>
      <c r="C7902" t="s">
        <v>359</v>
      </c>
      <c r="D7902" t="s">
        <v>8101</v>
      </c>
      <c r="E7902" t="s">
        <v>8</v>
      </c>
    </row>
    <row r="7903" spans="1:5" hidden="1" outlineLevel="2">
      <c r="A7903" s="3" t="e">
        <f>(HYPERLINK("http://www.autodoc.ru/Web/price/art/7035AGNPV6T?analog=on","7035AGNPV6T"))*1</f>
        <v>#VALUE!</v>
      </c>
      <c r="B7903" s="1">
        <v>6961241</v>
      </c>
      <c r="C7903" t="s">
        <v>359</v>
      </c>
      <c r="D7903" t="s">
        <v>8102</v>
      </c>
      <c r="E7903" t="s">
        <v>8</v>
      </c>
    </row>
    <row r="7904" spans="1:5" hidden="1" outlineLevel="2">
      <c r="A7904" s="3" t="e">
        <f>(HYPERLINK("http://www.autodoc.ru/Web/price/art/7035AGNV?analog=on","7035AGNV"))*1</f>
        <v>#VALUE!</v>
      </c>
      <c r="B7904" s="1">
        <v>6961434</v>
      </c>
      <c r="C7904" t="s">
        <v>359</v>
      </c>
      <c r="D7904" t="s">
        <v>8103</v>
      </c>
      <c r="E7904" t="s">
        <v>8</v>
      </c>
    </row>
    <row r="7905" spans="1:5" hidden="1" outlineLevel="2">
      <c r="A7905" s="3" t="e">
        <f>(HYPERLINK("http://www.autodoc.ru/Web/price/art/7035LGNS4FD?analog=on","7035LGNS4FD"))*1</f>
        <v>#VALUE!</v>
      </c>
      <c r="B7905" s="1">
        <v>6999513</v>
      </c>
      <c r="C7905" t="s">
        <v>359</v>
      </c>
      <c r="D7905" t="s">
        <v>8104</v>
      </c>
      <c r="E7905" t="s">
        <v>10</v>
      </c>
    </row>
    <row r="7906" spans="1:5" hidden="1" outlineLevel="2">
      <c r="A7906" s="3" t="e">
        <f>(HYPERLINK("http://www.autodoc.ru/Web/price/art/7035LGNS4RD?analog=on","7035LGNS4RD"))*1</f>
        <v>#VALUE!</v>
      </c>
      <c r="B7906" s="1">
        <v>6999511</v>
      </c>
      <c r="C7906" t="s">
        <v>359</v>
      </c>
      <c r="D7906" t="s">
        <v>8105</v>
      </c>
      <c r="E7906" t="s">
        <v>10</v>
      </c>
    </row>
    <row r="7907" spans="1:5" hidden="1" outlineLevel="2">
      <c r="A7907" s="3" t="e">
        <f>(HYPERLINK("http://www.autodoc.ru/Web/price/art/7035LGNS4RV?analog=on","7035LGNS4RV"))*1</f>
        <v>#VALUE!</v>
      </c>
      <c r="B7907" s="1">
        <v>6999515</v>
      </c>
      <c r="C7907" t="s">
        <v>359</v>
      </c>
      <c r="D7907" t="s">
        <v>8106</v>
      </c>
      <c r="E7907" t="s">
        <v>10</v>
      </c>
    </row>
    <row r="7908" spans="1:5" hidden="1" outlineLevel="2">
      <c r="A7908" s="3" t="e">
        <f>(HYPERLINK("http://www.autodoc.ru/Web/price/art/7035LGSE5RD?analog=on","7035LGSE5RD"))*1</f>
        <v>#VALUE!</v>
      </c>
      <c r="B7908" s="1">
        <v>6990779</v>
      </c>
      <c r="C7908" t="s">
        <v>359</v>
      </c>
      <c r="D7908" t="s">
        <v>8107</v>
      </c>
      <c r="E7908" t="s">
        <v>10</v>
      </c>
    </row>
    <row r="7909" spans="1:5" hidden="1" outlineLevel="2">
      <c r="A7909" s="3" t="e">
        <f>(HYPERLINK("http://www.autodoc.ru/Web/price/art/7035LGSE5RV?analog=on","7035LGSE5RV"))*1</f>
        <v>#VALUE!</v>
      </c>
      <c r="B7909" s="1">
        <v>6990480</v>
      </c>
      <c r="C7909" t="s">
        <v>359</v>
      </c>
      <c r="D7909" t="s">
        <v>8108</v>
      </c>
      <c r="E7909" t="s">
        <v>10</v>
      </c>
    </row>
    <row r="7910" spans="1:5" hidden="1" outlineLevel="2">
      <c r="A7910" s="3" t="e">
        <f>(HYPERLINK("http://www.autodoc.ru/Web/price/art/7035RGNS4FD?analog=on","7035RGNS4FD"))*1</f>
        <v>#VALUE!</v>
      </c>
      <c r="B7910" s="1">
        <v>6999512</v>
      </c>
      <c r="C7910" t="s">
        <v>359</v>
      </c>
      <c r="D7910" t="s">
        <v>8109</v>
      </c>
      <c r="E7910" t="s">
        <v>10</v>
      </c>
    </row>
    <row r="7911" spans="1:5" hidden="1" outlineLevel="2">
      <c r="A7911" s="3" t="e">
        <f>(HYPERLINK("http://www.autodoc.ru/Web/price/art/7035RGNS4RD?analog=on","7035RGNS4RD"))*1</f>
        <v>#VALUE!</v>
      </c>
      <c r="B7911" s="1">
        <v>6999510</v>
      </c>
      <c r="C7911" t="s">
        <v>359</v>
      </c>
      <c r="D7911" t="s">
        <v>8110</v>
      </c>
      <c r="E7911" t="s">
        <v>10</v>
      </c>
    </row>
    <row r="7912" spans="1:5" hidden="1" outlineLevel="2">
      <c r="A7912" s="3" t="e">
        <f>(HYPERLINK("http://www.autodoc.ru/Web/price/art/7035RGNS4RV?analog=on","7035RGNS4RV"))*1</f>
        <v>#VALUE!</v>
      </c>
      <c r="B7912" s="1">
        <v>6999514</v>
      </c>
      <c r="C7912" t="s">
        <v>359</v>
      </c>
      <c r="D7912" t="s">
        <v>8111</v>
      </c>
      <c r="E7912" t="s">
        <v>10</v>
      </c>
    </row>
    <row r="7913" spans="1:5" hidden="1" outlineLevel="2">
      <c r="A7913" s="3" t="e">
        <f>(HYPERLINK("http://www.autodoc.ru/Web/price/art/7035RGSE5RD?analog=on","7035RGSE5RD"))*1</f>
        <v>#VALUE!</v>
      </c>
      <c r="B7913" s="1">
        <v>6990777</v>
      </c>
      <c r="C7913" t="s">
        <v>359</v>
      </c>
      <c r="D7913" t="s">
        <v>8112</v>
      </c>
      <c r="E7913" t="s">
        <v>10</v>
      </c>
    </row>
    <row r="7914" spans="1:5" hidden="1" outlineLevel="2">
      <c r="A7914" s="3" t="e">
        <f>(HYPERLINK("http://www.autodoc.ru/Web/price/art/7035RGSE5RV?analog=on","7035RGSE5RV"))*1</f>
        <v>#VALUE!</v>
      </c>
      <c r="B7914" s="1">
        <v>6990478</v>
      </c>
      <c r="C7914" t="s">
        <v>359</v>
      </c>
      <c r="D7914" t="s">
        <v>8113</v>
      </c>
      <c r="E7914" t="s">
        <v>10</v>
      </c>
    </row>
    <row r="7915" spans="1:5" hidden="1" outlineLevel="1">
      <c r="A7915" s="2">
        <v>0</v>
      </c>
      <c r="B7915" s="26" t="s">
        <v>8114</v>
      </c>
      <c r="C7915" s="27">
        <v>0</v>
      </c>
      <c r="D7915" s="27">
        <v>0</v>
      </c>
      <c r="E7915" s="27">
        <v>0</v>
      </c>
    </row>
    <row r="7916" spans="1:5" hidden="1" outlineLevel="2">
      <c r="A7916" s="3" t="e">
        <f>(HYPERLINK("http://www.autodoc.ru/Web/price/art/7014ACL?analog=on","7014ACL"))*1</f>
        <v>#VALUE!</v>
      </c>
      <c r="B7916" s="1">
        <v>6969918</v>
      </c>
      <c r="C7916" t="s">
        <v>3186</v>
      </c>
      <c r="D7916" t="s">
        <v>8115</v>
      </c>
      <c r="E7916" t="s">
        <v>8</v>
      </c>
    </row>
    <row r="7917" spans="1:5" hidden="1" outlineLevel="1">
      <c r="A7917" s="2">
        <v>0</v>
      </c>
      <c r="B7917" s="26" t="s">
        <v>8116</v>
      </c>
      <c r="C7917" s="27">
        <v>0</v>
      </c>
      <c r="D7917" s="27">
        <v>0</v>
      </c>
      <c r="E7917" s="27">
        <v>0</v>
      </c>
    </row>
    <row r="7918" spans="1:5" hidden="1" outlineLevel="2">
      <c r="A7918" s="3" t="e">
        <f>(HYPERLINK("http://www.autodoc.ru/Web/price/art/7027AGNGNVZ?analog=on","7027AGNGNVZ"))*1</f>
        <v>#VALUE!</v>
      </c>
      <c r="B7918" s="1">
        <v>6969983</v>
      </c>
      <c r="C7918" t="s">
        <v>3866</v>
      </c>
      <c r="D7918" t="s">
        <v>8117</v>
      </c>
      <c r="E7918" t="s">
        <v>8</v>
      </c>
    </row>
    <row r="7919" spans="1:5" hidden="1" outlineLevel="2">
      <c r="A7919" s="3" t="e">
        <f>(HYPERLINK("http://www.autodoc.ru/Web/price/art/7027AGNVZ?analog=on","7027AGNVZ"))*1</f>
        <v>#VALUE!</v>
      </c>
      <c r="B7919" s="1">
        <v>6960951</v>
      </c>
      <c r="C7919" t="s">
        <v>3866</v>
      </c>
      <c r="D7919" t="s">
        <v>8118</v>
      </c>
      <c r="E7919" t="s">
        <v>8</v>
      </c>
    </row>
    <row r="7920" spans="1:5" hidden="1" outlineLevel="2">
      <c r="A7920" s="3" t="e">
        <f>(HYPERLINK("http://www.autodoc.ru/Web/price/art/7027ASMH?analog=on","7027ASMH"))*1</f>
        <v>#VALUE!</v>
      </c>
      <c r="B7920" s="1">
        <v>6101181</v>
      </c>
      <c r="C7920" t="s">
        <v>19</v>
      </c>
      <c r="D7920" t="s">
        <v>8119</v>
      </c>
      <c r="E7920" t="s">
        <v>21</v>
      </c>
    </row>
    <row r="7921" spans="1:5" hidden="1" outlineLevel="2">
      <c r="A7921" s="3" t="e">
        <f>(HYPERLINK("http://www.autodoc.ru/Web/price/art/7027ASMH6C?analog=on","7027ASMH6C"))*1</f>
        <v>#VALUE!</v>
      </c>
      <c r="B7921" s="1">
        <v>6102377</v>
      </c>
      <c r="C7921" t="s">
        <v>19</v>
      </c>
      <c r="D7921" t="s">
        <v>8120</v>
      </c>
      <c r="E7921" t="s">
        <v>21</v>
      </c>
    </row>
    <row r="7922" spans="1:5" hidden="1" outlineLevel="2">
      <c r="A7922" s="3" t="e">
        <f>(HYPERLINK("http://www.autodoc.ru/Web/price/art/7027BGSH1J?analog=on","7027BGSH1J"))*1</f>
        <v>#VALUE!</v>
      </c>
      <c r="B7922" s="1">
        <v>6999901</v>
      </c>
      <c r="C7922" t="s">
        <v>1495</v>
      </c>
      <c r="D7922" t="s">
        <v>8121</v>
      </c>
      <c r="E7922" t="s">
        <v>23</v>
      </c>
    </row>
    <row r="7923" spans="1:5" hidden="1" outlineLevel="2">
      <c r="A7923" s="3" t="e">
        <f>(HYPERLINK("http://www.autodoc.ru/Web/price/art/7027LGNH3FDW1M?analog=on","7027LGNH3FDW1M"))*1</f>
        <v>#VALUE!</v>
      </c>
      <c r="B7923" s="1">
        <v>6999994</v>
      </c>
      <c r="C7923" t="s">
        <v>1495</v>
      </c>
      <c r="D7923" t="s">
        <v>8122</v>
      </c>
      <c r="E7923" t="s">
        <v>10</v>
      </c>
    </row>
    <row r="7924" spans="1:5" hidden="1" outlineLevel="2">
      <c r="A7924" s="3" t="e">
        <f>(HYPERLINK("http://www.autodoc.ru/Web/price/art/7027LGNH5FDW1M?analog=on","7027LGNH5FDW1M"))*1</f>
        <v>#VALUE!</v>
      </c>
      <c r="B7924" s="1">
        <v>6999995</v>
      </c>
      <c r="C7924" t="s">
        <v>1495</v>
      </c>
      <c r="D7924" t="s">
        <v>8122</v>
      </c>
      <c r="E7924" t="s">
        <v>10</v>
      </c>
    </row>
    <row r="7925" spans="1:5" hidden="1" outlineLevel="2">
      <c r="A7925" s="3" t="e">
        <f>(HYPERLINK("http://www.autodoc.ru/Web/price/art/7027LGNH5RDW?analog=on","7027LGNH5RDW"))*1</f>
        <v>#VALUE!</v>
      </c>
      <c r="B7925" s="1">
        <v>6995602</v>
      </c>
      <c r="C7925" t="s">
        <v>3866</v>
      </c>
      <c r="D7925" t="s">
        <v>8123</v>
      </c>
      <c r="E7925" t="s">
        <v>10</v>
      </c>
    </row>
    <row r="7926" spans="1:5" hidden="1" outlineLevel="2">
      <c r="A7926" s="3" t="e">
        <f>(HYPERLINK("http://www.autodoc.ru/Web/price/art/7027RGNH3FDW1M?analog=on","7027RGNH3FDW1M"))*1</f>
        <v>#VALUE!</v>
      </c>
      <c r="B7926" s="1">
        <v>6900083</v>
      </c>
      <c r="C7926" t="s">
        <v>1495</v>
      </c>
      <c r="D7926" t="s">
        <v>8124</v>
      </c>
      <c r="E7926" t="s">
        <v>10</v>
      </c>
    </row>
    <row r="7927" spans="1:5" hidden="1" outlineLevel="2">
      <c r="A7927" s="3" t="e">
        <f>(HYPERLINK("http://www.autodoc.ru/Web/price/art/7027RGNH5FDW1M?analog=on","7027RGNH5FDW1M"))*1</f>
        <v>#VALUE!</v>
      </c>
      <c r="B7927" s="1">
        <v>6900084</v>
      </c>
      <c r="C7927" t="s">
        <v>1495</v>
      </c>
      <c r="D7927" t="s">
        <v>8125</v>
      </c>
      <c r="E7927" t="s">
        <v>10</v>
      </c>
    </row>
    <row r="7928" spans="1:5" hidden="1" outlineLevel="2">
      <c r="A7928" s="3" t="e">
        <f>(HYPERLINK("http://www.autodoc.ru/Web/price/art/7027RGNH5RDW?analog=on","7027RGNH5RDW"))*1</f>
        <v>#VALUE!</v>
      </c>
      <c r="B7928" s="1">
        <v>6995604</v>
      </c>
      <c r="C7928" t="s">
        <v>3866</v>
      </c>
      <c r="D7928" t="s">
        <v>8126</v>
      </c>
      <c r="E7928" t="s">
        <v>10</v>
      </c>
    </row>
    <row r="7929" spans="1:5" hidden="1" outlineLevel="1">
      <c r="A7929" s="2">
        <v>0</v>
      </c>
      <c r="B7929" s="26" t="s">
        <v>8127</v>
      </c>
      <c r="C7929" s="27">
        <v>0</v>
      </c>
      <c r="D7929" s="27">
        <v>0</v>
      </c>
      <c r="E7929" s="27">
        <v>0</v>
      </c>
    </row>
    <row r="7930" spans="1:5" hidden="1" outlineLevel="2">
      <c r="A7930" s="3" t="e">
        <f>(HYPERLINK("http://www.autodoc.ru/Web/price/art/7016ABLBL?analog=on","7016ABLBL"))*1</f>
        <v>#VALUE!</v>
      </c>
      <c r="B7930" s="1">
        <v>6969224</v>
      </c>
      <c r="C7930" t="s">
        <v>1141</v>
      </c>
      <c r="D7930" t="s">
        <v>8128</v>
      </c>
      <c r="E7930" t="s">
        <v>8</v>
      </c>
    </row>
    <row r="7931" spans="1:5" hidden="1" outlineLevel="2">
      <c r="A7931" s="3" t="e">
        <f>(HYPERLINK("http://www.autodoc.ru/Web/price/art/7016AGNBL?analog=on","7016AGNBL"))*1</f>
        <v>#VALUE!</v>
      </c>
      <c r="B7931" s="1">
        <v>6969923</v>
      </c>
      <c r="C7931" t="s">
        <v>1141</v>
      </c>
      <c r="D7931" t="s">
        <v>8129</v>
      </c>
      <c r="E7931" t="s">
        <v>8</v>
      </c>
    </row>
    <row r="7932" spans="1:5" hidden="1" outlineLevel="2">
      <c r="A7932" s="3" t="e">
        <f>(HYPERLINK("http://www.autodoc.ru/Web/price/art/7016AKCH?analog=on","7016AKCH"))*1</f>
        <v>#VALUE!</v>
      </c>
      <c r="B7932" s="1">
        <v>6101090</v>
      </c>
      <c r="C7932" t="s">
        <v>19</v>
      </c>
      <c r="D7932" t="s">
        <v>8130</v>
      </c>
      <c r="E7932" t="s">
        <v>21</v>
      </c>
    </row>
    <row r="7933" spans="1:5" hidden="1" outlineLevel="2">
      <c r="A7933" s="3" t="e">
        <f>(HYPERLINK("http://www.autodoc.ru/Web/price/art/7016ASMHT?analog=on","7016ASMHT"))*1</f>
        <v>#VALUE!</v>
      </c>
      <c r="B7933" s="1">
        <v>6100183</v>
      </c>
      <c r="C7933" t="s">
        <v>19</v>
      </c>
      <c r="D7933" t="s">
        <v>8131</v>
      </c>
      <c r="E7933" t="s">
        <v>21</v>
      </c>
    </row>
    <row r="7934" spans="1:5" hidden="1" outlineLevel="2">
      <c r="A7934" s="3" t="e">
        <f>(HYPERLINK("http://www.autodoc.ru/Web/price/art/7016LGNH5FDW?analog=on","7016LGNH5FDW"))*1</f>
        <v>#VALUE!</v>
      </c>
      <c r="B7934" s="1">
        <v>6999419</v>
      </c>
      <c r="C7934" t="s">
        <v>1141</v>
      </c>
      <c r="D7934" t="s">
        <v>8132</v>
      </c>
      <c r="E7934" t="s">
        <v>10</v>
      </c>
    </row>
    <row r="7935" spans="1:5" hidden="1" outlineLevel="2">
      <c r="A7935" s="3" t="e">
        <f>(HYPERLINK("http://www.autodoc.ru/Web/price/art/7016LGNH5RDW?analog=on","7016LGNH5RDW"))*1</f>
        <v>#VALUE!</v>
      </c>
      <c r="B7935" s="1">
        <v>6999313</v>
      </c>
      <c r="C7935" t="s">
        <v>1141</v>
      </c>
      <c r="D7935" t="s">
        <v>8133</v>
      </c>
      <c r="E7935" t="s">
        <v>10</v>
      </c>
    </row>
    <row r="7936" spans="1:5" hidden="1" outlineLevel="2">
      <c r="A7936" s="3" t="e">
        <f>(HYPERLINK("http://www.autodoc.ru/Web/price/art/7016RGNH5FDW?analog=on","7016RGNH5FDW"))*1</f>
        <v>#VALUE!</v>
      </c>
      <c r="B7936" s="1">
        <v>6999420</v>
      </c>
      <c r="C7936" t="s">
        <v>1141</v>
      </c>
      <c r="D7936" t="s">
        <v>8134</v>
      </c>
      <c r="E7936" t="s">
        <v>10</v>
      </c>
    </row>
    <row r="7937" spans="1:5" hidden="1" outlineLevel="2">
      <c r="A7937" s="3" t="e">
        <f>(HYPERLINK("http://www.autodoc.ru/Web/price/art/7016RGNH5RDW?analog=on","7016RGNH5RDW"))*1</f>
        <v>#VALUE!</v>
      </c>
      <c r="B7937" s="1">
        <v>6999320</v>
      </c>
      <c r="C7937" t="s">
        <v>1141</v>
      </c>
      <c r="D7937" t="s">
        <v>8135</v>
      </c>
      <c r="E7937" t="s">
        <v>10</v>
      </c>
    </row>
    <row r="7938" spans="1:5" hidden="1" outlineLevel="1">
      <c r="A7938" s="2">
        <v>0</v>
      </c>
      <c r="B7938" s="26" t="s">
        <v>8136</v>
      </c>
      <c r="C7938" s="27">
        <v>0</v>
      </c>
      <c r="D7938" s="27">
        <v>0</v>
      </c>
      <c r="E7938" s="27">
        <v>0</v>
      </c>
    </row>
    <row r="7939" spans="1:5" hidden="1" outlineLevel="2">
      <c r="A7939" s="3" t="e">
        <f>(HYPERLINK("http://www.autodoc.ru/Web/price/art/7025AGNGNVW?analog=on","7025AGNGNVW"))*1</f>
        <v>#VALUE!</v>
      </c>
      <c r="B7939" s="1">
        <v>6190187</v>
      </c>
      <c r="C7939" t="s">
        <v>36</v>
      </c>
      <c r="D7939" t="s">
        <v>8137</v>
      </c>
      <c r="E7939" t="s">
        <v>8</v>
      </c>
    </row>
    <row r="7940" spans="1:5" hidden="1" outlineLevel="2">
      <c r="A7940" s="3" t="e">
        <f>(HYPERLINK("http://www.autodoc.ru/Web/price/art/7025AGNVW?analog=on","7025AGNVW"))*1</f>
        <v>#VALUE!</v>
      </c>
      <c r="B7940" s="1">
        <v>6190188</v>
      </c>
      <c r="C7940" t="s">
        <v>36</v>
      </c>
      <c r="D7940" t="s">
        <v>8138</v>
      </c>
      <c r="E7940" t="s">
        <v>8</v>
      </c>
    </row>
    <row r="7941" spans="1:5" hidden="1" outlineLevel="2">
      <c r="A7941" s="3" t="e">
        <f>(HYPERLINK("http://www.autodoc.ru/Web/price/art/7025AKCH?analog=on","7025AKCH"))*1</f>
        <v>#VALUE!</v>
      </c>
      <c r="B7941" s="1">
        <v>6190776</v>
      </c>
      <c r="C7941" t="s">
        <v>19</v>
      </c>
      <c r="D7941" t="s">
        <v>8139</v>
      </c>
      <c r="E7941" t="s">
        <v>21</v>
      </c>
    </row>
    <row r="7942" spans="1:5" hidden="1" outlineLevel="2">
      <c r="A7942" s="3" t="e">
        <f>(HYPERLINK("http://www.autodoc.ru/Web/price/art/7025ASCH?analog=on","7025ASCH"))*1</f>
        <v>#VALUE!</v>
      </c>
      <c r="B7942" s="1">
        <v>6102378</v>
      </c>
      <c r="C7942" t="s">
        <v>19</v>
      </c>
      <c r="D7942" t="s">
        <v>8140</v>
      </c>
      <c r="E7942" t="s">
        <v>21</v>
      </c>
    </row>
    <row r="7943" spans="1:5" hidden="1" outlineLevel="2">
      <c r="A7943" s="3" t="e">
        <f>(HYPERLINK("http://www.autodoc.ru/Web/price/art/7025ASMHT?analog=on","7025ASMHT"))*1</f>
        <v>#VALUE!</v>
      </c>
      <c r="B7943" s="1">
        <v>6100373</v>
      </c>
      <c r="C7943" t="s">
        <v>19</v>
      </c>
      <c r="D7943" t="s">
        <v>8141</v>
      </c>
      <c r="E7943" t="s">
        <v>21</v>
      </c>
    </row>
    <row r="7944" spans="1:5" hidden="1" outlineLevel="2">
      <c r="A7944" s="3" t="e">
        <f>(HYPERLINK("http://www.autodoc.ru/Web/price/art/7025LGNH5FDW?analog=on","7025LGNH5FDW"))*1</f>
        <v>#VALUE!</v>
      </c>
      <c r="B7944" s="1">
        <v>6993018</v>
      </c>
      <c r="C7944" t="s">
        <v>36</v>
      </c>
      <c r="D7944" t="s">
        <v>8142</v>
      </c>
      <c r="E7944" t="s">
        <v>10</v>
      </c>
    </row>
    <row r="7945" spans="1:5" hidden="1" outlineLevel="2">
      <c r="A7945" s="3" t="e">
        <f>(HYPERLINK("http://www.autodoc.ru/Web/price/art/7025LGNH5RDW?analog=on","7025LGNH5RDW"))*1</f>
        <v>#VALUE!</v>
      </c>
      <c r="B7945" s="1">
        <v>6994797</v>
      </c>
      <c r="C7945" t="s">
        <v>36</v>
      </c>
      <c r="D7945" t="s">
        <v>8143</v>
      </c>
      <c r="E7945" t="s">
        <v>10</v>
      </c>
    </row>
    <row r="7946" spans="1:5" hidden="1" outlineLevel="2">
      <c r="A7946" s="3" t="e">
        <f>(HYPERLINK("http://www.autodoc.ru/Web/price/art/7025LGNH5RVZ?analog=on","7025LGNH5RVZ"))*1</f>
        <v>#VALUE!</v>
      </c>
      <c r="B7946" s="1">
        <v>6190189</v>
      </c>
      <c r="C7946" t="s">
        <v>36</v>
      </c>
      <c r="D7946" t="s">
        <v>8144</v>
      </c>
      <c r="E7946" t="s">
        <v>10</v>
      </c>
    </row>
    <row r="7947" spans="1:5" hidden="1" outlineLevel="2">
      <c r="A7947" s="3" t="e">
        <f>(HYPERLINK("http://www.autodoc.ru/Web/price/art/7025RGNH5FDW?analog=on","7025RGNH5FDW"))*1</f>
        <v>#VALUE!</v>
      </c>
      <c r="B7947" s="1">
        <v>6993019</v>
      </c>
      <c r="C7947" t="s">
        <v>36</v>
      </c>
      <c r="D7947" t="s">
        <v>8145</v>
      </c>
      <c r="E7947" t="s">
        <v>10</v>
      </c>
    </row>
    <row r="7948" spans="1:5" hidden="1" outlineLevel="2">
      <c r="A7948" s="3" t="e">
        <f>(HYPERLINK("http://www.autodoc.ru/Web/price/art/7025RGNH5RDW?analog=on","7025RGNH5RDW"))*1</f>
        <v>#VALUE!</v>
      </c>
      <c r="B7948" s="1">
        <v>6994799</v>
      </c>
      <c r="C7948" t="s">
        <v>36</v>
      </c>
      <c r="D7948" t="s">
        <v>8146</v>
      </c>
      <c r="E7948" t="s">
        <v>10</v>
      </c>
    </row>
    <row r="7949" spans="1:5" hidden="1" outlineLevel="2">
      <c r="A7949" s="3" t="e">
        <f>(HYPERLINK("http://www.autodoc.ru/Web/price/art/7025RGNH5RVZ?analog=on","7025RGNH5RVZ"))*1</f>
        <v>#VALUE!</v>
      </c>
      <c r="B7949" s="1">
        <v>6190190</v>
      </c>
      <c r="C7949" t="s">
        <v>36</v>
      </c>
      <c r="D7949" t="s">
        <v>8147</v>
      </c>
      <c r="E7949" t="s">
        <v>10</v>
      </c>
    </row>
    <row r="7950" spans="1:5" hidden="1" outlineLevel="1">
      <c r="A7950" s="2">
        <v>0</v>
      </c>
      <c r="B7950" s="26" t="s">
        <v>8148</v>
      </c>
      <c r="C7950" s="27">
        <v>0</v>
      </c>
      <c r="D7950" s="27">
        <v>0</v>
      </c>
      <c r="E7950" s="27">
        <v>0</v>
      </c>
    </row>
    <row r="7951" spans="1:5" hidden="1" outlineLevel="2">
      <c r="A7951" s="3" t="e">
        <f>(HYPERLINK("http://www.autodoc.ru/Web/price/art/7020AGN?analog=on","7020AGN"))*1</f>
        <v>#VALUE!</v>
      </c>
      <c r="B7951" s="1">
        <v>6969936</v>
      </c>
      <c r="C7951" t="s">
        <v>2497</v>
      </c>
      <c r="D7951" t="s">
        <v>8149</v>
      </c>
      <c r="E7951" t="s">
        <v>8</v>
      </c>
    </row>
    <row r="7952" spans="1:5" hidden="1" outlineLevel="2">
      <c r="A7952" s="3" t="e">
        <f>(HYPERLINK("http://www.autodoc.ru/Web/price/art/7020AGNBL?analog=on","7020AGNBL"))*1</f>
        <v>#VALUE!</v>
      </c>
      <c r="B7952" s="1">
        <v>6963196</v>
      </c>
      <c r="C7952" t="s">
        <v>2497</v>
      </c>
      <c r="D7952" t="s">
        <v>8150</v>
      </c>
      <c r="E7952" t="s">
        <v>8</v>
      </c>
    </row>
    <row r="7953" spans="1:5" hidden="1" outlineLevel="2">
      <c r="A7953" s="3" t="e">
        <f>(HYPERLINK("http://www.autodoc.ru/Web/price/art/7020AGNGN?analog=on","7020AGNGN"))*1</f>
        <v>#VALUE!</v>
      </c>
      <c r="B7953" s="1">
        <v>6969938</v>
      </c>
      <c r="C7953" t="s">
        <v>2497</v>
      </c>
      <c r="D7953" t="s">
        <v>8151</v>
      </c>
      <c r="E7953" t="s">
        <v>8</v>
      </c>
    </row>
    <row r="7954" spans="1:5" hidden="1" outlineLevel="2">
      <c r="A7954" s="3" t="e">
        <f>(HYPERLINK("http://www.autodoc.ru/Web/price/art/7020LGNS4FDW?analog=on","7020LGNS4FDW"))*1</f>
        <v>#VALUE!</v>
      </c>
      <c r="B7954" s="1">
        <v>6993907</v>
      </c>
      <c r="C7954" t="s">
        <v>2497</v>
      </c>
      <c r="D7954" t="s">
        <v>8152</v>
      </c>
      <c r="E7954" t="s">
        <v>10</v>
      </c>
    </row>
    <row r="7955" spans="1:5" hidden="1" outlineLevel="2">
      <c r="A7955" s="3" t="e">
        <f>(HYPERLINK("http://www.autodoc.ru/Web/price/art/7020LGNS4RDW?analog=on","7020LGNS4RDW"))*1</f>
        <v>#VALUE!</v>
      </c>
      <c r="B7955" s="1">
        <v>6995827</v>
      </c>
      <c r="C7955" t="s">
        <v>2497</v>
      </c>
      <c r="D7955" t="s">
        <v>8153</v>
      </c>
      <c r="E7955" t="s">
        <v>10</v>
      </c>
    </row>
    <row r="7956" spans="1:5" hidden="1" outlineLevel="2">
      <c r="A7956" s="3" t="e">
        <f>(HYPERLINK("http://www.autodoc.ru/Web/price/art/7020LGNS4RVZ?analog=on","7020LGNS4RVZ"))*1</f>
        <v>#VALUE!</v>
      </c>
      <c r="B7956" s="1">
        <v>6995593</v>
      </c>
      <c r="C7956" t="s">
        <v>2497</v>
      </c>
      <c r="D7956" t="s">
        <v>8154</v>
      </c>
      <c r="E7956" t="s">
        <v>10</v>
      </c>
    </row>
    <row r="7957" spans="1:5" hidden="1" outlineLevel="2">
      <c r="A7957" s="3" t="e">
        <f>(HYPERLINK("http://www.autodoc.ru/Web/price/art/7020RGNS4FDW?analog=on","7020RGNS4FDW"))*1</f>
        <v>#VALUE!</v>
      </c>
      <c r="B7957" s="1">
        <v>6993906</v>
      </c>
      <c r="C7957" t="s">
        <v>2497</v>
      </c>
      <c r="D7957" t="s">
        <v>8155</v>
      </c>
      <c r="E7957" t="s">
        <v>10</v>
      </c>
    </row>
    <row r="7958" spans="1:5" hidden="1" outlineLevel="2">
      <c r="A7958" s="3" t="e">
        <f>(HYPERLINK("http://www.autodoc.ru/Web/price/art/7020RGNS4RDW?analog=on","7020RGNS4RDW"))*1</f>
        <v>#VALUE!</v>
      </c>
      <c r="B7958" s="1">
        <v>6995828</v>
      </c>
      <c r="C7958" t="s">
        <v>2497</v>
      </c>
      <c r="D7958" t="s">
        <v>8156</v>
      </c>
      <c r="E7958" t="s">
        <v>10</v>
      </c>
    </row>
    <row r="7959" spans="1:5" hidden="1" outlineLevel="2">
      <c r="A7959" s="3" t="e">
        <f>(HYPERLINK("http://www.autodoc.ru/Web/price/art/7020RGNS4RVZ?analog=on","7020RGNS4RVZ"))*1</f>
        <v>#VALUE!</v>
      </c>
      <c r="B7959" s="1">
        <v>6995594</v>
      </c>
      <c r="C7959" t="s">
        <v>2497</v>
      </c>
      <c r="D7959" t="s">
        <v>8157</v>
      </c>
      <c r="E7959" t="s">
        <v>10</v>
      </c>
    </row>
    <row r="7960" spans="1:5" hidden="1" outlineLevel="1">
      <c r="A7960" s="2">
        <v>0</v>
      </c>
      <c r="B7960" s="26" t="s">
        <v>8158</v>
      </c>
      <c r="C7960" s="27">
        <v>0</v>
      </c>
      <c r="D7960" s="27">
        <v>0</v>
      </c>
      <c r="E7960" s="27">
        <v>0</v>
      </c>
    </row>
    <row r="7961" spans="1:5" hidden="1" outlineLevel="2">
      <c r="A7961" s="3" t="e">
        <f>(HYPERLINK("http://www.autodoc.ru/Web/price/art/7015ABZBZ?analog=on","7015ABZBZ"))*1</f>
        <v>#VALUE!</v>
      </c>
      <c r="B7961" s="1">
        <v>6969943</v>
      </c>
      <c r="C7961" t="s">
        <v>3206</v>
      </c>
      <c r="D7961" t="s">
        <v>8159</v>
      </c>
      <c r="E7961" t="s">
        <v>8</v>
      </c>
    </row>
    <row r="7962" spans="1:5" hidden="1" outlineLevel="2">
      <c r="A7962" s="3" t="e">
        <f>(HYPERLINK("http://www.autodoc.ru/Web/price/art/7015AGNBL?analog=on","7015AGNBL"))*1</f>
        <v>#VALUE!</v>
      </c>
      <c r="B7962" s="1">
        <v>6969930</v>
      </c>
      <c r="C7962" t="s">
        <v>3206</v>
      </c>
      <c r="D7962" t="s">
        <v>8160</v>
      </c>
      <c r="E7962" t="s">
        <v>8</v>
      </c>
    </row>
    <row r="7963" spans="1:5" hidden="1" outlineLevel="1">
      <c r="A7963" s="2">
        <v>0</v>
      </c>
      <c r="B7963" s="26" t="s">
        <v>8161</v>
      </c>
      <c r="C7963" s="27">
        <v>0</v>
      </c>
      <c r="D7963" s="27">
        <v>0</v>
      </c>
      <c r="E7963" s="27">
        <v>0</v>
      </c>
    </row>
    <row r="7964" spans="1:5" hidden="1" outlineLevel="2">
      <c r="A7964" s="3" t="e">
        <f>(HYPERLINK("http://www.autodoc.ru/Web/price/art/7018AGNBLV?analog=on","7018AGNBLV"))*1</f>
        <v>#VALUE!</v>
      </c>
      <c r="B7964" s="1">
        <v>6969934</v>
      </c>
      <c r="C7964" t="s">
        <v>489</v>
      </c>
      <c r="D7964" t="s">
        <v>8162</v>
      </c>
      <c r="E7964" t="s">
        <v>8</v>
      </c>
    </row>
    <row r="7965" spans="1:5" hidden="1" outlineLevel="2">
      <c r="A7965" s="3" t="e">
        <f>(HYPERLINK("http://www.autodoc.ru/Web/price/art/7018AGNV?analog=on","7018AGNV"))*1</f>
        <v>#VALUE!</v>
      </c>
      <c r="B7965" s="1">
        <v>6969933</v>
      </c>
      <c r="C7965" t="s">
        <v>489</v>
      </c>
      <c r="D7965" t="s">
        <v>8163</v>
      </c>
      <c r="E7965" t="s">
        <v>8</v>
      </c>
    </row>
    <row r="7966" spans="1:5" hidden="1" outlineLevel="1">
      <c r="A7966" s="2">
        <v>0</v>
      </c>
      <c r="B7966" s="26" t="s">
        <v>8164</v>
      </c>
      <c r="C7966" s="27">
        <v>0</v>
      </c>
      <c r="D7966" s="27">
        <v>0</v>
      </c>
      <c r="E7966" s="27">
        <v>0</v>
      </c>
    </row>
    <row r="7967" spans="1:5" hidden="1" outlineLevel="2">
      <c r="A7967" s="3" t="e">
        <f>(HYPERLINK("http://www.autodoc.ru/Web/price/art/7037AGNBL?analog=on","7037AGNBL"))*1</f>
        <v>#VALUE!</v>
      </c>
      <c r="B7967" s="1">
        <v>6961142</v>
      </c>
      <c r="C7967" t="s">
        <v>782</v>
      </c>
      <c r="D7967" t="s">
        <v>8165</v>
      </c>
      <c r="E7967" t="s">
        <v>8</v>
      </c>
    </row>
    <row r="7968" spans="1:5" hidden="1" outlineLevel="2">
      <c r="A7968" s="3" t="e">
        <f>(HYPERLINK("http://www.autodoc.ru/Web/price/art/7037BGNH?analog=on","7037BGNH"))*1</f>
        <v>#VALUE!</v>
      </c>
      <c r="B7968" s="1">
        <v>6993564</v>
      </c>
      <c r="C7968" t="s">
        <v>782</v>
      </c>
      <c r="D7968" t="s">
        <v>8166</v>
      </c>
      <c r="E7968" t="s">
        <v>23</v>
      </c>
    </row>
    <row r="7969" spans="1:5" hidden="1" outlineLevel="2">
      <c r="A7969" s="3" t="e">
        <f>(HYPERLINK("http://www.autodoc.ru/Web/price/art/7037LGNH5FDW?analog=on","7037LGNH5FDW"))*1</f>
        <v>#VALUE!</v>
      </c>
      <c r="B7969" s="1">
        <v>6993558</v>
      </c>
      <c r="C7969" t="s">
        <v>782</v>
      </c>
      <c r="D7969" t="s">
        <v>8167</v>
      </c>
      <c r="E7969" t="s">
        <v>10</v>
      </c>
    </row>
    <row r="7970" spans="1:5" hidden="1" outlineLevel="2">
      <c r="A7970" s="3" t="e">
        <f>(HYPERLINK("http://www.autodoc.ru/Web/price/art/7037LGNH5RDW?analog=on","7037LGNH5RDW"))*1</f>
        <v>#VALUE!</v>
      </c>
      <c r="B7970" s="1">
        <v>6993560</v>
      </c>
      <c r="C7970" t="s">
        <v>782</v>
      </c>
      <c r="D7970" t="s">
        <v>8168</v>
      </c>
      <c r="E7970" t="s">
        <v>10</v>
      </c>
    </row>
    <row r="7971" spans="1:5" hidden="1" outlineLevel="2">
      <c r="A7971" s="3" t="e">
        <f>(HYPERLINK("http://www.autodoc.ru/Web/price/art/7037LGNH5RV?analog=on","7037LGNH5RV"))*1</f>
        <v>#VALUE!</v>
      </c>
      <c r="B7971" s="1">
        <v>6993562</v>
      </c>
      <c r="C7971" t="s">
        <v>782</v>
      </c>
      <c r="D7971" t="s">
        <v>8169</v>
      </c>
      <c r="E7971" t="s">
        <v>10</v>
      </c>
    </row>
    <row r="7972" spans="1:5" hidden="1" outlineLevel="2">
      <c r="A7972" s="3" t="e">
        <f>(HYPERLINK("http://www.autodoc.ru/Web/price/art/7037RGNH5FDW?analog=on","7037RGNH5FDW"))*1</f>
        <v>#VALUE!</v>
      </c>
      <c r="B7972" s="1">
        <v>6993559</v>
      </c>
      <c r="C7972" t="s">
        <v>782</v>
      </c>
      <c r="D7972" t="s">
        <v>8170</v>
      </c>
      <c r="E7972" t="s">
        <v>10</v>
      </c>
    </row>
    <row r="7973" spans="1:5" hidden="1" outlineLevel="2">
      <c r="A7973" s="3" t="e">
        <f>(HYPERLINK("http://www.autodoc.ru/Web/price/art/7037RGNH5RDW?analog=on","7037RGNH5RDW"))*1</f>
        <v>#VALUE!</v>
      </c>
      <c r="B7973" s="1">
        <v>6993561</v>
      </c>
      <c r="C7973" t="s">
        <v>782</v>
      </c>
      <c r="D7973" t="s">
        <v>8171</v>
      </c>
      <c r="E7973" t="s">
        <v>10</v>
      </c>
    </row>
    <row r="7974" spans="1:5" hidden="1" outlineLevel="2">
      <c r="A7974" s="3" t="e">
        <f>(HYPERLINK("http://www.autodoc.ru/Web/price/art/7037RGNH5RV?analog=on","7037RGNH5RV"))*1</f>
        <v>#VALUE!</v>
      </c>
      <c r="B7974" s="1">
        <v>6993563</v>
      </c>
      <c r="C7974" t="s">
        <v>782</v>
      </c>
      <c r="D7974" t="s">
        <v>8172</v>
      </c>
      <c r="E7974" t="s">
        <v>10</v>
      </c>
    </row>
    <row r="7975" spans="1:5" hidden="1" outlineLevel="1">
      <c r="A7975" s="2">
        <v>0</v>
      </c>
      <c r="B7975" s="26" t="s">
        <v>8173</v>
      </c>
      <c r="C7975" s="27">
        <v>0</v>
      </c>
      <c r="D7975" s="27">
        <v>0</v>
      </c>
      <c r="E7975" s="27">
        <v>0</v>
      </c>
    </row>
    <row r="7976" spans="1:5" hidden="1" outlineLevel="2">
      <c r="A7976" s="3" t="e">
        <f>(HYPERLINK("http://www.autodoc.ru/Web/price/art/7011ACL1N?analog=on","7011ACL1N"))*1</f>
        <v>#VALUE!</v>
      </c>
      <c r="B7976" s="1">
        <v>6969902</v>
      </c>
      <c r="C7976" t="s">
        <v>11</v>
      </c>
      <c r="D7976" t="s">
        <v>8174</v>
      </c>
      <c r="E7976" t="s">
        <v>8</v>
      </c>
    </row>
    <row r="7977" spans="1:5" hidden="1" outlineLevel="2">
      <c r="A7977" s="3" t="e">
        <f>(HYPERLINK("http://www.autodoc.ru/Web/price/art/7011BBZH?analog=on","7011BBZH"))*1</f>
        <v>#VALUE!</v>
      </c>
      <c r="B7977" s="1">
        <v>6997274</v>
      </c>
      <c r="C7977" t="s">
        <v>11</v>
      </c>
      <c r="D7977" t="s">
        <v>8175</v>
      </c>
      <c r="E7977" t="s">
        <v>23</v>
      </c>
    </row>
    <row r="7978" spans="1:5" hidden="1" outlineLevel="1">
      <c r="A7978" s="2">
        <v>0</v>
      </c>
      <c r="B7978" s="26" t="s">
        <v>8176</v>
      </c>
      <c r="C7978" s="27">
        <v>0</v>
      </c>
      <c r="D7978" s="27">
        <v>0</v>
      </c>
      <c r="E7978" s="27">
        <v>0</v>
      </c>
    </row>
    <row r="7979" spans="1:5" hidden="1" outlineLevel="2">
      <c r="A7979" s="3" t="e">
        <f>(HYPERLINK("http://www.autodoc.ru/Web/price/art/7010ACL?analog=on","7010ACL"))*1</f>
        <v>#VALUE!</v>
      </c>
      <c r="B7979" s="1">
        <v>6969907</v>
      </c>
      <c r="C7979" t="s">
        <v>2450</v>
      </c>
      <c r="D7979" t="s">
        <v>8177</v>
      </c>
      <c r="E7979" t="s">
        <v>8</v>
      </c>
    </row>
    <row r="7980" spans="1:5" hidden="1" outlineLevel="1">
      <c r="A7980" s="2">
        <v>0</v>
      </c>
      <c r="B7980" s="26" t="s">
        <v>8178</v>
      </c>
      <c r="C7980" s="27">
        <v>0</v>
      </c>
      <c r="D7980" s="27">
        <v>0</v>
      </c>
      <c r="E7980" s="27">
        <v>0</v>
      </c>
    </row>
    <row r="7981" spans="1:5" hidden="1" outlineLevel="2">
      <c r="A7981" s="3" t="e">
        <f>(HYPERLINK("http://www.autodoc.ru/Web/price/art/7026AGNZ?analog=on","7026AGNZ"))*1</f>
        <v>#VALUE!</v>
      </c>
      <c r="B7981" s="1">
        <v>6963331</v>
      </c>
      <c r="C7981" t="s">
        <v>139</v>
      </c>
      <c r="D7981" t="s">
        <v>8179</v>
      </c>
      <c r="E7981" t="s">
        <v>8</v>
      </c>
    </row>
    <row r="7982" spans="1:5" hidden="1" outlineLevel="2">
      <c r="A7982" s="3" t="e">
        <f>(HYPERLINK("http://www.autodoc.ru/Web/price/art/7026ASMT?analog=on","7026ASMT"))*1</f>
        <v>#VALUE!</v>
      </c>
      <c r="B7982" s="1">
        <v>6101444</v>
      </c>
      <c r="C7982" t="s">
        <v>19</v>
      </c>
      <c r="D7982" t="s">
        <v>8180</v>
      </c>
      <c r="E7982" t="s">
        <v>21</v>
      </c>
    </row>
    <row r="7983" spans="1:5" hidden="1" outlineLevel="1">
      <c r="A7983" s="2">
        <v>0</v>
      </c>
      <c r="B7983" s="26" t="s">
        <v>8181</v>
      </c>
      <c r="C7983" s="27">
        <v>0</v>
      </c>
      <c r="D7983" s="27">
        <v>0</v>
      </c>
      <c r="E7983" s="27">
        <v>0</v>
      </c>
    </row>
    <row r="7984" spans="1:5" hidden="1" outlineLevel="2">
      <c r="A7984" s="3" t="e">
        <f>(HYPERLINK("http://www.autodoc.ru/Web/price/art/7002FGNS2FD?analog=on","7002FGNS2FD"))*1</f>
        <v>#VALUE!</v>
      </c>
      <c r="B7984" s="1">
        <v>6995591</v>
      </c>
      <c r="C7984" t="s">
        <v>8182</v>
      </c>
      <c r="D7984" t="s">
        <v>8183</v>
      </c>
      <c r="E7984" t="s">
        <v>10</v>
      </c>
    </row>
    <row r="7985" spans="1:5" hidden="1" outlineLevel="1">
      <c r="A7985" s="2">
        <v>0</v>
      </c>
      <c r="B7985" s="26" t="s">
        <v>8184</v>
      </c>
      <c r="C7985" s="27">
        <v>0</v>
      </c>
      <c r="D7985" s="27">
        <v>0</v>
      </c>
      <c r="E7985" s="27">
        <v>0</v>
      </c>
    </row>
    <row r="7986" spans="1:5" hidden="1" outlineLevel="2">
      <c r="A7986" s="3" t="e">
        <f>(HYPERLINK("http://www.autodoc.ru/Web/price/art/7013ACL?analog=on","7013ACL"))*1</f>
        <v>#VALUE!</v>
      </c>
      <c r="B7986" s="1">
        <v>6969910</v>
      </c>
      <c r="C7986" t="s">
        <v>19</v>
      </c>
      <c r="D7986" t="s">
        <v>8185</v>
      </c>
      <c r="E7986" t="s">
        <v>8</v>
      </c>
    </row>
    <row r="7987" spans="1:5" collapsed="1">
      <c r="A7987" s="28" t="s">
        <v>8186</v>
      </c>
      <c r="B7987" s="28">
        <v>0</v>
      </c>
      <c r="C7987" s="28">
        <v>0</v>
      </c>
      <c r="D7987" s="28">
        <v>0</v>
      </c>
      <c r="E7987" s="28">
        <v>0</v>
      </c>
    </row>
    <row r="7988" spans="1:5" hidden="1" outlineLevel="1">
      <c r="A7988" s="2">
        <v>0</v>
      </c>
      <c r="B7988" s="26">
        <v>99</v>
      </c>
      <c r="C7988" s="27">
        <v>0</v>
      </c>
      <c r="D7988" s="27">
        <v>0</v>
      </c>
      <c r="E7988" s="27">
        <v>0</v>
      </c>
    </row>
    <row r="7989" spans="1:5" hidden="1" outlineLevel="2">
      <c r="A7989" s="3" t="e">
        <f>(HYPERLINK("http://www.autodoc.ru/Web/price/art/7402ACL?analog=on","7402ACL"))*1</f>
        <v>#VALUE!</v>
      </c>
      <c r="B7989" s="1">
        <v>6962460</v>
      </c>
      <c r="C7989" t="s">
        <v>19</v>
      </c>
      <c r="D7989" t="s">
        <v>8187</v>
      </c>
      <c r="E7989" t="s">
        <v>8</v>
      </c>
    </row>
    <row r="7990" spans="1:5" hidden="1" outlineLevel="1">
      <c r="A7990" s="2">
        <v>0</v>
      </c>
      <c r="B7990" s="26" t="s">
        <v>8188</v>
      </c>
      <c r="C7990" s="27">
        <v>0</v>
      </c>
      <c r="D7990" s="27">
        <v>0</v>
      </c>
      <c r="E7990" s="27">
        <v>0</v>
      </c>
    </row>
    <row r="7991" spans="1:5" hidden="1" outlineLevel="2">
      <c r="A7991" s="3" t="e">
        <f>(HYPERLINK("http://www.autodoc.ru/Web/price/art/7409BGST?analog=on","7409BGST"))*1</f>
        <v>#VALUE!</v>
      </c>
      <c r="B7991" s="1">
        <v>6993464</v>
      </c>
      <c r="C7991" t="s">
        <v>3841</v>
      </c>
      <c r="D7991" t="s">
        <v>8189</v>
      </c>
      <c r="E7991" t="s">
        <v>23</v>
      </c>
    </row>
    <row r="7992" spans="1:5" hidden="1" outlineLevel="1">
      <c r="A7992" s="2">
        <v>0</v>
      </c>
      <c r="B7992" s="26" t="s">
        <v>8190</v>
      </c>
      <c r="C7992" s="27">
        <v>0</v>
      </c>
      <c r="D7992" s="27">
        <v>0</v>
      </c>
      <c r="E7992" s="27">
        <v>0</v>
      </c>
    </row>
    <row r="7993" spans="1:5" hidden="1" outlineLevel="2">
      <c r="A7993" s="3" t="e">
        <f>(HYPERLINK("http://www.autodoc.ru/Web/price/art/7411AGSMVW?analog=on","7411AGSMVW"))*1</f>
        <v>#VALUE!</v>
      </c>
      <c r="B7993" s="1">
        <v>6961795</v>
      </c>
      <c r="C7993" t="s">
        <v>1436</v>
      </c>
      <c r="D7993" t="s">
        <v>8191</v>
      </c>
      <c r="E7993" t="s">
        <v>8</v>
      </c>
    </row>
    <row r="7994" spans="1:5" hidden="1" outlineLevel="2">
      <c r="A7994" s="3" t="e">
        <f>(HYPERLINK("http://www.autodoc.ru/Web/price/art/7411AGSVW?analog=on","7411AGSVW"))*1</f>
        <v>#VALUE!</v>
      </c>
      <c r="B7994" s="1">
        <v>6961794</v>
      </c>
      <c r="C7994" t="s">
        <v>1436</v>
      </c>
      <c r="D7994" t="s">
        <v>8192</v>
      </c>
      <c r="E7994" t="s">
        <v>8</v>
      </c>
    </row>
    <row r="7995" spans="1:5" hidden="1" outlineLevel="2">
      <c r="A7995" s="3" t="e">
        <f>(HYPERLINK("http://www.autodoc.ru/Web/price/art/7411ASMST?analog=on","7411ASMST"))*1</f>
        <v>#VALUE!</v>
      </c>
      <c r="B7995" s="1">
        <v>6102038</v>
      </c>
      <c r="C7995" t="s">
        <v>19</v>
      </c>
      <c r="D7995" t="s">
        <v>8193</v>
      </c>
      <c r="E7995" t="s">
        <v>21</v>
      </c>
    </row>
    <row r="7996" spans="1:5" hidden="1" outlineLevel="2">
      <c r="A7996" s="3" t="e">
        <f>(HYPERLINK("http://www.autodoc.ru/Web/price/art/7411LGSS4FD?analog=on","7411LGSS4FD"))*1</f>
        <v>#VALUE!</v>
      </c>
      <c r="B7996" s="1">
        <v>6995931</v>
      </c>
      <c r="C7996" t="s">
        <v>1436</v>
      </c>
      <c r="D7996" t="s">
        <v>8194</v>
      </c>
      <c r="E7996" t="s">
        <v>10</v>
      </c>
    </row>
    <row r="7997" spans="1:5" hidden="1" outlineLevel="2">
      <c r="A7997" s="3" t="e">
        <f>(HYPERLINK("http://www.autodoc.ru/Web/price/art/7411LGSS4RDW?analog=on","7411LGSS4RDW"))*1</f>
        <v>#VALUE!</v>
      </c>
      <c r="B7997" s="1">
        <v>6900188</v>
      </c>
      <c r="C7997" t="s">
        <v>1436</v>
      </c>
      <c r="D7997" t="s">
        <v>8195</v>
      </c>
      <c r="E7997" t="s">
        <v>10</v>
      </c>
    </row>
    <row r="7998" spans="1:5" hidden="1" outlineLevel="2">
      <c r="A7998" s="3" t="e">
        <f>(HYPERLINK("http://www.autodoc.ru/Web/price/art/7411RGSS4FD?analog=on","7411RGSS4FD"))*1</f>
        <v>#VALUE!</v>
      </c>
      <c r="B7998" s="1">
        <v>6995932</v>
      </c>
      <c r="C7998" t="s">
        <v>1436</v>
      </c>
      <c r="D7998" t="s">
        <v>8196</v>
      </c>
      <c r="E7998" t="s">
        <v>10</v>
      </c>
    </row>
    <row r="7999" spans="1:5" hidden="1" outlineLevel="2">
      <c r="A7999" s="3" t="e">
        <f>(HYPERLINK("http://www.autodoc.ru/Web/price/art/7411RGSS4RDW?analog=on","7411RGSS4RDW"))*1</f>
        <v>#VALUE!</v>
      </c>
      <c r="B7999" s="1">
        <v>6900272</v>
      </c>
      <c r="C7999" t="s">
        <v>1436</v>
      </c>
      <c r="D7999" t="s">
        <v>8197</v>
      </c>
      <c r="E7999" t="s">
        <v>10</v>
      </c>
    </row>
    <row r="8000" spans="1:5" hidden="1" outlineLevel="1">
      <c r="A8000" s="2">
        <v>0</v>
      </c>
      <c r="B8000" s="26" t="s">
        <v>8198</v>
      </c>
      <c r="C8000" s="27">
        <v>0</v>
      </c>
      <c r="D8000" s="27">
        <v>0</v>
      </c>
      <c r="E8000" s="27">
        <v>0</v>
      </c>
    </row>
    <row r="8001" spans="1:5" hidden="1" outlineLevel="2">
      <c r="A8001" s="3" t="e">
        <f>(HYPERLINK("http://www.autodoc.ru/Web/price/art/7410AGSMVW1R?analog=on","7410AGSMVW1R"))*1</f>
        <v>#VALUE!</v>
      </c>
      <c r="B8001" s="1">
        <v>6961793</v>
      </c>
      <c r="C8001" t="s">
        <v>1710</v>
      </c>
      <c r="D8001" t="s">
        <v>8199</v>
      </c>
      <c r="E8001" t="s">
        <v>8</v>
      </c>
    </row>
    <row r="8002" spans="1:5" hidden="1" outlineLevel="2">
      <c r="A8002" s="3" t="e">
        <f>(HYPERLINK("http://www.autodoc.ru/Web/price/art/7410AGSVW1M?analog=on","7410AGSVW1M"))*1</f>
        <v>#VALUE!</v>
      </c>
      <c r="B8002" s="1">
        <v>6963343</v>
      </c>
      <c r="C8002" t="s">
        <v>1710</v>
      </c>
      <c r="D8002" t="s">
        <v>8200</v>
      </c>
      <c r="E8002" t="s">
        <v>8</v>
      </c>
    </row>
    <row r="8003" spans="1:5" hidden="1" outlineLevel="2">
      <c r="A8003" s="3" t="e">
        <f>(HYPERLINK("http://www.autodoc.ru/Web/price/art/7410ASMST?analog=on","7410ASMST"))*1</f>
        <v>#VALUE!</v>
      </c>
      <c r="B8003" s="1">
        <v>6101578</v>
      </c>
      <c r="C8003" t="s">
        <v>19</v>
      </c>
      <c r="D8003" t="s">
        <v>8201</v>
      </c>
      <c r="E8003" t="s">
        <v>21</v>
      </c>
    </row>
    <row r="8004" spans="1:5" hidden="1" outlineLevel="2">
      <c r="A8004" s="3" t="e">
        <f>(HYPERLINK("http://www.autodoc.ru/Web/price/art/7410BGSSABZ?analog=on","7410BGSSABZ"))*1</f>
        <v>#VALUE!</v>
      </c>
      <c r="B8004" s="1">
        <v>6998809</v>
      </c>
      <c r="C8004" t="s">
        <v>1710</v>
      </c>
      <c r="D8004" t="s">
        <v>8202</v>
      </c>
      <c r="E8004" t="s">
        <v>23</v>
      </c>
    </row>
    <row r="8005" spans="1:5" hidden="1" outlineLevel="2">
      <c r="A8005" s="3" t="e">
        <f>(HYPERLINK("http://www.autodoc.ru/Web/price/art/7410LGSS4FDW?analog=on","7410LGSS4FDW"))*1</f>
        <v>#VALUE!</v>
      </c>
      <c r="B8005" s="1">
        <v>6994648</v>
      </c>
      <c r="C8005" t="s">
        <v>1710</v>
      </c>
      <c r="D8005" t="s">
        <v>8203</v>
      </c>
      <c r="E8005" t="s">
        <v>10</v>
      </c>
    </row>
    <row r="8006" spans="1:5" hidden="1" outlineLevel="2">
      <c r="A8006" s="3" t="e">
        <f>(HYPERLINK("http://www.autodoc.ru/Web/price/art/7410LGSS4RDW?analog=on","7410LGSS4RDW"))*1</f>
        <v>#VALUE!</v>
      </c>
      <c r="B8006" s="1">
        <v>6994649</v>
      </c>
      <c r="C8006" t="s">
        <v>1710</v>
      </c>
      <c r="D8006" t="s">
        <v>8204</v>
      </c>
      <c r="E8006" t="s">
        <v>10</v>
      </c>
    </row>
    <row r="8007" spans="1:5" hidden="1" outlineLevel="2">
      <c r="A8007" s="3" t="e">
        <f>(HYPERLINK("http://www.autodoc.ru/Web/price/art/7410RGSS4FDW?analog=on","7410RGSS4FDW"))*1</f>
        <v>#VALUE!</v>
      </c>
      <c r="B8007" s="1">
        <v>6994650</v>
      </c>
      <c r="C8007" t="s">
        <v>1710</v>
      </c>
      <c r="D8007" t="s">
        <v>8205</v>
      </c>
      <c r="E8007" t="s">
        <v>10</v>
      </c>
    </row>
    <row r="8008" spans="1:5" hidden="1" outlineLevel="2">
      <c r="A8008" s="3" t="e">
        <f>(HYPERLINK("http://www.autodoc.ru/Web/price/art/7410RGSS4RDW?analog=on","7410RGSS4RDW"))*1</f>
        <v>#VALUE!</v>
      </c>
      <c r="B8008" s="1">
        <v>6994651</v>
      </c>
      <c r="C8008" t="s">
        <v>1710</v>
      </c>
      <c r="D8008" t="s">
        <v>8206</v>
      </c>
      <c r="E8008" t="s">
        <v>10</v>
      </c>
    </row>
    <row r="8009" spans="1:5" hidden="1" outlineLevel="1">
      <c r="A8009" s="2">
        <v>0</v>
      </c>
      <c r="B8009" s="26" t="s">
        <v>8207</v>
      </c>
      <c r="C8009" s="27">
        <v>0</v>
      </c>
      <c r="D8009" s="27">
        <v>0</v>
      </c>
      <c r="E8009" s="27">
        <v>0</v>
      </c>
    </row>
    <row r="8010" spans="1:5" hidden="1" outlineLevel="2">
      <c r="A8010" s="3" t="e">
        <f>(HYPERLINK("http://www.autodoc.ru/Web/price/art/7416AGSMPVWZ1P?analog=on","7416AGSMPVWZ1P"))*1</f>
        <v>#VALUE!</v>
      </c>
      <c r="B8010" s="1">
        <v>6965287</v>
      </c>
      <c r="C8010" t="s">
        <v>211</v>
      </c>
      <c r="D8010" t="s">
        <v>8208</v>
      </c>
      <c r="E8010" t="s">
        <v>8</v>
      </c>
    </row>
    <row r="8011" spans="1:5" hidden="1" outlineLevel="2">
      <c r="A8011" s="3" t="e">
        <f>(HYPERLINK("http://www.autodoc.ru/Web/price/art/7416AGSWZ?analog=on","7416AGSWZ"))*1</f>
        <v>#VALUE!</v>
      </c>
      <c r="B8011" s="1">
        <v>6966037</v>
      </c>
      <c r="C8011" t="s">
        <v>211</v>
      </c>
      <c r="D8011" t="s">
        <v>8209</v>
      </c>
      <c r="E8011" t="s">
        <v>8</v>
      </c>
    </row>
    <row r="8012" spans="1:5" hidden="1" outlineLevel="1">
      <c r="A8012" s="2">
        <v>0</v>
      </c>
      <c r="B8012" s="26" t="s">
        <v>8210</v>
      </c>
      <c r="C8012" s="27">
        <v>0</v>
      </c>
      <c r="D8012" s="27">
        <v>0</v>
      </c>
      <c r="E8012" s="27">
        <v>0</v>
      </c>
    </row>
    <row r="8013" spans="1:5" hidden="1" outlineLevel="2">
      <c r="A8013" s="3" t="e">
        <f>(HYPERLINK("http://www.autodoc.ru/Web/price/art/7415AGABLM1B?analog=on","7415AGABLM1B"))*1</f>
        <v>#VALUE!</v>
      </c>
      <c r="B8013" s="1">
        <v>6962677</v>
      </c>
      <c r="C8013" t="s">
        <v>3413</v>
      </c>
      <c r="D8013" t="s">
        <v>8211</v>
      </c>
      <c r="E8013" t="s">
        <v>8</v>
      </c>
    </row>
    <row r="8014" spans="1:5" hidden="1" outlineLevel="1">
      <c r="A8014" s="2">
        <v>0</v>
      </c>
      <c r="B8014" s="26" t="s">
        <v>8212</v>
      </c>
      <c r="C8014" s="27">
        <v>0</v>
      </c>
      <c r="D8014" s="27">
        <v>0</v>
      </c>
      <c r="E8014" s="27">
        <v>0</v>
      </c>
    </row>
    <row r="8015" spans="1:5" hidden="1" outlineLevel="2">
      <c r="A8015" s="3" t="e">
        <f>(HYPERLINK("http://www.autodoc.ru/Web/price/art/7408ASMHT?analog=on","7408ASMHT"))*1</f>
        <v>#VALUE!</v>
      </c>
      <c r="B8015" s="1">
        <v>6101042</v>
      </c>
      <c r="C8015" t="s">
        <v>19</v>
      </c>
      <c r="D8015" t="s">
        <v>8213</v>
      </c>
      <c r="E8015" t="s">
        <v>21</v>
      </c>
    </row>
    <row r="8016" spans="1:5" hidden="1" outlineLevel="2">
      <c r="A8016" s="3" t="e">
        <f>(HYPERLINK("http://www.autodoc.ru/Web/price/art/7408RGNH5FDW?analog=on","7408RGNH5FDW"))*1</f>
        <v>#VALUE!</v>
      </c>
      <c r="B8016" s="1">
        <v>6999888</v>
      </c>
      <c r="C8016" t="s">
        <v>354</v>
      </c>
      <c r="D8016" t="s">
        <v>8214</v>
      </c>
      <c r="E8016" t="s">
        <v>10</v>
      </c>
    </row>
    <row r="8017" spans="1:5" hidden="1" outlineLevel="1">
      <c r="A8017" s="2">
        <v>0</v>
      </c>
      <c r="B8017" s="26" t="s">
        <v>8215</v>
      </c>
      <c r="C8017" s="27">
        <v>0</v>
      </c>
      <c r="D8017" s="27">
        <v>0</v>
      </c>
      <c r="E8017" s="27">
        <v>0</v>
      </c>
    </row>
    <row r="8018" spans="1:5" hidden="1" outlineLevel="2">
      <c r="A8018" s="3" t="e">
        <f>(HYPERLINK("http://www.autodoc.ru/Web/price/art/7403ABZ?analog=on","7403ABZ"))*1</f>
        <v>#VALUE!</v>
      </c>
      <c r="B8018" s="1">
        <v>6963503</v>
      </c>
      <c r="C8018" t="s">
        <v>2917</v>
      </c>
      <c r="D8018" t="s">
        <v>8216</v>
      </c>
      <c r="E8018" t="s">
        <v>8</v>
      </c>
    </row>
    <row r="8019" spans="1:5" hidden="1" outlineLevel="2">
      <c r="A8019" s="3" t="e">
        <f>(HYPERLINK("http://www.autodoc.ru/Web/price/art/7403ACL?analog=on","7403ACL"))*1</f>
        <v>#VALUE!</v>
      </c>
      <c r="B8019" s="1">
        <v>6963504</v>
      </c>
      <c r="C8019" t="s">
        <v>2917</v>
      </c>
      <c r="D8019" t="s">
        <v>8217</v>
      </c>
      <c r="E8019" t="s">
        <v>8</v>
      </c>
    </row>
    <row r="8020" spans="1:5" hidden="1" outlineLevel="1">
      <c r="A8020" s="2">
        <v>0</v>
      </c>
      <c r="B8020" s="26" t="s">
        <v>8218</v>
      </c>
      <c r="C8020" s="27">
        <v>0</v>
      </c>
      <c r="D8020" s="27">
        <v>0</v>
      </c>
      <c r="E8020" s="27">
        <v>0</v>
      </c>
    </row>
    <row r="8021" spans="1:5" hidden="1" outlineLevel="2">
      <c r="A8021" s="3" t="e">
        <f>(HYPERLINK("http://www.autodoc.ru/Web/price/art/7406AGNGNV?analog=on","7406AGNGNV"))*1</f>
        <v>#VALUE!</v>
      </c>
      <c r="B8021" s="1">
        <v>6961163</v>
      </c>
      <c r="C8021" t="s">
        <v>4757</v>
      </c>
      <c r="D8021" t="s">
        <v>8219</v>
      </c>
      <c r="E8021" t="s">
        <v>8</v>
      </c>
    </row>
    <row r="8022" spans="1:5" hidden="1" outlineLevel="2">
      <c r="A8022" s="3" t="e">
        <f>(HYPERLINK("http://www.autodoc.ru/Web/price/art/7406AGSGNV1M?analog=on","7406AGSGNV1M"))*1</f>
        <v>#VALUE!</v>
      </c>
      <c r="B8022" s="1">
        <v>6963203</v>
      </c>
      <c r="C8022" t="s">
        <v>4757</v>
      </c>
      <c r="D8022" t="s">
        <v>8220</v>
      </c>
      <c r="E8022" t="s">
        <v>8</v>
      </c>
    </row>
    <row r="8023" spans="1:5" hidden="1" outlineLevel="2">
      <c r="A8023" s="3" t="e">
        <f>(HYPERLINK("http://www.autodoc.ru/Web/price/art/7406AKMH?analog=on","7406AKMH"))*1</f>
        <v>#VALUE!</v>
      </c>
      <c r="B8023" s="1">
        <v>6101059</v>
      </c>
      <c r="C8023" t="s">
        <v>19</v>
      </c>
      <c r="D8023" t="s">
        <v>8221</v>
      </c>
      <c r="E8023" t="s">
        <v>21</v>
      </c>
    </row>
    <row r="8024" spans="1:5" hidden="1" outlineLevel="2">
      <c r="A8024" s="3" t="e">
        <f>(HYPERLINK("http://www.autodoc.ru/Web/price/art/7406LGNH5FD?analog=on","7406LGNH5FD"))*1</f>
        <v>#VALUE!</v>
      </c>
      <c r="B8024" s="1">
        <v>6995835</v>
      </c>
      <c r="C8024" t="s">
        <v>4757</v>
      </c>
      <c r="D8024" t="s">
        <v>8222</v>
      </c>
      <c r="E8024" t="s">
        <v>10</v>
      </c>
    </row>
    <row r="8025" spans="1:5" hidden="1" outlineLevel="2">
      <c r="A8025" s="3" t="e">
        <f>(HYPERLINK("http://www.autodoc.ru/Web/price/art/7406LGNH5RD?analog=on","7406LGNH5RD"))*1</f>
        <v>#VALUE!</v>
      </c>
      <c r="B8025" s="1">
        <v>6994644</v>
      </c>
      <c r="C8025" t="s">
        <v>4757</v>
      </c>
      <c r="D8025" t="s">
        <v>8223</v>
      </c>
      <c r="E8025" t="s">
        <v>10</v>
      </c>
    </row>
    <row r="8026" spans="1:5" hidden="1" outlineLevel="2">
      <c r="A8026" s="3" t="e">
        <f>(HYPERLINK("http://www.autodoc.ru/Web/price/art/7406LGNH5RV?analog=on","7406LGNH5RV"))*1</f>
        <v>#VALUE!</v>
      </c>
      <c r="B8026" s="1">
        <v>6994645</v>
      </c>
      <c r="C8026" t="s">
        <v>4757</v>
      </c>
      <c r="D8026" t="s">
        <v>8224</v>
      </c>
      <c r="E8026" t="s">
        <v>10</v>
      </c>
    </row>
    <row r="8027" spans="1:5" hidden="1" outlineLevel="2">
      <c r="A8027" s="3" t="e">
        <f>(HYPERLINK("http://www.autodoc.ru/Web/price/art/7406RGNH5FD?analog=on","7406RGNH5FD"))*1</f>
        <v>#VALUE!</v>
      </c>
      <c r="B8027" s="1">
        <v>6995836</v>
      </c>
      <c r="C8027" t="s">
        <v>4757</v>
      </c>
      <c r="D8027" t="s">
        <v>8225</v>
      </c>
      <c r="E8027" t="s">
        <v>10</v>
      </c>
    </row>
    <row r="8028" spans="1:5" hidden="1" outlineLevel="2">
      <c r="A8028" s="3" t="e">
        <f>(HYPERLINK("http://www.autodoc.ru/Web/price/art/7406RGNH5RD?analog=on","7406RGNH5RD"))*1</f>
        <v>#VALUE!</v>
      </c>
      <c r="B8028" s="1">
        <v>6994646</v>
      </c>
      <c r="C8028" t="s">
        <v>4757</v>
      </c>
      <c r="D8028" t="s">
        <v>8226</v>
      </c>
      <c r="E8028" t="s">
        <v>10</v>
      </c>
    </row>
    <row r="8029" spans="1:5" hidden="1" outlineLevel="2">
      <c r="A8029" s="3" t="e">
        <f>(HYPERLINK("http://www.autodoc.ru/Web/price/art/7406RGNH5RV?analog=on","7406RGNH5RV"))*1</f>
        <v>#VALUE!</v>
      </c>
      <c r="B8029" s="1">
        <v>6994647</v>
      </c>
      <c r="C8029" t="s">
        <v>4757</v>
      </c>
      <c r="D8029" t="s">
        <v>8227</v>
      </c>
      <c r="E8029" t="s">
        <v>10</v>
      </c>
    </row>
    <row r="8030" spans="1:5" collapsed="1">
      <c r="A8030" s="28" t="s">
        <v>8228</v>
      </c>
      <c r="B8030" s="28">
        <v>0</v>
      </c>
      <c r="C8030" s="28">
        <v>0</v>
      </c>
      <c r="D8030" s="28">
        <v>0</v>
      </c>
      <c r="E8030" s="28">
        <v>0</v>
      </c>
    </row>
    <row r="8031" spans="1:5" hidden="1" outlineLevel="1">
      <c r="A8031" s="2">
        <v>0</v>
      </c>
      <c r="B8031" s="26" t="s">
        <v>8229</v>
      </c>
      <c r="C8031" s="27">
        <v>0</v>
      </c>
      <c r="D8031" s="27">
        <v>0</v>
      </c>
      <c r="E8031" s="27">
        <v>0</v>
      </c>
    </row>
    <row r="8032" spans="1:5" hidden="1" outlineLevel="2">
      <c r="A8032" s="3" t="e">
        <f>(HYPERLINK("http://www.autodoc.ru/Web/price/art/7506ACL?analog=on","7506ACL"))*1</f>
        <v>#VALUE!</v>
      </c>
      <c r="B8032" s="1">
        <v>6950243</v>
      </c>
      <c r="C8032" t="s">
        <v>1542</v>
      </c>
      <c r="D8032" t="s">
        <v>8230</v>
      </c>
      <c r="E8032" t="s">
        <v>8</v>
      </c>
    </row>
    <row r="8033" spans="1:5" hidden="1" outlineLevel="2">
      <c r="A8033" s="3" t="e">
        <f>(HYPERLINK("http://www.autodoc.ru/Web/price/art/7506AGN?analog=on","7506AGN"))*1</f>
        <v>#VALUE!</v>
      </c>
      <c r="B8033" s="1">
        <v>6963505</v>
      </c>
      <c r="C8033" t="s">
        <v>1542</v>
      </c>
      <c r="D8033" t="s">
        <v>8231</v>
      </c>
      <c r="E8033" t="s">
        <v>8</v>
      </c>
    </row>
    <row r="8034" spans="1:5" hidden="1" outlineLevel="2">
      <c r="A8034" s="3" t="e">
        <f>(HYPERLINK("http://www.autodoc.ru/Web/price/art/7506AGNGN?analog=on","7506AGNGN"))*1</f>
        <v>#VALUE!</v>
      </c>
      <c r="B8034" s="1">
        <v>6964014</v>
      </c>
      <c r="C8034" t="s">
        <v>1542</v>
      </c>
      <c r="D8034" t="s">
        <v>8232</v>
      </c>
      <c r="E8034" t="s">
        <v>8</v>
      </c>
    </row>
    <row r="8035" spans="1:5" hidden="1" outlineLevel="2">
      <c r="A8035" s="3" t="e">
        <f>(HYPERLINK("http://www.autodoc.ru/Web/price/art/7506ASRL?analog=on","7506ASRL"))*1</f>
        <v>#VALUE!</v>
      </c>
      <c r="B8035" s="1">
        <v>6100533</v>
      </c>
      <c r="C8035" t="s">
        <v>19</v>
      </c>
      <c r="D8035" t="s">
        <v>8233</v>
      </c>
      <c r="E8035" t="s">
        <v>21</v>
      </c>
    </row>
    <row r="8036" spans="1:5" hidden="1" outlineLevel="2">
      <c r="A8036" s="3" t="e">
        <f>(HYPERLINK("http://www.autodoc.ru/Web/price/art/7506LGNL2FDW?analog=on","7506LGNL2FDW"))*1</f>
        <v>#VALUE!</v>
      </c>
      <c r="B8036" s="1">
        <v>6994652</v>
      </c>
      <c r="C8036" t="s">
        <v>1542</v>
      </c>
      <c r="D8036" t="s">
        <v>8234</v>
      </c>
      <c r="E8036" t="s">
        <v>10</v>
      </c>
    </row>
    <row r="8037" spans="1:5" hidden="1" outlineLevel="2">
      <c r="A8037" s="3" t="e">
        <f>(HYPERLINK("http://www.autodoc.ru/Web/price/art/7506RGNL2FDW?analog=on","7506RGNL2FDW"))*1</f>
        <v>#VALUE!</v>
      </c>
      <c r="B8037" s="1">
        <v>6994653</v>
      </c>
      <c r="C8037" t="s">
        <v>1542</v>
      </c>
      <c r="D8037" t="s">
        <v>8235</v>
      </c>
      <c r="E8037" t="s">
        <v>10</v>
      </c>
    </row>
    <row r="8038" spans="1:5" hidden="1" outlineLevel="1">
      <c r="A8038" s="2">
        <v>0</v>
      </c>
      <c r="B8038" s="26" t="s">
        <v>8236</v>
      </c>
      <c r="C8038" s="27">
        <v>0</v>
      </c>
      <c r="D8038" s="27">
        <v>0</v>
      </c>
      <c r="E8038" s="27">
        <v>0</v>
      </c>
    </row>
    <row r="8039" spans="1:5" hidden="1" outlineLevel="2">
      <c r="A8039" s="3" t="e">
        <f>(HYPERLINK("http://www.autodoc.ru/Web/price/art/7507ACL?analog=on","7507ACL"))*1</f>
        <v>#VALUE!</v>
      </c>
      <c r="B8039" s="1">
        <v>6962287</v>
      </c>
      <c r="C8039" t="s">
        <v>425</v>
      </c>
      <c r="D8039" t="s">
        <v>8237</v>
      </c>
      <c r="E8039" t="s">
        <v>8</v>
      </c>
    </row>
    <row r="8040" spans="1:5" hidden="1" outlineLevel="2">
      <c r="A8040" s="3" t="e">
        <f>(HYPERLINK("http://www.autodoc.ru/Web/price/art/7507AGN?analog=on","7507AGN"))*1</f>
        <v>#VALUE!</v>
      </c>
      <c r="B8040" s="1">
        <v>6961500</v>
      </c>
      <c r="C8040" t="s">
        <v>425</v>
      </c>
      <c r="D8040" t="s">
        <v>8238</v>
      </c>
      <c r="E8040" t="s">
        <v>8</v>
      </c>
    </row>
    <row r="8041" spans="1:5" hidden="1" outlineLevel="1">
      <c r="A8041" s="2">
        <v>0</v>
      </c>
      <c r="B8041" s="26" t="s">
        <v>8239</v>
      </c>
      <c r="C8041" s="27">
        <v>0</v>
      </c>
      <c r="D8041" s="27">
        <v>0</v>
      </c>
      <c r="E8041" s="27">
        <v>0</v>
      </c>
    </row>
    <row r="8042" spans="1:5" hidden="1" outlineLevel="2">
      <c r="A8042" s="3" t="e">
        <f>(HYPERLINK("http://www.autodoc.ru/Web/price/art/7503ACL?analog=on","7503ACL"))*1</f>
        <v>#VALUE!</v>
      </c>
      <c r="B8042" s="1">
        <v>6964184</v>
      </c>
      <c r="C8042" t="s">
        <v>19</v>
      </c>
      <c r="D8042" t="s">
        <v>8240</v>
      </c>
      <c r="E8042" t="s">
        <v>8</v>
      </c>
    </row>
    <row r="8043" spans="1:5" hidden="1" outlineLevel="1">
      <c r="A8043" s="2">
        <v>0</v>
      </c>
      <c r="B8043" s="26" t="s">
        <v>8241</v>
      </c>
      <c r="C8043" s="27">
        <v>0</v>
      </c>
      <c r="D8043" s="27">
        <v>0</v>
      </c>
      <c r="E8043" s="27">
        <v>0</v>
      </c>
    </row>
    <row r="8044" spans="1:5" hidden="1" outlineLevel="2">
      <c r="A8044" s="3" t="e">
        <f>(HYPERLINK("http://www.autodoc.ru/Web/price/art/7505ABZ?analog=on","7505ABZ"))*1</f>
        <v>#VALUE!</v>
      </c>
      <c r="B8044" s="1">
        <v>6969999</v>
      </c>
      <c r="C8044" t="s">
        <v>8242</v>
      </c>
      <c r="D8044" t="s">
        <v>8243</v>
      </c>
      <c r="E8044" t="s">
        <v>8</v>
      </c>
    </row>
    <row r="8045" spans="1:5" hidden="1" outlineLevel="2">
      <c r="A8045" s="3" t="e">
        <f>(HYPERLINK("http://www.autodoc.ru/Web/price/art/7505ACL?analog=on","7505ACL"))*1</f>
        <v>#VALUE!</v>
      </c>
      <c r="B8045" s="1">
        <v>6969986</v>
      </c>
      <c r="C8045" t="s">
        <v>8242</v>
      </c>
      <c r="D8045" t="s">
        <v>8244</v>
      </c>
      <c r="E8045" t="s">
        <v>8</v>
      </c>
    </row>
    <row r="8046" spans="1:5" hidden="1" outlineLevel="2">
      <c r="A8046" s="3" t="e">
        <f>(HYPERLINK("http://www.autodoc.ru/Web/price/art/7505AGN?analog=on","7505AGN"))*1</f>
        <v>#VALUE!</v>
      </c>
      <c r="B8046" s="1">
        <v>6969988</v>
      </c>
      <c r="C8046" t="s">
        <v>8242</v>
      </c>
      <c r="D8046" t="s">
        <v>8245</v>
      </c>
      <c r="E8046" t="s">
        <v>8</v>
      </c>
    </row>
    <row r="8047" spans="1:5" hidden="1" outlineLevel="2">
      <c r="A8047" s="3" t="e">
        <f>(HYPERLINK("http://www.autodoc.ru/Web/price/art/7505AGNGN?analog=on","7505AGNGN"))*1</f>
        <v>#VALUE!</v>
      </c>
      <c r="B8047" s="1">
        <v>6969987</v>
      </c>
      <c r="C8047" t="s">
        <v>8242</v>
      </c>
      <c r="D8047" t="s">
        <v>8246</v>
      </c>
      <c r="E8047" t="s">
        <v>8</v>
      </c>
    </row>
    <row r="8048" spans="1:5" hidden="1" outlineLevel="2">
      <c r="A8048" s="3" t="e">
        <f>(HYPERLINK("http://www.autodoc.ru/Web/price/art/7505ASRL?analog=on","7505ASRL"))*1</f>
        <v>#VALUE!</v>
      </c>
      <c r="B8048" s="1">
        <v>6100532</v>
      </c>
      <c r="C8048" t="s">
        <v>19</v>
      </c>
      <c r="D8048" t="s">
        <v>8247</v>
      </c>
      <c r="E8048" t="s">
        <v>21</v>
      </c>
    </row>
    <row r="8049" spans="1:5" hidden="1" outlineLevel="2">
      <c r="A8049" s="3" t="e">
        <f>(HYPERLINK("http://www.autodoc.ru/Web/price/art/7505FCLL2FD?analog=on","7505FCLL2FD"))*1</f>
        <v>#VALUE!</v>
      </c>
      <c r="B8049" s="1">
        <v>6995462</v>
      </c>
      <c r="C8049" t="s">
        <v>8242</v>
      </c>
      <c r="D8049" t="s">
        <v>8248</v>
      </c>
      <c r="E8049" t="s">
        <v>10</v>
      </c>
    </row>
    <row r="8050" spans="1:5" collapsed="1">
      <c r="A8050" s="28" t="s">
        <v>8249</v>
      </c>
      <c r="B8050" s="28">
        <v>0</v>
      </c>
      <c r="C8050" s="28">
        <v>0</v>
      </c>
      <c r="D8050" s="28">
        <v>0</v>
      </c>
      <c r="E8050" s="28">
        <v>0</v>
      </c>
    </row>
    <row r="8051" spans="1:5" hidden="1" outlineLevel="1">
      <c r="A8051" s="2">
        <v>0</v>
      </c>
      <c r="B8051" s="26" t="s">
        <v>8250</v>
      </c>
      <c r="C8051" s="27">
        <v>0</v>
      </c>
      <c r="D8051" s="27">
        <v>0</v>
      </c>
      <c r="E8051" s="27">
        <v>0</v>
      </c>
    </row>
    <row r="8052" spans="1:5" hidden="1" outlineLevel="2">
      <c r="A8052" s="3" t="e">
        <f>(HYPERLINK("http://www.autodoc.ru/Web/price/art/7606AGN?analog=on","7606AGN"))*1</f>
        <v>#VALUE!</v>
      </c>
      <c r="B8052" s="1">
        <v>6190139</v>
      </c>
      <c r="C8052" t="s">
        <v>2768</v>
      </c>
      <c r="D8052" t="s">
        <v>8251</v>
      </c>
      <c r="E8052" t="s">
        <v>8</v>
      </c>
    </row>
    <row r="8053" spans="1:5" hidden="1" outlineLevel="2">
      <c r="A8053" s="3" t="e">
        <f>(HYPERLINK("http://www.autodoc.ru/Web/price/art/7606AGNBL?analog=on","7606AGNBL"))*1</f>
        <v>#VALUE!</v>
      </c>
      <c r="B8053" s="1">
        <v>6190140</v>
      </c>
      <c r="C8053" t="s">
        <v>831</v>
      </c>
      <c r="D8053" t="s">
        <v>8252</v>
      </c>
      <c r="E8053" t="s">
        <v>8</v>
      </c>
    </row>
    <row r="8054" spans="1:5" hidden="1" outlineLevel="2">
      <c r="A8054" s="3" t="e">
        <f>(HYPERLINK("http://www.autodoc.ru/Web/price/art/7606AGNBLHV2P?analog=on","7606AGNBLHV2P"))*1</f>
        <v>#VALUE!</v>
      </c>
      <c r="B8054" s="1">
        <v>6190858</v>
      </c>
      <c r="C8054" t="s">
        <v>831</v>
      </c>
      <c r="D8054" t="s">
        <v>8253</v>
      </c>
      <c r="E8054" t="s">
        <v>8</v>
      </c>
    </row>
    <row r="8055" spans="1:5" hidden="1" outlineLevel="2">
      <c r="A8055" s="3" t="e">
        <f>(HYPERLINK("http://www.autodoc.ru/Web/price/art/7606AGNBLV2P?analog=on","7606AGNBLV2P"))*1</f>
        <v>#VALUE!</v>
      </c>
      <c r="B8055" s="1">
        <v>6190141</v>
      </c>
      <c r="C8055" t="s">
        <v>831</v>
      </c>
      <c r="D8055" t="s">
        <v>8254</v>
      </c>
      <c r="E8055" t="s">
        <v>8</v>
      </c>
    </row>
    <row r="8056" spans="1:5" hidden="1" outlineLevel="2">
      <c r="A8056" s="3" t="e">
        <f>(HYPERLINK("http://www.autodoc.ru/Web/price/art/7606AGNGN?analog=on","7606AGNGN"))*1</f>
        <v>#VALUE!</v>
      </c>
      <c r="B8056" s="1">
        <v>6190856</v>
      </c>
      <c r="C8056" t="s">
        <v>522</v>
      </c>
      <c r="D8056" t="s">
        <v>8255</v>
      </c>
      <c r="E8056" t="s">
        <v>8</v>
      </c>
    </row>
    <row r="8057" spans="1:5" hidden="1" outlineLevel="2">
      <c r="A8057" s="3" t="e">
        <f>(HYPERLINK("http://www.autodoc.ru/Web/price/art/7606AGNGNV2P?analog=on","7606AGNGNV2P"))*1</f>
        <v>#VALUE!</v>
      </c>
      <c r="B8057" s="1">
        <v>6190143</v>
      </c>
      <c r="C8057" t="s">
        <v>831</v>
      </c>
      <c r="D8057" t="s">
        <v>8256</v>
      </c>
      <c r="E8057" t="s">
        <v>8</v>
      </c>
    </row>
    <row r="8058" spans="1:5" hidden="1" outlineLevel="2">
      <c r="A8058" s="3" t="e">
        <f>(HYPERLINK("http://www.autodoc.ru/Web/price/art/7606AGNHV1P?analog=on","7606AGNHV1P"))*1</f>
        <v>#VALUE!</v>
      </c>
      <c r="B8058" s="1">
        <v>6190146</v>
      </c>
      <c r="C8058" t="s">
        <v>538</v>
      </c>
      <c r="D8058" t="s">
        <v>8257</v>
      </c>
      <c r="E8058" t="s">
        <v>8</v>
      </c>
    </row>
    <row r="8059" spans="1:5" hidden="1" outlineLevel="2">
      <c r="A8059" s="3" t="e">
        <f>(HYPERLINK("http://www.autodoc.ru/Web/price/art/7606AGNHV2P?analog=on","7606AGNHV2P"))*1</f>
        <v>#VALUE!</v>
      </c>
      <c r="B8059" s="1">
        <v>6190147</v>
      </c>
      <c r="C8059" t="s">
        <v>831</v>
      </c>
      <c r="D8059" t="s">
        <v>8258</v>
      </c>
      <c r="E8059" t="s">
        <v>8</v>
      </c>
    </row>
    <row r="8060" spans="1:5" hidden="1" outlineLevel="2">
      <c r="A8060" s="3" t="e">
        <f>(HYPERLINK("http://www.autodoc.ru/Web/price/art/7606AGNV2P?analog=on","7606AGNV2P"))*1</f>
        <v>#VALUE!</v>
      </c>
      <c r="B8060" s="1">
        <v>6190149</v>
      </c>
      <c r="C8060" t="s">
        <v>831</v>
      </c>
      <c r="D8060" t="s">
        <v>8259</v>
      </c>
      <c r="E8060" t="s">
        <v>8</v>
      </c>
    </row>
    <row r="8061" spans="1:5" hidden="1" outlineLevel="2">
      <c r="A8061" s="3" t="e">
        <f>(HYPERLINK("http://www.autodoc.ru/Web/price/art/7606AGSVW2P?analog=on","7606AGSVW2P"))*1</f>
        <v>#VALUE!</v>
      </c>
      <c r="B8061" s="1">
        <v>6190862</v>
      </c>
      <c r="C8061" t="s">
        <v>879</v>
      </c>
      <c r="D8061" t="s">
        <v>8260</v>
      </c>
      <c r="E8061" t="s">
        <v>8</v>
      </c>
    </row>
    <row r="8062" spans="1:5" hidden="1" outlineLevel="2">
      <c r="A8062" s="3" t="e">
        <f>(HYPERLINK("http://www.autodoc.ru/Web/price/art/7606ASMVT?analog=on","7606ASMVT"))*1</f>
        <v>#VALUE!</v>
      </c>
      <c r="B8062" s="1">
        <v>6190777</v>
      </c>
      <c r="C8062" t="s">
        <v>19</v>
      </c>
      <c r="D8062" t="s">
        <v>8261</v>
      </c>
      <c r="E8062" t="s">
        <v>21</v>
      </c>
    </row>
    <row r="8063" spans="1:5" hidden="1" outlineLevel="2">
      <c r="A8063" s="3" t="e">
        <f>(HYPERLINK("http://www.autodoc.ru/Web/price/art/7606BGNV?analog=on","7606BGNV"))*1</f>
        <v>#VALUE!</v>
      </c>
      <c r="B8063" s="1">
        <v>6190150</v>
      </c>
      <c r="C8063" t="s">
        <v>2768</v>
      </c>
      <c r="D8063" t="s">
        <v>8262</v>
      </c>
      <c r="E8063" t="s">
        <v>23</v>
      </c>
    </row>
    <row r="8064" spans="1:5" hidden="1" outlineLevel="2">
      <c r="A8064" s="3" t="e">
        <f>(HYPERLINK("http://www.autodoc.ru/Web/price/art/7606BGNVB?analog=on","7606BGNVB"))*1</f>
        <v>#VALUE!</v>
      </c>
      <c r="B8064" s="1">
        <v>6190151</v>
      </c>
      <c r="C8064" t="s">
        <v>2768</v>
      </c>
      <c r="D8064" t="s">
        <v>8263</v>
      </c>
      <c r="E8064" t="s">
        <v>23</v>
      </c>
    </row>
    <row r="8065" spans="1:5" hidden="1" outlineLevel="2">
      <c r="A8065" s="3" t="e">
        <f>(HYPERLINK("http://www.autodoc.ru/Web/price/art/7606BSMV?analog=on","7606BSMV"))*1</f>
        <v>#VALUE!</v>
      </c>
      <c r="B8065" s="1">
        <v>6190778</v>
      </c>
      <c r="C8065" t="s">
        <v>19</v>
      </c>
      <c r="D8065" t="s">
        <v>8264</v>
      </c>
      <c r="E8065" t="s">
        <v>21</v>
      </c>
    </row>
    <row r="8066" spans="1:5" hidden="1" outlineLevel="2">
      <c r="A8066" s="3" t="e">
        <f>(HYPERLINK("http://www.autodoc.ru/Web/price/art/7606LGNV5FD?analog=on","7606LGNV5FD"))*1</f>
        <v>#VALUE!</v>
      </c>
      <c r="B8066" s="1">
        <v>6190152</v>
      </c>
      <c r="C8066" t="s">
        <v>2768</v>
      </c>
      <c r="D8066" t="s">
        <v>8265</v>
      </c>
      <c r="E8066" t="s">
        <v>10</v>
      </c>
    </row>
    <row r="8067" spans="1:5" hidden="1" outlineLevel="2">
      <c r="A8067" s="3" t="e">
        <f>(HYPERLINK("http://www.autodoc.ru/Web/price/art/7606LGNV5RD?analog=on","7606LGNV5RD"))*1</f>
        <v>#VALUE!</v>
      </c>
      <c r="B8067" s="1">
        <v>6190154</v>
      </c>
      <c r="C8067" t="s">
        <v>2768</v>
      </c>
      <c r="D8067" t="s">
        <v>8266</v>
      </c>
      <c r="E8067" t="s">
        <v>10</v>
      </c>
    </row>
    <row r="8068" spans="1:5" hidden="1" outlineLevel="2">
      <c r="A8068" s="3" t="e">
        <f>(HYPERLINK("http://www.autodoc.ru/Web/price/art/7606RGNV5FD?analog=on","7606RGNV5FD"))*1</f>
        <v>#VALUE!</v>
      </c>
      <c r="B8068" s="1">
        <v>6190156</v>
      </c>
      <c r="C8068" t="s">
        <v>2768</v>
      </c>
      <c r="D8068" t="s">
        <v>8267</v>
      </c>
      <c r="E8068" t="s">
        <v>10</v>
      </c>
    </row>
    <row r="8069" spans="1:5" hidden="1" outlineLevel="2">
      <c r="A8069" s="3" t="e">
        <f>(HYPERLINK("http://www.autodoc.ru/Web/price/art/7606RGNV5RD?analog=on","7606RGNV5RD"))*1</f>
        <v>#VALUE!</v>
      </c>
      <c r="B8069" s="1">
        <v>6190158</v>
      </c>
      <c r="C8069" t="s">
        <v>2768</v>
      </c>
      <c r="D8069" t="s">
        <v>8268</v>
      </c>
      <c r="E8069" t="s">
        <v>10</v>
      </c>
    </row>
    <row r="8070" spans="1:5" hidden="1" outlineLevel="1">
      <c r="A8070" s="2">
        <v>0</v>
      </c>
      <c r="B8070" s="26" t="s">
        <v>8269</v>
      </c>
      <c r="C8070" s="27">
        <v>0</v>
      </c>
      <c r="D8070" s="27">
        <v>0</v>
      </c>
      <c r="E8070" s="27">
        <v>0</v>
      </c>
    </row>
    <row r="8071" spans="1:5" hidden="1" outlineLevel="2">
      <c r="A8071" s="3" t="e">
        <f>(HYPERLINK("http://www.autodoc.ru/Web/price/art/7612AGSBLVZ?analog=on","7612AGSBLVZ"))*1</f>
        <v>#VALUE!</v>
      </c>
      <c r="B8071" s="1">
        <v>6961259</v>
      </c>
      <c r="C8071" t="s">
        <v>1048</v>
      </c>
      <c r="D8071" t="s">
        <v>8270</v>
      </c>
      <c r="E8071" t="s">
        <v>8</v>
      </c>
    </row>
    <row r="8072" spans="1:5" hidden="1" outlineLevel="2">
      <c r="A8072" s="3" t="e">
        <f>(HYPERLINK("http://www.autodoc.ru/Web/price/art/7612RGSV5FD?analog=on","7612RGSV5FD"))*1</f>
        <v>#VALUE!</v>
      </c>
      <c r="B8072" s="1">
        <v>6993894</v>
      </c>
      <c r="C8072" t="s">
        <v>1048</v>
      </c>
      <c r="D8072" t="s">
        <v>8271</v>
      </c>
      <c r="E8072" t="s">
        <v>10</v>
      </c>
    </row>
    <row r="8073" spans="1:5" hidden="1" outlineLevel="2">
      <c r="A8073" s="3" t="e">
        <f>(HYPERLINK("http://www.autodoc.ru/Web/price/art/7612AGSMVZ1B?analog=on","7612AGSMVZ1B"))*1</f>
        <v>#VALUE!</v>
      </c>
      <c r="B8073" s="1">
        <v>6962991</v>
      </c>
      <c r="C8073" t="s">
        <v>366</v>
      </c>
      <c r="D8073" t="s">
        <v>8272</v>
      </c>
      <c r="E8073" t="s">
        <v>8</v>
      </c>
    </row>
    <row r="8074" spans="1:5" hidden="1" outlineLevel="2">
      <c r="A8074" s="3" t="e">
        <f>(HYPERLINK("http://www.autodoc.ru/Web/price/art/7612AGSVZ?analog=on","7612AGSVZ"))*1</f>
        <v>#VALUE!</v>
      </c>
      <c r="B8074" s="1">
        <v>6962992</v>
      </c>
      <c r="C8074" t="s">
        <v>366</v>
      </c>
      <c r="D8074" t="s">
        <v>8273</v>
      </c>
      <c r="E8074" t="s">
        <v>8</v>
      </c>
    </row>
    <row r="8075" spans="1:5" hidden="1" outlineLevel="1">
      <c r="A8075" s="2">
        <v>0</v>
      </c>
      <c r="B8075" s="26" t="s">
        <v>8274</v>
      </c>
      <c r="C8075" s="27">
        <v>0</v>
      </c>
      <c r="D8075" s="27">
        <v>0</v>
      </c>
      <c r="E8075" s="27">
        <v>0</v>
      </c>
    </row>
    <row r="8076" spans="1:5" hidden="1" outlineLevel="2">
      <c r="A8076" s="3" t="e">
        <f>(HYPERLINK("http://www.autodoc.ru/Web/price/art/7607AGNZ?analog=on","7607AGNZ"))*1</f>
        <v>#VALUE!</v>
      </c>
      <c r="B8076" s="1">
        <v>6963345</v>
      </c>
      <c r="C8076" t="s">
        <v>654</v>
      </c>
      <c r="D8076" t="s">
        <v>8275</v>
      </c>
      <c r="E8076" t="s">
        <v>8</v>
      </c>
    </row>
    <row r="8077" spans="1:5" hidden="1" outlineLevel="2">
      <c r="A8077" s="3" t="e">
        <f>(HYPERLINK("http://www.autodoc.ru/Web/price/art/7607BGNHZ?analog=on","7607BGNHZ"))*1</f>
        <v>#VALUE!</v>
      </c>
      <c r="B8077" s="1">
        <v>6998923</v>
      </c>
      <c r="C8077" t="s">
        <v>654</v>
      </c>
      <c r="D8077" t="s">
        <v>8276</v>
      </c>
      <c r="E8077" t="s">
        <v>23</v>
      </c>
    </row>
    <row r="8078" spans="1:5" hidden="1" outlineLevel="2">
      <c r="A8078" s="3" t="e">
        <f>(HYPERLINK("http://www.autodoc.ru/Web/price/art/7607LGNH3FD?analog=on","7607LGNH3FD"))*1</f>
        <v>#VALUE!</v>
      </c>
      <c r="B8078" s="1">
        <v>6994656</v>
      </c>
      <c r="C8078" t="s">
        <v>654</v>
      </c>
      <c r="D8078" t="s">
        <v>8277</v>
      </c>
      <c r="E8078" t="s">
        <v>10</v>
      </c>
    </row>
    <row r="8079" spans="1:5" hidden="1" outlineLevel="2">
      <c r="A8079" s="3" t="e">
        <f>(HYPERLINK("http://www.autodoc.ru/Web/price/art/7607RGNH3FD?analog=on","7607RGNH3FD"))*1</f>
        <v>#VALUE!</v>
      </c>
      <c r="B8079" s="1">
        <v>6994658</v>
      </c>
      <c r="C8079" t="s">
        <v>654</v>
      </c>
      <c r="D8079" t="s">
        <v>8278</v>
      </c>
      <c r="E8079" t="s">
        <v>10</v>
      </c>
    </row>
    <row r="8080" spans="1:5" hidden="1" outlineLevel="1">
      <c r="A8080" s="2">
        <v>0</v>
      </c>
      <c r="B8080" s="26" t="s">
        <v>8279</v>
      </c>
      <c r="C8080" s="27">
        <v>0</v>
      </c>
      <c r="D8080" s="27">
        <v>0</v>
      </c>
      <c r="E8080" s="27">
        <v>0</v>
      </c>
    </row>
    <row r="8081" spans="1:5" hidden="1" outlineLevel="2">
      <c r="A8081" s="3" t="e">
        <f>(HYPERLINK("http://www.autodoc.ru/Web/price/art/7610AGSMVZ?analog=on","7610AGSMVZ"))*1</f>
        <v>#VALUE!</v>
      </c>
      <c r="B8081" s="1">
        <v>6960799</v>
      </c>
      <c r="C8081" t="s">
        <v>2633</v>
      </c>
      <c r="D8081" t="s">
        <v>8280</v>
      </c>
      <c r="E8081" t="s">
        <v>8</v>
      </c>
    </row>
    <row r="8082" spans="1:5" hidden="1" outlineLevel="2">
      <c r="A8082" s="3" t="e">
        <f>(HYPERLINK("http://www.autodoc.ru/Web/price/art/7610AGSVZ?analog=on","7610AGSVZ"))*1</f>
        <v>#VALUE!</v>
      </c>
      <c r="B8082" s="1">
        <v>6960798</v>
      </c>
      <c r="C8082" t="s">
        <v>2633</v>
      </c>
      <c r="D8082" t="s">
        <v>8281</v>
      </c>
      <c r="E8082" t="s">
        <v>8</v>
      </c>
    </row>
    <row r="8083" spans="1:5" hidden="1" outlineLevel="2">
      <c r="A8083" s="3" t="e">
        <f>(HYPERLINK("http://www.autodoc.ru/Web/price/art/7610LGSH3FD?analog=on","7610LGSH3FD"))*1</f>
        <v>#VALUE!</v>
      </c>
      <c r="B8083" s="1">
        <v>6992598</v>
      </c>
      <c r="C8083" t="s">
        <v>2633</v>
      </c>
      <c r="D8083" t="s">
        <v>8282</v>
      </c>
      <c r="E8083" t="s">
        <v>10</v>
      </c>
    </row>
    <row r="8084" spans="1:5" hidden="1" outlineLevel="2">
      <c r="A8084" s="3" t="e">
        <f>(HYPERLINK("http://www.autodoc.ru/Web/price/art/7610LGSH5FD?analog=on","7610LGSH5FD"))*1</f>
        <v>#VALUE!</v>
      </c>
      <c r="B8084" s="1">
        <v>6992603</v>
      </c>
      <c r="C8084" t="s">
        <v>2633</v>
      </c>
      <c r="D8084" t="s">
        <v>8283</v>
      </c>
      <c r="E8084" t="s">
        <v>10</v>
      </c>
    </row>
    <row r="8085" spans="1:5" hidden="1" outlineLevel="2">
      <c r="A8085" s="3" t="e">
        <f>(HYPERLINK("http://www.autodoc.ru/Web/price/art/7610LGSH5RDW?analog=on","7610LGSH5RDW"))*1</f>
        <v>#VALUE!</v>
      </c>
      <c r="B8085" s="1">
        <v>6992618</v>
      </c>
      <c r="C8085" t="s">
        <v>2633</v>
      </c>
      <c r="D8085" t="s">
        <v>8284</v>
      </c>
      <c r="E8085" t="s">
        <v>10</v>
      </c>
    </row>
    <row r="8086" spans="1:5" hidden="1" outlineLevel="2">
      <c r="A8086" s="3" t="e">
        <f>(HYPERLINK("http://www.autodoc.ru/Web/price/art/7610RGSH3FD?analog=on","7610RGSH3FD"))*1</f>
        <v>#VALUE!</v>
      </c>
      <c r="B8086" s="1">
        <v>6992600</v>
      </c>
      <c r="C8086" t="s">
        <v>2633</v>
      </c>
      <c r="D8086" t="s">
        <v>8285</v>
      </c>
      <c r="E8086" t="s">
        <v>10</v>
      </c>
    </row>
    <row r="8087" spans="1:5" hidden="1" outlineLevel="2">
      <c r="A8087" s="3" t="e">
        <f>(HYPERLINK("http://www.autodoc.ru/Web/price/art/7610RGSH5FD?analog=on","7610RGSH5FD"))*1</f>
        <v>#VALUE!</v>
      </c>
      <c r="B8087" s="1">
        <v>6992617</v>
      </c>
      <c r="C8087" t="s">
        <v>2633</v>
      </c>
      <c r="D8087" t="s">
        <v>8286</v>
      </c>
      <c r="E8087" t="s">
        <v>10</v>
      </c>
    </row>
    <row r="8088" spans="1:5" hidden="1" outlineLevel="2">
      <c r="A8088" s="3" t="e">
        <f>(HYPERLINK("http://www.autodoc.ru/Web/price/art/7610RGSH5RDW?analog=on","7610RGSH5RDW"))*1</f>
        <v>#VALUE!</v>
      </c>
      <c r="B8088" s="1">
        <v>6992619</v>
      </c>
      <c r="C8088" t="s">
        <v>2633</v>
      </c>
      <c r="D8088" t="s">
        <v>8287</v>
      </c>
      <c r="E8088" t="s">
        <v>10</v>
      </c>
    </row>
    <row r="8089" spans="1:5" hidden="1" outlineLevel="1">
      <c r="A8089" s="2">
        <v>0</v>
      </c>
      <c r="B8089" s="26" t="s">
        <v>8288</v>
      </c>
      <c r="C8089" s="27">
        <v>0</v>
      </c>
      <c r="D8089" s="27">
        <v>0</v>
      </c>
      <c r="E8089" s="27">
        <v>0</v>
      </c>
    </row>
    <row r="8090" spans="1:5" hidden="1" outlineLevel="2">
      <c r="A8090" s="3" t="e">
        <f>(HYPERLINK("http://www.autodoc.ru/Web/price/art/7601ACL?analog=on","7601ACL"))*1</f>
        <v>#VALUE!</v>
      </c>
      <c r="B8090" s="1">
        <v>6960502</v>
      </c>
      <c r="C8090" t="s">
        <v>5047</v>
      </c>
      <c r="D8090" t="s">
        <v>8289</v>
      </c>
      <c r="E8090" t="s">
        <v>8</v>
      </c>
    </row>
    <row r="8091" spans="1:5" hidden="1" outlineLevel="2">
      <c r="A8091" s="3" t="e">
        <f>(HYPERLINK("http://www.autodoc.ru/Web/price/art/7601AGN?analog=on","7601AGN"))*1</f>
        <v>#VALUE!</v>
      </c>
      <c r="B8091" s="1">
        <v>6960501</v>
      </c>
      <c r="C8091" t="s">
        <v>5047</v>
      </c>
      <c r="D8091" t="s">
        <v>8290</v>
      </c>
      <c r="E8091" t="s">
        <v>8</v>
      </c>
    </row>
    <row r="8092" spans="1:5" hidden="1" outlineLevel="2">
      <c r="A8092" s="3" t="e">
        <f>(HYPERLINK("http://www.autodoc.ru/Web/price/art/7601ASRH?analog=on","7601ASRH"))*1</f>
        <v>#VALUE!</v>
      </c>
      <c r="B8092" s="1">
        <v>6100351</v>
      </c>
      <c r="C8092" t="s">
        <v>19</v>
      </c>
      <c r="D8092" t="s">
        <v>8291</v>
      </c>
      <c r="E8092" t="s">
        <v>21</v>
      </c>
    </row>
    <row r="8093" spans="1:5" hidden="1" outlineLevel="2">
      <c r="A8093" s="3" t="e">
        <f>(HYPERLINK("http://www.autodoc.ru/Web/price/art/7601BCLH?analog=on","7601BCLH"))*1</f>
        <v>#VALUE!</v>
      </c>
      <c r="B8093" s="1">
        <v>6998810</v>
      </c>
      <c r="C8093" t="s">
        <v>5047</v>
      </c>
      <c r="D8093" t="s">
        <v>8292</v>
      </c>
      <c r="E8093" t="s">
        <v>23</v>
      </c>
    </row>
    <row r="8094" spans="1:5" hidden="1" outlineLevel="2">
      <c r="A8094" s="3" t="e">
        <f>(HYPERLINK("http://www.autodoc.ru/Web/price/art/7601LCLH3FD?analog=on","7601LCLH3FD"))*1</f>
        <v>#VALUE!</v>
      </c>
      <c r="B8094" s="1">
        <v>6995463</v>
      </c>
      <c r="C8094" t="s">
        <v>5047</v>
      </c>
      <c r="D8094" t="s">
        <v>8293</v>
      </c>
      <c r="E8094" t="s">
        <v>10</v>
      </c>
    </row>
    <row r="8095" spans="1:5" hidden="1" outlineLevel="2">
      <c r="A8095" s="3" t="e">
        <f>(HYPERLINK("http://www.autodoc.ru/Web/price/art/7601LCLH3RQ?analog=on","7601LCLH3RQ"))*1</f>
        <v>#VALUE!</v>
      </c>
      <c r="B8095" s="1">
        <v>6995464</v>
      </c>
      <c r="C8095" t="s">
        <v>5047</v>
      </c>
      <c r="D8095" t="s">
        <v>8294</v>
      </c>
      <c r="E8095" t="s">
        <v>10</v>
      </c>
    </row>
    <row r="8096" spans="1:5" hidden="1" outlineLevel="2">
      <c r="A8096" s="3" t="e">
        <f>(HYPERLINK("http://www.autodoc.ru/Web/price/art/7601LCLH5FD?analog=on","7601LCLH5FD"))*1</f>
        <v>#VALUE!</v>
      </c>
      <c r="B8096" s="1">
        <v>6995465</v>
      </c>
      <c r="C8096" t="s">
        <v>5047</v>
      </c>
      <c r="D8096" t="s">
        <v>8295</v>
      </c>
      <c r="E8096" t="s">
        <v>10</v>
      </c>
    </row>
    <row r="8097" spans="1:5" hidden="1" outlineLevel="2">
      <c r="A8097" s="3" t="e">
        <f>(HYPERLINK("http://www.autodoc.ru/Web/price/art/7601LGNH3FD?analog=on","7601LGNH3FD"))*1</f>
        <v>#VALUE!</v>
      </c>
      <c r="B8097" s="1">
        <v>6995475</v>
      </c>
      <c r="C8097" t="s">
        <v>5047</v>
      </c>
      <c r="D8097" t="s">
        <v>8296</v>
      </c>
      <c r="E8097" t="s">
        <v>10</v>
      </c>
    </row>
    <row r="8098" spans="1:5" hidden="1" outlineLevel="2">
      <c r="A8098" s="3" t="e">
        <f>(HYPERLINK("http://www.autodoc.ru/Web/price/art/7601LGNH5FD?analog=on","7601LGNH5FD"))*1</f>
        <v>#VALUE!</v>
      </c>
      <c r="B8098" s="1">
        <v>6995477</v>
      </c>
      <c r="C8098" t="s">
        <v>5047</v>
      </c>
      <c r="D8098" t="s">
        <v>8297</v>
      </c>
      <c r="E8098" t="s">
        <v>10</v>
      </c>
    </row>
    <row r="8099" spans="1:5" hidden="1" outlineLevel="2">
      <c r="A8099" s="3" t="e">
        <f>(HYPERLINK("http://www.autodoc.ru/Web/price/art/7601RCLH3FD?analog=on","7601RCLH3FD"))*1</f>
        <v>#VALUE!</v>
      </c>
      <c r="B8099" s="1">
        <v>6995469</v>
      </c>
      <c r="C8099" t="s">
        <v>5047</v>
      </c>
      <c r="D8099" t="s">
        <v>8298</v>
      </c>
      <c r="E8099" t="s">
        <v>10</v>
      </c>
    </row>
    <row r="8100" spans="1:5" hidden="1" outlineLevel="2">
      <c r="A8100" s="3" t="e">
        <f>(HYPERLINK("http://www.autodoc.ru/Web/price/art/7601RCLH5RV?analog=on","7601RCLH5RV"))*1</f>
        <v>#VALUE!</v>
      </c>
      <c r="B8100" s="1">
        <v>6995474</v>
      </c>
      <c r="C8100" t="s">
        <v>5047</v>
      </c>
      <c r="D8100" t="s">
        <v>8299</v>
      </c>
      <c r="E8100" t="s">
        <v>10</v>
      </c>
    </row>
    <row r="8101" spans="1:5" hidden="1" outlineLevel="2">
      <c r="A8101" s="3" t="e">
        <f>(HYPERLINK("http://www.autodoc.ru/Web/price/art/7601RGNH3FD?analog=on","7601RGNH3FD"))*1</f>
        <v>#VALUE!</v>
      </c>
      <c r="B8101" s="1">
        <v>6995481</v>
      </c>
      <c r="C8101" t="s">
        <v>5047</v>
      </c>
      <c r="D8101" t="s">
        <v>8300</v>
      </c>
      <c r="E8101" t="s">
        <v>10</v>
      </c>
    </row>
    <row r="8102" spans="1:5" hidden="1" outlineLevel="2">
      <c r="A8102" s="3" t="e">
        <f>(HYPERLINK("http://www.autodoc.ru/Web/price/art/7601RGNH5FD?analog=on","7601RGNH5FD"))*1</f>
        <v>#VALUE!</v>
      </c>
      <c r="B8102" s="1">
        <v>6995483</v>
      </c>
      <c r="C8102" t="s">
        <v>5047</v>
      </c>
      <c r="D8102" t="s">
        <v>8301</v>
      </c>
      <c r="E8102" t="s">
        <v>10</v>
      </c>
    </row>
    <row r="8103" spans="1:5" hidden="1" outlineLevel="1">
      <c r="A8103" s="2">
        <v>0</v>
      </c>
      <c r="B8103" s="26" t="s">
        <v>8302</v>
      </c>
      <c r="C8103" s="27">
        <v>0</v>
      </c>
      <c r="D8103" s="27">
        <v>0</v>
      </c>
      <c r="E8103" s="27">
        <v>0</v>
      </c>
    </row>
    <row r="8104" spans="1:5" hidden="1" outlineLevel="2">
      <c r="A8104" s="3" t="e">
        <f>(HYPERLINK("http://www.autodoc.ru/Web/price/art/7609AGNGNMZ?analog=on","7609AGNGNMZ"))*1</f>
        <v>#VALUE!</v>
      </c>
      <c r="B8104" s="1">
        <v>6960436</v>
      </c>
      <c r="C8104" t="s">
        <v>3841</v>
      </c>
      <c r="D8104" t="s">
        <v>8303</v>
      </c>
      <c r="E8104" t="s">
        <v>8</v>
      </c>
    </row>
    <row r="8105" spans="1:5" hidden="1" outlineLevel="2">
      <c r="A8105" s="3" t="e">
        <f>(HYPERLINK("http://www.autodoc.ru/Web/price/art/7609AGNGNZ?analog=on","7609AGNGNZ"))*1</f>
        <v>#VALUE!</v>
      </c>
      <c r="B8105" s="1">
        <v>6960437</v>
      </c>
      <c r="C8105" t="s">
        <v>3841</v>
      </c>
      <c r="D8105" t="s">
        <v>8304</v>
      </c>
      <c r="E8105" t="s">
        <v>8</v>
      </c>
    </row>
    <row r="8106" spans="1:5" hidden="1" outlineLevel="2">
      <c r="A8106" s="3" t="e">
        <f>(HYPERLINK("http://www.autodoc.ru/Web/price/art/7609AGNGYZ?analog=on","7609AGNGYZ"))*1</f>
        <v>#VALUE!</v>
      </c>
      <c r="B8106" s="1">
        <v>6960922</v>
      </c>
      <c r="C8106" t="s">
        <v>3841</v>
      </c>
      <c r="D8106" t="s">
        <v>8305</v>
      </c>
      <c r="E8106" t="s">
        <v>8</v>
      </c>
    </row>
    <row r="8107" spans="1:5" hidden="1" outlineLevel="2">
      <c r="A8107" s="3" t="e">
        <f>(HYPERLINK("http://www.autodoc.ru/Web/price/art/7609AGNMZ?analog=on","7609AGNMZ"))*1</f>
        <v>#VALUE!</v>
      </c>
      <c r="B8107" s="1">
        <v>6960438</v>
      </c>
      <c r="C8107" t="s">
        <v>3841</v>
      </c>
      <c r="D8107" t="s">
        <v>8306</v>
      </c>
      <c r="E8107" t="s">
        <v>8</v>
      </c>
    </row>
    <row r="8108" spans="1:5" hidden="1" outlineLevel="2">
      <c r="A8108" s="3" t="e">
        <f>(HYPERLINK("http://www.autodoc.ru/Web/price/art/7609AGNZ?analog=on","7609AGNZ"))*1</f>
        <v>#VALUE!</v>
      </c>
      <c r="B8108" s="1">
        <v>6960439</v>
      </c>
      <c r="C8108" t="s">
        <v>3841</v>
      </c>
      <c r="D8108" t="s">
        <v>8307</v>
      </c>
      <c r="E8108" t="s">
        <v>8</v>
      </c>
    </row>
    <row r="8109" spans="1:5" hidden="1" outlineLevel="2">
      <c r="A8109" s="3" t="e">
        <f>(HYPERLINK("http://www.autodoc.ru/Web/price/art/7609LGNS4FD?analog=on","7609LGNS4FD"))*1</f>
        <v>#VALUE!</v>
      </c>
      <c r="B8109" s="1">
        <v>6190719</v>
      </c>
      <c r="C8109" t="s">
        <v>3841</v>
      </c>
      <c r="D8109" t="s">
        <v>8308</v>
      </c>
      <c r="E8109" t="s">
        <v>10</v>
      </c>
    </row>
    <row r="8110" spans="1:5" hidden="1" outlineLevel="2">
      <c r="A8110" s="3" t="e">
        <f>(HYPERLINK("http://www.autodoc.ru/Web/price/art/7609LGNS4RD?analog=on","7609LGNS4RD"))*1</f>
        <v>#VALUE!</v>
      </c>
      <c r="B8110" s="1">
        <v>6190720</v>
      </c>
      <c r="C8110" t="s">
        <v>3841</v>
      </c>
      <c r="D8110" t="s">
        <v>8309</v>
      </c>
      <c r="E8110" t="s">
        <v>10</v>
      </c>
    </row>
    <row r="8111" spans="1:5" hidden="1" outlineLevel="2">
      <c r="A8111" s="3" t="e">
        <f>(HYPERLINK("http://www.autodoc.ru/Web/price/art/7609RGNS4FD?analog=on","7609RGNS4FD"))*1</f>
        <v>#VALUE!</v>
      </c>
      <c r="B8111" s="1">
        <v>6190721</v>
      </c>
      <c r="C8111" t="s">
        <v>3841</v>
      </c>
      <c r="D8111" t="s">
        <v>8310</v>
      </c>
      <c r="E8111" t="s">
        <v>10</v>
      </c>
    </row>
    <row r="8112" spans="1:5" hidden="1" outlineLevel="2">
      <c r="A8112" s="3" t="e">
        <f>(HYPERLINK("http://www.autodoc.ru/Web/price/art/7609RGNS4RD?analog=on","7609RGNS4RD"))*1</f>
        <v>#VALUE!</v>
      </c>
      <c r="B8112" s="1">
        <v>6190722</v>
      </c>
      <c r="C8112" t="s">
        <v>3841</v>
      </c>
      <c r="D8112" t="s">
        <v>8311</v>
      </c>
      <c r="E8112" t="s">
        <v>10</v>
      </c>
    </row>
    <row r="8113" spans="1:5" hidden="1" outlineLevel="1">
      <c r="A8113" s="2">
        <v>0</v>
      </c>
      <c r="B8113" s="26" t="s">
        <v>8312</v>
      </c>
      <c r="C8113" s="27">
        <v>0</v>
      </c>
      <c r="D8113" s="27">
        <v>0</v>
      </c>
      <c r="E8113" s="27">
        <v>0</v>
      </c>
    </row>
    <row r="8114" spans="1:5" hidden="1" outlineLevel="2">
      <c r="A8114" s="3" t="e">
        <f>(HYPERLINK("http://www.autodoc.ru/Web/price/art/7604ACLW?analog=on","7604ACLW"))*1</f>
        <v>#VALUE!</v>
      </c>
      <c r="B8114" s="1">
        <v>6960505</v>
      </c>
      <c r="C8114" t="s">
        <v>1125</v>
      </c>
      <c r="D8114" t="s">
        <v>8313</v>
      </c>
      <c r="E8114" t="s">
        <v>8</v>
      </c>
    </row>
    <row r="8115" spans="1:5" hidden="1" outlineLevel="2">
      <c r="A8115" s="3" t="e">
        <f>(HYPERLINK("http://www.autodoc.ru/Web/price/art/7604AGNGNW?analog=on","7604AGNGNW"))*1</f>
        <v>#VALUE!</v>
      </c>
      <c r="B8115" s="1">
        <v>6960507</v>
      </c>
      <c r="C8115" t="s">
        <v>1125</v>
      </c>
      <c r="D8115" t="s">
        <v>8314</v>
      </c>
      <c r="E8115" t="s">
        <v>8</v>
      </c>
    </row>
    <row r="8116" spans="1:5" hidden="1" outlineLevel="2">
      <c r="A8116" s="3" t="e">
        <f>(HYPERLINK("http://www.autodoc.ru/Web/price/art/7604AGNGNW1J?analog=on","7604AGNGNW1J"))*1</f>
        <v>#VALUE!</v>
      </c>
      <c r="B8116" s="1">
        <v>6190572</v>
      </c>
      <c r="C8116" t="s">
        <v>1125</v>
      </c>
      <c r="D8116" t="s">
        <v>8315</v>
      </c>
      <c r="E8116" t="s">
        <v>8</v>
      </c>
    </row>
    <row r="8117" spans="1:5" hidden="1" outlineLevel="2">
      <c r="A8117" s="3" t="e">
        <f>(HYPERLINK("http://www.autodoc.ru/Web/price/art/7604AGNW?analog=on","7604AGNW"))*1</f>
        <v>#VALUE!</v>
      </c>
      <c r="B8117" s="1">
        <v>6960506</v>
      </c>
      <c r="C8117" t="s">
        <v>1125</v>
      </c>
      <c r="D8117" t="s">
        <v>8316</v>
      </c>
      <c r="E8117" t="s">
        <v>8</v>
      </c>
    </row>
    <row r="8118" spans="1:5" hidden="1" outlineLevel="2">
      <c r="A8118" s="3" t="e">
        <f>(HYPERLINK("http://www.autodoc.ru/Web/price/art/7604AGNW1D?analog=on","7604AGNW1D"))*1</f>
        <v>#VALUE!</v>
      </c>
      <c r="B8118" s="1">
        <v>6960967</v>
      </c>
      <c r="C8118" t="s">
        <v>1125</v>
      </c>
      <c r="D8118" t="s">
        <v>8317</v>
      </c>
      <c r="E8118" t="s">
        <v>8</v>
      </c>
    </row>
    <row r="8119" spans="1:5" hidden="1" outlineLevel="2">
      <c r="A8119" s="3" t="e">
        <f>(HYPERLINK("http://www.autodoc.ru/Web/price/art/7604AKCH?analog=on","7604AKCH"))*1</f>
        <v>#VALUE!</v>
      </c>
      <c r="B8119" s="1">
        <v>6101509</v>
      </c>
      <c r="C8119" t="s">
        <v>19</v>
      </c>
      <c r="D8119" t="s">
        <v>8318</v>
      </c>
      <c r="E8119" t="s">
        <v>21</v>
      </c>
    </row>
    <row r="8120" spans="1:5" hidden="1" outlineLevel="2">
      <c r="A8120" s="3" t="e">
        <f>(HYPERLINK("http://www.autodoc.ru/Web/price/art/7604ASMHT?analog=on","7604ASMHT"))*1</f>
        <v>#VALUE!</v>
      </c>
      <c r="B8120" s="1">
        <v>6100535</v>
      </c>
      <c r="C8120" t="s">
        <v>19</v>
      </c>
      <c r="D8120" t="s">
        <v>8319</v>
      </c>
      <c r="E8120" t="s">
        <v>21</v>
      </c>
    </row>
    <row r="8121" spans="1:5" hidden="1" outlineLevel="2">
      <c r="A8121" s="3" t="e">
        <f>(HYPERLINK("http://www.autodoc.ru/Web/price/art/7604BGNEW?analog=on","7604BGNEW"))*1</f>
        <v>#VALUE!</v>
      </c>
      <c r="B8121" s="1">
        <v>6190486</v>
      </c>
      <c r="C8121" t="s">
        <v>1125</v>
      </c>
      <c r="D8121" t="s">
        <v>8320</v>
      </c>
      <c r="E8121" t="s">
        <v>23</v>
      </c>
    </row>
    <row r="8122" spans="1:5" hidden="1" outlineLevel="2">
      <c r="A8122" s="3" t="e">
        <f>(HYPERLINK("http://www.autodoc.ru/Web/price/art/7604BGNHBZ?analog=on","7604BGNHBZ"))*1</f>
        <v>#VALUE!</v>
      </c>
      <c r="B8122" s="1">
        <v>6998815</v>
      </c>
      <c r="C8122" t="s">
        <v>1125</v>
      </c>
      <c r="D8122" t="s">
        <v>8321</v>
      </c>
      <c r="E8122" t="s">
        <v>23</v>
      </c>
    </row>
    <row r="8123" spans="1:5" hidden="1" outlineLevel="2">
      <c r="A8123" s="3" t="e">
        <f>(HYPERLINK("http://www.autodoc.ru/Web/price/art/7604BGNHBZ1H?analog=on","7604BGNHBZ1H"))*1</f>
        <v>#VALUE!</v>
      </c>
      <c r="B8123" s="1">
        <v>6998816</v>
      </c>
      <c r="C8123" t="s">
        <v>1125</v>
      </c>
      <c r="D8123" t="s">
        <v>8322</v>
      </c>
      <c r="E8123" t="s">
        <v>23</v>
      </c>
    </row>
    <row r="8124" spans="1:5" hidden="1" outlineLevel="2">
      <c r="A8124" s="3" t="e">
        <f>(HYPERLINK("http://www.autodoc.ru/Web/price/art/7604BGNHZ1H?analog=on","7604BGNHZ1H"))*1</f>
        <v>#VALUE!</v>
      </c>
      <c r="B8124" s="1">
        <v>6998818</v>
      </c>
      <c r="C8124" t="s">
        <v>1125</v>
      </c>
      <c r="D8124" t="s">
        <v>8323</v>
      </c>
      <c r="E8124" t="s">
        <v>23</v>
      </c>
    </row>
    <row r="8125" spans="1:5" hidden="1" outlineLevel="2">
      <c r="A8125" s="3" t="e">
        <f>(HYPERLINK("http://www.autodoc.ru/Web/price/art/7604BGNSZ?analog=on","7604BGNSZ"))*1</f>
        <v>#VALUE!</v>
      </c>
      <c r="B8125" s="1">
        <v>6992992</v>
      </c>
      <c r="C8125" t="s">
        <v>1125</v>
      </c>
      <c r="D8125" t="s">
        <v>8324</v>
      </c>
      <c r="E8125" t="s">
        <v>23</v>
      </c>
    </row>
    <row r="8126" spans="1:5" hidden="1" outlineLevel="2">
      <c r="A8126" s="3" t="e">
        <f>(HYPERLINK("http://www.autodoc.ru/Web/price/art/7604BGNVL?analog=on","7604BGNVL"))*1</f>
        <v>#VALUE!</v>
      </c>
      <c r="B8126" s="1">
        <v>6995933</v>
      </c>
      <c r="C8126" t="s">
        <v>1125</v>
      </c>
      <c r="D8126" t="s">
        <v>8325</v>
      </c>
      <c r="E8126" t="s">
        <v>23</v>
      </c>
    </row>
    <row r="8127" spans="1:5" hidden="1" outlineLevel="2">
      <c r="A8127" s="3" t="e">
        <f>(HYPERLINK("http://www.autodoc.ru/Web/price/art/7604LGNH3FD?analog=on","7604LGNH3FD"))*1</f>
        <v>#VALUE!</v>
      </c>
      <c r="B8127" s="1">
        <v>6995837</v>
      </c>
      <c r="C8127" t="s">
        <v>1125</v>
      </c>
      <c r="D8127" t="s">
        <v>8326</v>
      </c>
      <c r="E8127" t="s">
        <v>10</v>
      </c>
    </row>
    <row r="8128" spans="1:5" hidden="1" outlineLevel="2">
      <c r="A8128" s="3" t="e">
        <f>(HYPERLINK("http://www.autodoc.ru/Web/price/art/7604LGNH5FD?analog=on","7604LGNH5FD"))*1</f>
        <v>#VALUE!</v>
      </c>
      <c r="B8128" s="1">
        <v>6995838</v>
      </c>
      <c r="C8128" t="s">
        <v>1125</v>
      </c>
      <c r="D8128" t="s">
        <v>8326</v>
      </c>
      <c r="E8128" t="s">
        <v>10</v>
      </c>
    </row>
    <row r="8129" spans="1:5" hidden="1" outlineLevel="2">
      <c r="A8129" s="3" t="e">
        <f>(HYPERLINK("http://www.autodoc.ru/Web/price/art/7604LGNH5RD?analog=on","7604LGNH5RD"))*1</f>
        <v>#VALUE!</v>
      </c>
      <c r="B8129" s="1">
        <v>6995839</v>
      </c>
      <c r="C8129" t="s">
        <v>1125</v>
      </c>
      <c r="D8129" t="s">
        <v>8327</v>
      </c>
      <c r="E8129" t="s">
        <v>10</v>
      </c>
    </row>
    <row r="8130" spans="1:5" hidden="1" outlineLevel="2">
      <c r="A8130" s="3" t="e">
        <f>(HYPERLINK("http://www.autodoc.ru/Web/price/art/7604LGNS4FD?analog=on","7604LGNS4FD"))*1</f>
        <v>#VALUE!</v>
      </c>
      <c r="B8130" s="1">
        <v>6190489</v>
      </c>
      <c r="C8130" t="s">
        <v>1125</v>
      </c>
      <c r="D8130" t="s">
        <v>8328</v>
      </c>
      <c r="E8130" t="s">
        <v>10</v>
      </c>
    </row>
    <row r="8131" spans="1:5" hidden="1" outlineLevel="2">
      <c r="A8131" s="3" t="e">
        <f>(HYPERLINK("http://www.autodoc.ru/Web/price/art/7604RCLS4FD?analog=on","7604RCLS4FD"))*1</f>
        <v>#VALUE!</v>
      </c>
      <c r="B8131" s="1">
        <v>6190490</v>
      </c>
      <c r="C8131" t="s">
        <v>1125</v>
      </c>
      <c r="D8131" t="s">
        <v>8329</v>
      </c>
      <c r="E8131" t="s">
        <v>10</v>
      </c>
    </row>
    <row r="8132" spans="1:5" hidden="1" outlineLevel="2">
      <c r="A8132" s="3" t="e">
        <f>(HYPERLINK("http://www.autodoc.ru/Web/price/art/7604RGNH3FD?analog=on","7604RGNH3FD"))*1</f>
        <v>#VALUE!</v>
      </c>
      <c r="B8132" s="1">
        <v>6995840</v>
      </c>
      <c r="C8132" t="s">
        <v>1125</v>
      </c>
      <c r="D8132" t="s">
        <v>8330</v>
      </c>
      <c r="E8132" t="s">
        <v>10</v>
      </c>
    </row>
    <row r="8133" spans="1:5" hidden="1" outlineLevel="2">
      <c r="A8133" s="3" t="e">
        <f>(HYPERLINK("http://www.autodoc.ru/Web/price/art/7604RGNH5FD?analog=on","7604RGNH5FD"))*1</f>
        <v>#VALUE!</v>
      </c>
      <c r="B8133" s="1">
        <v>6995841</v>
      </c>
      <c r="C8133" t="s">
        <v>1125</v>
      </c>
      <c r="D8133" t="s">
        <v>8330</v>
      </c>
      <c r="E8133" t="s">
        <v>10</v>
      </c>
    </row>
    <row r="8134" spans="1:5" hidden="1" outlineLevel="2">
      <c r="A8134" s="3" t="e">
        <f>(HYPERLINK("http://www.autodoc.ru/Web/price/art/7604RGNH5RD?analog=on","7604RGNH5RD"))*1</f>
        <v>#VALUE!</v>
      </c>
      <c r="B8134" s="1">
        <v>6995842</v>
      </c>
      <c r="C8134" t="s">
        <v>1125</v>
      </c>
      <c r="D8134" t="s">
        <v>8331</v>
      </c>
      <c r="E8134" t="s">
        <v>10</v>
      </c>
    </row>
    <row r="8135" spans="1:5" hidden="1" outlineLevel="2">
      <c r="A8135" s="3" t="e">
        <f>(HYPERLINK("http://www.autodoc.ru/Web/price/art/7604RGNS4FD?analog=on","7604RGNS4FD"))*1</f>
        <v>#VALUE!</v>
      </c>
      <c r="B8135" s="1">
        <v>6190491</v>
      </c>
      <c r="C8135" t="s">
        <v>1125</v>
      </c>
      <c r="D8135" t="s">
        <v>8332</v>
      </c>
      <c r="E8135" t="s">
        <v>10</v>
      </c>
    </row>
    <row r="8136" spans="1:5" hidden="1" outlineLevel="1">
      <c r="A8136" s="2">
        <v>0</v>
      </c>
      <c r="B8136" s="26" t="s">
        <v>8333</v>
      </c>
      <c r="C8136" s="27">
        <v>0</v>
      </c>
      <c r="D8136" s="27">
        <v>0</v>
      </c>
      <c r="E8136" s="27">
        <v>0</v>
      </c>
    </row>
    <row r="8137" spans="1:5" hidden="1" outlineLevel="2">
      <c r="A8137" s="3" t="e">
        <f>(HYPERLINK("http://www.autodoc.ru/Web/price/art/7600ACL?analog=on","7600ACL"))*1</f>
        <v>#VALUE!</v>
      </c>
      <c r="B8137" s="1">
        <v>6190080</v>
      </c>
      <c r="C8137" t="s">
        <v>1842</v>
      </c>
      <c r="D8137" t="s">
        <v>8334</v>
      </c>
      <c r="E8137" t="s">
        <v>8</v>
      </c>
    </row>
    <row r="8138" spans="1:5" hidden="1" outlineLevel="2">
      <c r="A8138" s="3" t="e">
        <f>(HYPERLINK("http://www.autodoc.ru/Web/price/art/7600AGN?analog=on","7600AGN"))*1</f>
        <v>#VALUE!</v>
      </c>
      <c r="B8138" s="1">
        <v>6190081</v>
      </c>
      <c r="C8138" t="s">
        <v>1842</v>
      </c>
      <c r="D8138" t="s">
        <v>8335</v>
      </c>
      <c r="E8138" t="s">
        <v>8</v>
      </c>
    </row>
    <row r="8139" spans="1:5" hidden="1" outlineLevel="1">
      <c r="A8139" s="2">
        <v>0</v>
      </c>
      <c r="B8139" s="26" t="s">
        <v>8336</v>
      </c>
      <c r="C8139" s="27">
        <v>0</v>
      </c>
      <c r="D8139" s="27">
        <v>0</v>
      </c>
      <c r="E8139" s="27">
        <v>0</v>
      </c>
    </row>
    <row r="8140" spans="1:5" hidden="1" outlineLevel="2">
      <c r="A8140" s="3" t="e">
        <f>(HYPERLINK("http://www.autodoc.ru/Web/price/art/7603ACLW?analog=on","7603ACLW"))*1</f>
        <v>#VALUE!</v>
      </c>
      <c r="B8140" s="1">
        <v>6968150</v>
      </c>
      <c r="C8140" t="s">
        <v>1215</v>
      </c>
      <c r="D8140" t="s">
        <v>8337</v>
      </c>
      <c r="E8140" t="s">
        <v>8</v>
      </c>
    </row>
    <row r="8141" spans="1:5" hidden="1" outlineLevel="2">
      <c r="A8141" s="3" t="e">
        <f>(HYPERLINK("http://www.autodoc.ru/Web/price/art/7603AGNGNW?analog=on","7603AGNGNW"))*1</f>
        <v>#VALUE!</v>
      </c>
      <c r="B8141" s="1">
        <v>6968154</v>
      </c>
      <c r="C8141" t="s">
        <v>1215</v>
      </c>
      <c r="D8141" t="s">
        <v>8338</v>
      </c>
      <c r="E8141" t="s">
        <v>8</v>
      </c>
    </row>
    <row r="8142" spans="1:5" hidden="1" outlineLevel="2">
      <c r="A8142" s="3" t="e">
        <f>(HYPERLINK("http://www.autodoc.ru/Web/price/art/7603AGNGNW1C?analog=on","7603AGNGNW1C"))*1</f>
        <v>#VALUE!</v>
      </c>
      <c r="B8142" s="1">
        <v>6968155</v>
      </c>
      <c r="C8142" t="s">
        <v>1215</v>
      </c>
      <c r="D8142" t="s">
        <v>8339</v>
      </c>
      <c r="E8142" t="s">
        <v>8</v>
      </c>
    </row>
    <row r="8143" spans="1:5" hidden="1" outlineLevel="2">
      <c r="A8143" s="3" t="e">
        <f>(HYPERLINK("http://www.autodoc.ru/Web/price/art/7603AGNW?analog=on","7603AGNW"))*1</f>
        <v>#VALUE!</v>
      </c>
      <c r="B8143" s="1">
        <v>6968152</v>
      </c>
      <c r="C8143" t="s">
        <v>1215</v>
      </c>
      <c r="D8143" t="s">
        <v>8340</v>
      </c>
      <c r="E8143" t="s">
        <v>8</v>
      </c>
    </row>
    <row r="8144" spans="1:5" hidden="1" outlineLevel="2">
      <c r="A8144" s="3" t="e">
        <f>(HYPERLINK("http://www.autodoc.ru/Web/price/art/7603AGNW1C?analog=on","7603AGNW1C"))*1</f>
        <v>#VALUE!</v>
      </c>
      <c r="B8144" s="1">
        <v>6968153</v>
      </c>
      <c r="C8144" t="s">
        <v>1215</v>
      </c>
      <c r="D8144" t="s">
        <v>8341</v>
      </c>
      <c r="E8144" t="s">
        <v>8</v>
      </c>
    </row>
    <row r="8145" spans="1:5" hidden="1" outlineLevel="2">
      <c r="A8145" s="3" t="e">
        <f>(HYPERLINK("http://www.autodoc.ru/Web/price/art/7603AKCH?analog=on","7603AKCH"))*1</f>
        <v>#VALUE!</v>
      </c>
      <c r="B8145" s="1">
        <v>6102379</v>
      </c>
      <c r="C8145" t="s">
        <v>19</v>
      </c>
      <c r="D8145" t="s">
        <v>8342</v>
      </c>
      <c r="E8145" t="s">
        <v>21</v>
      </c>
    </row>
    <row r="8146" spans="1:5" hidden="1" outlineLevel="2">
      <c r="A8146" s="3" t="e">
        <f>(HYPERLINK("http://www.autodoc.ru/Web/price/art/7603ASMHT?analog=on","7603ASMHT"))*1</f>
        <v>#VALUE!</v>
      </c>
      <c r="B8146" s="1">
        <v>6100534</v>
      </c>
      <c r="C8146" t="s">
        <v>19</v>
      </c>
      <c r="D8146" t="s">
        <v>8343</v>
      </c>
      <c r="E8146" t="s">
        <v>21</v>
      </c>
    </row>
    <row r="8147" spans="1:5" hidden="1" outlineLevel="2">
      <c r="A8147" s="3" t="e">
        <f>(HYPERLINK("http://www.autodoc.ru/Web/price/art/7603BGNHZ?analog=on","7603BGNHZ"))*1</f>
        <v>#VALUE!</v>
      </c>
      <c r="B8147" s="1">
        <v>6998814</v>
      </c>
      <c r="C8147" t="s">
        <v>1215</v>
      </c>
      <c r="D8147" t="s">
        <v>8344</v>
      </c>
      <c r="E8147" t="s">
        <v>23</v>
      </c>
    </row>
    <row r="8148" spans="1:5" hidden="1" outlineLevel="2">
      <c r="A8148" s="3" t="e">
        <f>(HYPERLINK("http://www.autodoc.ru/Web/price/art/7603LGNH5FD?analog=on","7603LGNH5FD"))*1</f>
        <v>#VALUE!</v>
      </c>
      <c r="B8148" s="1">
        <v>6995487</v>
      </c>
      <c r="C8148" t="s">
        <v>1215</v>
      </c>
      <c r="D8148" t="s">
        <v>8345</v>
      </c>
      <c r="E8148" t="s">
        <v>10</v>
      </c>
    </row>
    <row r="8149" spans="1:5" hidden="1" outlineLevel="2">
      <c r="A8149" s="3" t="e">
        <f>(HYPERLINK("http://www.autodoc.ru/Web/price/art/7603LGNH5RV?analog=on","7603LGNH5RV"))*1</f>
        <v>#VALUE!</v>
      </c>
      <c r="B8149" s="1">
        <v>6994654</v>
      </c>
      <c r="C8149" t="s">
        <v>1215</v>
      </c>
      <c r="D8149" t="s">
        <v>8346</v>
      </c>
      <c r="E8149" t="s">
        <v>10</v>
      </c>
    </row>
    <row r="8150" spans="1:5" hidden="1" outlineLevel="2">
      <c r="A8150" s="3" t="e">
        <f>(HYPERLINK("http://www.autodoc.ru/Web/price/art/7603RGNH5FD?analog=on","7603RGNH5FD"))*1</f>
        <v>#VALUE!</v>
      </c>
      <c r="B8150" s="1">
        <v>6995489</v>
      </c>
      <c r="C8150" t="s">
        <v>1215</v>
      </c>
      <c r="D8150" t="s">
        <v>8347</v>
      </c>
      <c r="E8150" t="s">
        <v>10</v>
      </c>
    </row>
    <row r="8151" spans="1:5" hidden="1" outlineLevel="2">
      <c r="A8151" s="3" t="e">
        <f>(HYPERLINK("http://www.autodoc.ru/Web/price/art/7603RGNH5RV?analog=on","7603RGNH5RV"))*1</f>
        <v>#VALUE!</v>
      </c>
      <c r="B8151" s="1">
        <v>6994655</v>
      </c>
      <c r="C8151" t="s">
        <v>1215</v>
      </c>
      <c r="D8151" t="s">
        <v>8348</v>
      </c>
      <c r="E8151" t="s">
        <v>10</v>
      </c>
    </row>
    <row r="8152" spans="1:5" hidden="1" outlineLevel="1">
      <c r="A8152" s="2">
        <v>0</v>
      </c>
      <c r="B8152" s="26" t="s">
        <v>8349</v>
      </c>
      <c r="C8152" s="27">
        <v>0</v>
      </c>
      <c r="D8152" s="27">
        <v>0</v>
      </c>
      <c r="E8152" s="27">
        <v>0</v>
      </c>
    </row>
    <row r="8153" spans="1:5" hidden="1" outlineLevel="2">
      <c r="A8153" s="3" t="e">
        <f>(HYPERLINK("http://www.autodoc.ru/Web/price/art/7608AGNMVZ?analog=on","7608AGNMVZ"))*1</f>
        <v>#VALUE!</v>
      </c>
      <c r="B8153" s="1">
        <v>6960435</v>
      </c>
      <c r="C8153" t="s">
        <v>411</v>
      </c>
      <c r="D8153" t="s">
        <v>8350</v>
      </c>
      <c r="E8153" t="s">
        <v>8</v>
      </c>
    </row>
    <row r="8154" spans="1:5" hidden="1" outlineLevel="2">
      <c r="A8154" s="3" t="e">
        <f>(HYPERLINK("http://www.autodoc.ru/Web/price/art/7608AGNVZ?analog=on","7608AGNVZ"))*1</f>
        <v>#VALUE!</v>
      </c>
      <c r="B8154" s="1">
        <v>6963269</v>
      </c>
      <c r="C8154" t="s">
        <v>411</v>
      </c>
      <c r="D8154" t="s">
        <v>8351</v>
      </c>
      <c r="E8154" t="s">
        <v>8</v>
      </c>
    </row>
    <row r="8155" spans="1:5" hidden="1" outlineLevel="2">
      <c r="A8155" s="3" t="e">
        <f>(HYPERLINK("http://www.autodoc.ru/Web/price/art/7608BGNHZ?analog=on","7608BGNHZ"))*1</f>
        <v>#VALUE!</v>
      </c>
      <c r="B8155" s="1">
        <v>6994851</v>
      </c>
      <c r="C8155" t="s">
        <v>411</v>
      </c>
      <c r="D8155" t="s">
        <v>8352</v>
      </c>
      <c r="E8155" t="s">
        <v>23</v>
      </c>
    </row>
    <row r="8156" spans="1:5" hidden="1" outlineLevel="2">
      <c r="A8156" s="3" t="e">
        <f>(HYPERLINK("http://www.autodoc.ru/Web/price/art/7608LGNS4FD?analog=on","7608LGNS4FD"))*1</f>
        <v>#VALUE!</v>
      </c>
      <c r="B8156" s="1">
        <v>6993144</v>
      </c>
      <c r="C8156" t="s">
        <v>411</v>
      </c>
      <c r="D8156" t="s">
        <v>8353</v>
      </c>
      <c r="E8156" t="s">
        <v>10</v>
      </c>
    </row>
    <row r="8157" spans="1:5" hidden="1" outlineLevel="2">
      <c r="A8157" s="3" t="e">
        <f>(HYPERLINK("http://www.autodoc.ru/Web/price/art/7608LGNS4RD?analog=on","7608LGNS4RD"))*1</f>
        <v>#VALUE!</v>
      </c>
      <c r="B8157" s="1">
        <v>6993680</v>
      </c>
      <c r="C8157" t="s">
        <v>411</v>
      </c>
      <c r="D8157" t="s">
        <v>8354</v>
      </c>
      <c r="E8157" t="s">
        <v>10</v>
      </c>
    </row>
    <row r="8158" spans="1:5" hidden="1" outlineLevel="2">
      <c r="A8158" s="3" t="e">
        <f>(HYPERLINK("http://www.autodoc.ru/Web/price/art/7608LGSH5RVZ?analog=on","7608LGSH5RVZ"))*1</f>
        <v>#VALUE!</v>
      </c>
      <c r="B8158" s="1">
        <v>6190503</v>
      </c>
      <c r="C8158" t="s">
        <v>411</v>
      </c>
      <c r="D8158" t="s">
        <v>8355</v>
      </c>
      <c r="E8158" t="s">
        <v>10</v>
      </c>
    </row>
    <row r="8159" spans="1:5" hidden="1" outlineLevel="2">
      <c r="A8159" s="3" t="e">
        <f>(HYPERLINK("http://www.autodoc.ru/Web/price/art/7608LGSS4RVZ?analog=on","7608LGSS4RVZ"))*1</f>
        <v>#VALUE!</v>
      </c>
      <c r="B8159" s="1">
        <v>6994852</v>
      </c>
      <c r="C8159" t="s">
        <v>411</v>
      </c>
      <c r="D8159" t="s">
        <v>8356</v>
      </c>
      <c r="E8159" t="s">
        <v>10</v>
      </c>
    </row>
    <row r="8160" spans="1:5" hidden="1" outlineLevel="2">
      <c r="A8160" s="3" t="e">
        <f>(HYPERLINK("http://www.autodoc.ru/Web/price/art/7608RGNS4FD?analog=on","7608RGNS4FD"))*1</f>
        <v>#VALUE!</v>
      </c>
      <c r="B8160" s="1">
        <v>6993145</v>
      </c>
      <c r="C8160" t="s">
        <v>411</v>
      </c>
      <c r="D8160" t="s">
        <v>8357</v>
      </c>
      <c r="E8160" t="s">
        <v>10</v>
      </c>
    </row>
    <row r="8161" spans="1:5" hidden="1" outlineLevel="2">
      <c r="A8161" s="3" t="e">
        <f>(HYPERLINK("http://www.autodoc.ru/Web/price/art/7608RGNS4RD?analog=on","7608RGNS4RD"))*1</f>
        <v>#VALUE!</v>
      </c>
      <c r="B8161" s="1">
        <v>6993681</v>
      </c>
      <c r="C8161" t="s">
        <v>411</v>
      </c>
      <c r="D8161" t="s">
        <v>8358</v>
      </c>
      <c r="E8161" t="s">
        <v>10</v>
      </c>
    </row>
    <row r="8162" spans="1:5" hidden="1" outlineLevel="2">
      <c r="A8162" s="3" t="e">
        <f>(HYPERLINK("http://www.autodoc.ru/Web/price/art/7608RGSH5RVZ?analog=on","7608RGSH5RVZ"))*1</f>
        <v>#VALUE!</v>
      </c>
      <c r="B8162" s="1">
        <v>6190504</v>
      </c>
      <c r="C8162" t="s">
        <v>411</v>
      </c>
      <c r="D8162" t="s">
        <v>8359</v>
      </c>
      <c r="E8162" t="s">
        <v>10</v>
      </c>
    </row>
    <row r="8163" spans="1:5" hidden="1" outlineLevel="2">
      <c r="A8163" s="3" t="e">
        <f>(HYPERLINK("http://www.autodoc.ru/Web/price/art/7608RGSS4RVZ?analog=on","7608RGSS4RVZ"))*1</f>
        <v>#VALUE!</v>
      </c>
      <c r="B8163" s="1">
        <v>6994853</v>
      </c>
      <c r="C8163" t="s">
        <v>411</v>
      </c>
      <c r="D8163" t="s">
        <v>8360</v>
      </c>
      <c r="E8163" t="s">
        <v>10</v>
      </c>
    </row>
    <row r="8164" spans="1:5" collapsed="1">
      <c r="A8164" s="28" t="s">
        <v>8361</v>
      </c>
      <c r="B8164" s="28">
        <v>0</v>
      </c>
      <c r="C8164" s="28">
        <v>0</v>
      </c>
      <c r="D8164" s="28">
        <v>0</v>
      </c>
      <c r="E8164" s="28">
        <v>0</v>
      </c>
    </row>
    <row r="8165" spans="1:5" hidden="1" outlineLevel="1">
      <c r="A8165" s="2">
        <v>0</v>
      </c>
      <c r="B8165" s="26" t="s">
        <v>8362</v>
      </c>
      <c r="C8165" s="27">
        <v>0</v>
      </c>
      <c r="D8165" s="27">
        <v>0</v>
      </c>
      <c r="E8165" s="27">
        <v>0</v>
      </c>
    </row>
    <row r="8166" spans="1:5" hidden="1" outlineLevel="2">
      <c r="A8166" s="3" t="e">
        <f>(HYPERLINK("http://www.autodoc.ru/Web/price/art/7808ACLBVZ1D?analog=on","7808ACLBVZ1D"))*1</f>
        <v>#VALUE!</v>
      </c>
      <c r="B8166" s="1">
        <v>6965104</v>
      </c>
      <c r="C8166" t="s">
        <v>2935</v>
      </c>
      <c r="D8166" t="s">
        <v>8363</v>
      </c>
      <c r="E8166" t="s">
        <v>8</v>
      </c>
    </row>
    <row r="8167" spans="1:5" hidden="1" outlineLevel="2">
      <c r="A8167" s="3" t="e">
        <f>(HYPERLINK("http://www.autodoc.ru/Web/price/art/7808ACLVZ?analog=on","7808ACLVZ"))*1</f>
        <v>#VALUE!</v>
      </c>
      <c r="B8167" s="1">
        <v>6962150</v>
      </c>
      <c r="C8167" t="s">
        <v>2935</v>
      </c>
      <c r="D8167" t="s">
        <v>8364</v>
      </c>
      <c r="E8167" t="s">
        <v>8</v>
      </c>
    </row>
    <row r="8168" spans="1:5" hidden="1" outlineLevel="2">
      <c r="A8168" s="3" t="e">
        <f>(HYPERLINK("http://www.autodoc.ru/Web/price/art/7808ACLVZ1D?analog=on","7808ACLVZ1D"))*1</f>
        <v>#VALUE!</v>
      </c>
      <c r="B8168" s="1">
        <v>6965103</v>
      </c>
      <c r="C8168" t="s">
        <v>2935</v>
      </c>
      <c r="D8168" t="s">
        <v>8365</v>
      </c>
      <c r="E8168" t="s">
        <v>8</v>
      </c>
    </row>
    <row r="8169" spans="1:5" hidden="1" outlineLevel="2">
      <c r="A8169" s="3" t="e">
        <f>(HYPERLINK("http://www.autodoc.ru/Web/price/art/7808ACLVZ1H?analog=on","7808ACLVZ1H"))*1</f>
        <v>#VALUE!</v>
      </c>
      <c r="B8169" s="1">
        <v>6962151</v>
      </c>
      <c r="C8169" t="s">
        <v>2935</v>
      </c>
      <c r="D8169" t="s">
        <v>8366</v>
      </c>
      <c r="E8169" t="s">
        <v>8</v>
      </c>
    </row>
    <row r="8170" spans="1:5" hidden="1" outlineLevel="2">
      <c r="A8170" s="3" t="e">
        <f>(HYPERLINK("http://www.autodoc.ru/Web/price/art/7808AGSBVZ1D?analog=on","7808AGSBVZ1D"))*1</f>
        <v>#VALUE!</v>
      </c>
      <c r="B8170" s="1">
        <v>6965106</v>
      </c>
      <c r="C8170" t="s">
        <v>2935</v>
      </c>
      <c r="D8170" t="s">
        <v>8367</v>
      </c>
      <c r="E8170" t="s">
        <v>8</v>
      </c>
    </row>
    <row r="8171" spans="1:5" hidden="1" outlineLevel="2">
      <c r="A8171" s="3" t="e">
        <f>(HYPERLINK("http://www.autodoc.ru/Web/price/art/7808AGSGNBVZ1D?analog=on","7808AGSGNBVZ1D"))*1</f>
        <v>#VALUE!</v>
      </c>
      <c r="B8171" s="1">
        <v>6965102</v>
      </c>
      <c r="C8171" t="s">
        <v>2935</v>
      </c>
      <c r="D8171" t="s">
        <v>8368</v>
      </c>
      <c r="E8171" t="s">
        <v>8</v>
      </c>
    </row>
    <row r="8172" spans="1:5" hidden="1" outlineLevel="2">
      <c r="A8172" s="3" t="e">
        <f>(HYPERLINK("http://www.autodoc.ru/Web/price/art/7808AGSGNVZ?analog=on","7808AGSGNVZ"))*1</f>
        <v>#VALUE!</v>
      </c>
      <c r="B8172" s="1">
        <v>6962148</v>
      </c>
      <c r="C8172" t="s">
        <v>2935</v>
      </c>
      <c r="D8172" t="s">
        <v>8369</v>
      </c>
      <c r="E8172" t="s">
        <v>8</v>
      </c>
    </row>
    <row r="8173" spans="1:5" hidden="1" outlineLevel="2">
      <c r="A8173" s="3" t="e">
        <f>(HYPERLINK("http://www.autodoc.ru/Web/price/art/7808AGSGNVZ1D?analog=on","7808AGSGNVZ1D"))*1</f>
        <v>#VALUE!</v>
      </c>
      <c r="B8173" s="1">
        <v>6965101</v>
      </c>
      <c r="C8173" t="s">
        <v>2935</v>
      </c>
      <c r="D8173" t="s">
        <v>8370</v>
      </c>
      <c r="E8173" t="s">
        <v>8</v>
      </c>
    </row>
    <row r="8174" spans="1:5" hidden="1" outlineLevel="2">
      <c r="A8174" s="3" t="e">
        <f>(HYPERLINK("http://www.autodoc.ru/Web/price/art/7808AGSGNVZ1H?analog=on","7808AGSGNVZ1H"))*1</f>
        <v>#VALUE!</v>
      </c>
      <c r="B8174" s="1">
        <v>6962176</v>
      </c>
      <c r="C8174" t="s">
        <v>2935</v>
      </c>
      <c r="D8174" t="s">
        <v>8371</v>
      </c>
      <c r="E8174" t="s">
        <v>8</v>
      </c>
    </row>
    <row r="8175" spans="1:5" hidden="1" outlineLevel="2">
      <c r="A8175" s="3" t="e">
        <f>(HYPERLINK("http://www.autodoc.ru/Web/price/art/7808AGSGYBVZ1D?analog=on","7808AGSGYBVZ1D"))*1</f>
        <v>#VALUE!</v>
      </c>
      <c r="B8175" s="1">
        <v>6960181</v>
      </c>
      <c r="C8175" t="s">
        <v>2935</v>
      </c>
      <c r="D8175" t="s">
        <v>8372</v>
      </c>
      <c r="E8175" t="s">
        <v>8</v>
      </c>
    </row>
    <row r="8176" spans="1:5" hidden="1" outlineLevel="2">
      <c r="A8176" s="3" t="e">
        <f>(HYPERLINK("http://www.autodoc.ru/Web/price/art/7808AGSGYVZ?analog=on","7808AGSGYVZ"))*1</f>
        <v>#VALUE!</v>
      </c>
      <c r="B8176" s="1">
        <v>6962147</v>
      </c>
      <c r="C8176" t="s">
        <v>2935</v>
      </c>
      <c r="D8176" t="s">
        <v>8373</v>
      </c>
      <c r="E8176" t="s">
        <v>8</v>
      </c>
    </row>
    <row r="8177" spans="1:5" hidden="1" outlineLevel="2">
      <c r="A8177" s="3" t="e">
        <f>(HYPERLINK("http://www.autodoc.ru/Web/price/art/7808AGSGYVZ1D?analog=on","7808AGSGYVZ1D"))*1</f>
        <v>#VALUE!</v>
      </c>
      <c r="B8177" s="1">
        <v>6960185</v>
      </c>
      <c r="C8177" t="s">
        <v>1433</v>
      </c>
      <c r="D8177" t="s">
        <v>8374</v>
      </c>
      <c r="E8177" t="s">
        <v>8</v>
      </c>
    </row>
    <row r="8178" spans="1:5" hidden="1" outlineLevel="2">
      <c r="A8178" s="3" t="e">
        <f>(HYPERLINK("http://www.autodoc.ru/Web/price/art/7808AGSGYVZ1H?analog=on","7808AGSGYVZ1H"))*1</f>
        <v>#VALUE!</v>
      </c>
      <c r="B8178" s="1">
        <v>6962149</v>
      </c>
      <c r="C8178" t="s">
        <v>2935</v>
      </c>
      <c r="D8178" t="s">
        <v>8375</v>
      </c>
      <c r="E8178" t="s">
        <v>8</v>
      </c>
    </row>
    <row r="8179" spans="1:5" hidden="1" outlineLevel="2">
      <c r="A8179" s="3" t="e">
        <f>(HYPERLINK("http://www.autodoc.ru/Web/price/art/7808AGSVZ?analog=on","7808AGSVZ"))*1</f>
        <v>#VALUE!</v>
      </c>
      <c r="B8179" s="1">
        <v>6962152</v>
      </c>
      <c r="C8179" t="s">
        <v>2935</v>
      </c>
      <c r="D8179" t="s">
        <v>8376</v>
      </c>
      <c r="E8179" t="s">
        <v>8</v>
      </c>
    </row>
    <row r="8180" spans="1:5" hidden="1" outlineLevel="2">
      <c r="A8180" s="3" t="e">
        <f>(HYPERLINK("http://www.autodoc.ru/Web/price/art/7808AGSVZ1D?analog=on","7808AGSVZ1D"))*1</f>
        <v>#VALUE!</v>
      </c>
      <c r="B8180" s="1">
        <v>6965105</v>
      </c>
      <c r="C8180" t="s">
        <v>2935</v>
      </c>
      <c r="D8180" t="s">
        <v>8377</v>
      </c>
      <c r="E8180" t="s">
        <v>8</v>
      </c>
    </row>
    <row r="8181" spans="1:5" hidden="1" outlineLevel="2">
      <c r="A8181" s="3" t="e">
        <f>(HYPERLINK("http://www.autodoc.ru/Web/price/art/7808AGSVZ1H?analog=on","7808AGSVZ1H"))*1</f>
        <v>#VALUE!</v>
      </c>
      <c r="B8181" s="1">
        <v>6962153</v>
      </c>
      <c r="C8181" t="s">
        <v>2935</v>
      </c>
      <c r="D8181" t="s">
        <v>8378</v>
      </c>
      <c r="E8181" t="s">
        <v>8</v>
      </c>
    </row>
    <row r="8182" spans="1:5" hidden="1" outlineLevel="2">
      <c r="A8182" s="3" t="e">
        <f>(HYPERLINK("http://www.autodoc.ru/Web/price/art/7808BCLEW?analog=on","7808BCLEW"))*1</f>
        <v>#VALUE!</v>
      </c>
      <c r="B8182" s="1">
        <v>6990547</v>
      </c>
      <c r="C8182" t="s">
        <v>216</v>
      </c>
      <c r="D8182" t="s">
        <v>8379</v>
      </c>
      <c r="E8182" t="s">
        <v>23</v>
      </c>
    </row>
    <row r="8183" spans="1:5" hidden="1" outlineLevel="2">
      <c r="A8183" s="3" t="e">
        <f>(HYPERLINK("http://www.autodoc.ru/Web/price/art/7808BCLHW?analog=on","7808BCLHW"))*1</f>
        <v>#VALUE!</v>
      </c>
      <c r="B8183" s="1">
        <v>6997722</v>
      </c>
      <c r="C8183" t="s">
        <v>2935</v>
      </c>
      <c r="D8183" t="s">
        <v>8380</v>
      </c>
      <c r="E8183" t="s">
        <v>23</v>
      </c>
    </row>
    <row r="8184" spans="1:5" hidden="1" outlineLevel="2">
      <c r="A8184" s="3" t="e">
        <f>(HYPERLINK("http://www.autodoc.ru/Web/price/art/7808BCLS?analog=on","7808BCLS"))*1</f>
        <v>#VALUE!</v>
      </c>
      <c r="B8184" s="1">
        <v>6990940</v>
      </c>
      <c r="C8184" t="s">
        <v>261</v>
      </c>
      <c r="D8184" t="s">
        <v>8381</v>
      </c>
      <c r="E8184" t="s">
        <v>23</v>
      </c>
    </row>
    <row r="8185" spans="1:5" hidden="1" outlineLevel="2">
      <c r="A8185" s="3" t="e">
        <f>(HYPERLINK("http://www.autodoc.ru/Web/price/art/7808BGSEW?analog=on","7808BGSEW"))*1</f>
        <v>#VALUE!</v>
      </c>
      <c r="B8185" s="1">
        <v>6990550</v>
      </c>
      <c r="C8185" t="s">
        <v>216</v>
      </c>
      <c r="D8185" t="s">
        <v>8382</v>
      </c>
      <c r="E8185" t="s">
        <v>23</v>
      </c>
    </row>
    <row r="8186" spans="1:5" hidden="1" outlineLevel="2">
      <c r="A8186" s="3" t="e">
        <f>(HYPERLINK("http://www.autodoc.ru/Web/price/art/7808BGSHW?analog=on","7808BGSHW"))*1</f>
        <v>#VALUE!</v>
      </c>
      <c r="B8186" s="1">
        <v>6997721</v>
      </c>
      <c r="C8186" t="s">
        <v>2935</v>
      </c>
      <c r="D8186" t="s">
        <v>8383</v>
      </c>
      <c r="E8186" t="s">
        <v>23</v>
      </c>
    </row>
    <row r="8187" spans="1:5" hidden="1" outlineLevel="2">
      <c r="A8187" s="3" t="e">
        <f>(HYPERLINK("http://www.autodoc.ru/Web/price/art/7808BGSS?analog=on","7808BGSS"))*1</f>
        <v>#VALUE!</v>
      </c>
      <c r="B8187" s="1">
        <v>6993701</v>
      </c>
      <c r="C8187" t="s">
        <v>261</v>
      </c>
      <c r="D8187" t="s">
        <v>8384</v>
      </c>
      <c r="E8187" t="s">
        <v>23</v>
      </c>
    </row>
    <row r="8188" spans="1:5" hidden="1" outlineLevel="2">
      <c r="A8188" s="3" t="e">
        <f>(HYPERLINK("http://www.autodoc.ru/Web/price/art/7808BGPHW?analog=on","7808BGPHW"))*1</f>
        <v>#VALUE!</v>
      </c>
      <c r="B8188" s="1">
        <v>6993215</v>
      </c>
      <c r="C8188" t="s">
        <v>216</v>
      </c>
      <c r="D8188" t="s">
        <v>8385</v>
      </c>
      <c r="E8188" t="s">
        <v>23</v>
      </c>
    </row>
    <row r="8189" spans="1:5" hidden="1" outlineLevel="2">
      <c r="A8189" s="3" t="e">
        <f>(HYPERLINK("http://www.autodoc.ru/Web/price/art/7808LCLE5RD?analog=on","7808LCLE5RD"))*1</f>
        <v>#VALUE!</v>
      </c>
      <c r="B8189" s="1">
        <v>6990807</v>
      </c>
      <c r="C8189" t="s">
        <v>216</v>
      </c>
      <c r="D8189" t="s">
        <v>8386</v>
      </c>
      <c r="E8189" t="s">
        <v>10</v>
      </c>
    </row>
    <row r="8190" spans="1:5" hidden="1" outlineLevel="2">
      <c r="A8190" s="3" t="e">
        <f>(HYPERLINK("http://www.autodoc.ru/Web/price/art/7808LCLE5RQZ?analog=on","7808LCLE5RQZ"))*1</f>
        <v>#VALUE!</v>
      </c>
      <c r="B8190" s="1">
        <v>6990808</v>
      </c>
      <c r="C8190" t="s">
        <v>216</v>
      </c>
      <c r="D8190" t="s">
        <v>8387</v>
      </c>
      <c r="E8190" t="s">
        <v>10</v>
      </c>
    </row>
    <row r="8191" spans="1:5" hidden="1" outlineLevel="2">
      <c r="A8191" s="3" t="e">
        <f>(HYPERLINK("http://www.autodoc.ru/Web/price/art/7808LCLH5FD?analog=on","7808LCLH5FD"))*1</f>
        <v>#VALUE!</v>
      </c>
      <c r="B8191" s="1">
        <v>6997710</v>
      </c>
      <c r="C8191" t="s">
        <v>2935</v>
      </c>
      <c r="D8191" t="s">
        <v>8388</v>
      </c>
      <c r="E8191" t="s">
        <v>10</v>
      </c>
    </row>
    <row r="8192" spans="1:5" hidden="1" outlineLevel="2">
      <c r="A8192" s="3" t="e">
        <f>(HYPERLINK("http://www.autodoc.ru/Web/price/art/7808LCLH5RD?analog=on","7808LCLH5RD"))*1</f>
        <v>#VALUE!</v>
      </c>
      <c r="B8192" s="1">
        <v>6997706</v>
      </c>
      <c r="C8192" t="s">
        <v>2935</v>
      </c>
      <c r="D8192" t="s">
        <v>8389</v>
      </c>
      <c r="E8192" t="s">
        <v>10</v>
      </c>
    </row>
    <row r="8193" spans="1:5" hidden="1" outlineLevel="2">
      <c r="A8193" s="3" t="e">
        <f>(HYPERLINK("http://www.autodoc.ru/Web/price/art/7808LGSE5RD?analog=on","7808LGSE5RD"))*1</f>
        <v>#VALUE!</v>
      </c>
      <c r="B8193" s="1">
        <v>6990809</v>
      </c>
      <c r="C8193" t="s">
        <v>216</v>
      </c>
      <c r="D8193" t="s">
        <v>8390</v>
      </c>
      <c r="E8193" t="s">
        <v>10</v>
      </c>
    </row>
    <row r="8194" spans="1:5" hidden="1" outlineLevel="2">
      <c r="A8194" s="3" t="e">
        <f>(HYPERLINK("http://www.autodoc.ru/Web/price/art/7808LGSE5RQZ?analog=on","7808LGSE5RQZ"))*1</f>
        <v>#VALUE!</v>
      </c>
      <c r="B8194" s="1">
        <v>6990576</v>
      </c>
      <c r="C8194" t="s">
        <v>216</v>
      </c>
      <c r="D8194" t="s">
        <v>8387</v>
      </c>
      <c r="E8194" t="s">
        <v>10</v>
      </c>
    </row>
    <row r="8195" spans="1:5" hidden="1" outlineLevel="2">
      <c r="A8195" s="3" t="e">
        <f>(HYPERLINK("http://www.autodoc.ru/Web/price/art/7808LGSH5FD?analog=on","7808LGSH5FD"))*1</f>
        <v>#VALUE!</v>
      </c>
      <c r="B8195" s="1">
        <v>6997709</v>
      </c>
      <c r="C8195" t="s">
        <v>2935</v>
      </c>
      <c r="D8195" t="s">
        <v>8391</v>
      </c>
      <c r="E8195" t="s">
        <v>10</v>
      </c>
    </row>
    <row r="8196" spans="1:5" hidden="1" outlineLevel="2">
      <c r="A8196" s="3" t="e">
        <f>(HYPERLINK("http://www.autodoc.ru/Web/price/art/7808LGSH5RD?analog=on","7808LGSH5RD"))*1</f>
        <v>#VALUE!</v>
      </c>
      <c r="B8196" s="1">
        <v>6997705</v>
      </c>
      <c r="C8196" t="s">
        <v>2935</v>
      </c>
      <c r="D8196" t="s">
        <v>8392</v>
      </c>
      <c r="E8196" t="s">
        <v>10</v>
      </c>
    </row>
    <row r="8197" spans="1:5" hidden="1" outlineLevel="2">
      <c r="A8197" s="3" t="e">
        <f>(HYPERLINK("http://www.autodoc.ru/Web/price/art/7808LGSH5RVZ?analog=on","7808LGSH5RVZ"))*1</f>
        <v>#VALUE!</v>
      </c>
      <c r="B8197" s="1">
        <v>6997701</v>
      </c>
      <c r="C8197" t="s">
        <v>2935</v>
      </c>
      <c r="D8197" t="s">
        <v>8393</v>
      </c>
      <c r="E8197" t="s">
        <v>10</v>
      </c>
    </row>
    <row r="8198" spans="1:5" hidden="1" outlineLevel="2">
      <c r="A8198" s="3" t="e">
        <f>(HYPERLINK("http://www.autodoc.ru/Web/price/art/7808RCLE5RD?analog=on","7808RCLE5RD"))*1</f>
        <v>#VALUE!</v>
      </c>
      <c r="B8198" s="1">
        <v>6990804</v>
      </c>
      <c r="C8198" t="s">
        <v>216</v>
      </c>
      <c r="D8198" t="s">
        <v>8394</v>
      </c>
      <c r="E8198" t="s">
        <v>10</v>
      </c>
    </row>
    <row r="8199" spans="1:5" hidden="1" outlineLevel="2">
      <c r="A8199" s="3" t="e">
        <f>(HYPERLINK("http://www.autodoc.ru/Web/price/art/7808RCLE5RQZ?analog=on","7808RCLE5RQZ"))*1</f>
        <v>#VALUE!</v>
      </c>
      <c r="B8199" s="1">
        <v>6990803</v>
      </c>
      <c r="C8199" t="s">
        <v>216</v>
      </c>
      <c r="D8199" t="s">
        <v>8395</v>
      </c>
      <c r="E8199" t="s">
        <v>10</v>
      </c>
    </row>
    <row r="8200" spans="1:5" hidden="1" outlineLevel="2">
      <c r="A8200" s="3" t="e">
        <f>(HYPERLINK("http://www.autodoc.ru/Web/price/art/7808RCLH5FD?analog=on","7808RCLH5FD"))*1</f>
        <v>#VALUE!</v>
      </c>
      <c r="B8200" s="1">
        <v>6997712</v>
      </c>
      <c r="C8200" t="s">
        <v>2935</v>
      </c>
      <c r="D8200" t="s">
        <v>8396</v>
      </c>
      <c r="E8200" t="s">
        <v>10</v>
      </c>
    </row>
    <row r="8201" spans="1:5" hidden="1" outlineLevel="2">
      <c r="A8201" s="3" t="e">
        <f>(HYPERLINK("http://www.autodoc.ru/Web/price/art/7808RCLH5RD?analog=on","7808RCLH5RD"))*1</f>
        <v>#VALUE!</v>
      </c>
      <c r="B8201" s="1">
        <v>6997708</v>
      </c>
      <c r="C8201" t="s">
        <v>2935</v>
      </c>
      <c r="D8201" t="s">
        <v>8397</v>
      </c>
      <c r="E8201" t="s">
        <v>10</v>
      </c>
    </row>
    <row r="8202" spans="1:5" hidden="1" outlineLevel="2">
      <c r="A8202" s="3" t="e">
        <f>(HYPERLINK("http://www.autodoc.ru/Web/price/art/7808RGSE5RD?analog=on","7808RGSE5RD"))*1</f>
        <v>#VALUE!</v>
      </c>
      <c r="B8202" s="1">
        <v>6990805</v>
      </c>
      <c r="C8202" t="s">
        <v>216</v>
      </c>
      <c r="D8202" t="s">
        <v>8398</v>
      </c>
      <c r="E8202" t="s">
        <v>10</v>
      </c>
    </row>
    <row r="8203" spans="1:5" hidden="1" outlineLevel="2">
      <c r="A8203" s="3" t="e">
        <f>(HYPERLINK("http://www.autodoc.ru/Web/price/art/7808RGSE5RQZ?analog=on","7808RGSE5RQZ"))*1</f>
        <v>#VALUE!</v>
      </c>
      <c r="B8203" s="1">
        <v>6990559</v>
      </c>
      <c r="C8203" t="s">
        <v>216</v>
      </c>
      <c r="D8203" t="s">
        <v>8395</v>
      </c>
      <c r="E8203" t="s">
        <v>10</v>
      </c>
    </row>
    <row r="8204" spans="1:5" hidden="1" outlineLevel="2">
      <c r="A8204" s="3" t="e">
        <f>(HYPERLINK("http://www.autodoc.ru/Web/price/art/7808RGSH5FD?analog=on","7808RGSH5FD"))*1</f>
        <v>#VALUE!</v>
      </c>
      <c r="B8204" s="1">
        <v>6997711</v>
      </c>
      <c r="C8204" t="s">
        <v>2935</v>
      </c>
      <c r="D8204" t="s">
        <v>8399</v>
      </c>
      <c r="E8204" t="s">
        <v>10</v>
      </c>
    </row>
    <row r="8205" spans="1:5" hidden="1" outlineLevel="2">
      <c r="A8205" s="3" t="e">
        <f>(HYPERLINK("http://www.autodoc.ru/Web/price/art/7808RGSH5RD?analog=on","7808RGSH5RD"))*1</f>
        <v>#VALUE!</v>
      </c>
      <c r="B8205" s="1">
        <v>6997707</v>
      </c>
      <c r="C8205" t="s">
        <v>2935</v>
      </c>
      <c r="D8205" t="s">
        <v>8400</v>
      </c>
      <c r="E8205" t="s">
        <v>10</v>
      </c>
    </row>
    <row r="8206" spans="1:5" hidden="1" outlineLevel="2">
      <c r="A8206" s="3" t="e">
        <f>(HYPERLINK("http://www.autodoc.ru/Web/price/art/7808RGSH5RVZ?analog=on","7808RGSH5RVZ"))*1</f>
        <v>#VALUE!</v>
      </c>
      <c r="B8206" s="1">
        <v>6997703</v>
      </c>
      <c r="C8206" t="s">
        <v>2935</v>
      </c>
      <c r="D8206" t="s">
        <v>8401</v>
      </c>
      <c r="E8206" t="s">
        <v>10</v>
      </c>
    </row>
    <row r="8207" spans="1:5" hidden="1" outlineLevel="1">
      <c r="A8207" s="2">
        <v>0</v>
      </c>
      <c r="B8207" s="26" t="s">
        <v>8402</v>
      </c>
      <c r="C8207" s="27">
        <v>0</v>
      </c>
      <c r="D8207" s="27">
        <v>0</v>
      </c>
      <c r="E8207" s="27">
        <v>0</v>
      </c>
    </row>
    <row r="8208" spans="1:5" hidden="1" outlineLevel="2">
      <c r="A8208" s="3" t="e">
        <f>(HYPERLINK("http://www.autodoc.ru/Web/price/art/7811ACLVW?analog=on","7811ACLVW"))*1</f>
        <v>#VALUE!</v>
      </c>
      <c r="B8208" s="1">
        <v>6961127</v>
      </c>
      <c r="C8208" t="s">
        <v>290</v>
      </c>
      <c r="D8208" t="s">
        <v>8403</v>
      </c>
      <c r="E8208" t="s">
        <v>8</v>
      </c>
    </row>
    <row r="8209" spans="1:5" hidden="1" outlineLevel="2">
      <c r="A8209" s="3" t="e">
        <f>(HYPERLINK("http://www.autodoc.ru/Web/price/art/7811AGSGYVW?analog=on","7811AGSGYVW"))*1</f>
        <v>#VALUE!</v>
      </c>
      <c r="B8209" s="1">
        <v>6961126</v>
      </c>
      <c r="C8209" t="s">
        <v>290</v>
      </c>
      <c r="D8209" t="s">
        <v>8404</v>
      </c>
      <c r="E8209" t="s">
        <v>8</v>
      </c>
    </row>
    <row r="8210" spans="1:5" hidden="1" outlineLevel="2">
      <c r="A8210" s="3" t="e">
        <f>(HYPERLINK("http://www.autodoc.ru/Web/price/art/7811AGSVW?analog=on","7811AGSVW"))*1</f>
        <v>#VALUE!</v>
      </c>
      <c r="B8210" s="1">
        <v>6961170</v>
      </c>
      <c r="C8210" t="s">
        <v>290</v>
      </c>
      <c r="D8210" t="s">
        <v>8405</v>
      </c>
      <c r="E8210" t="s">
        <v>8</v>
      </c>
    </row>
    <row r="8211" spans="1:5" hidden="1" outlineLevel="2">
      <c r="A8211" s="3" t="e">
        <f>(HYPERLINK("http://www.autodoc.ru/Web/price/art/7811BCLEW?analog=on","7811BCLEW"))*1</f>
        <v>#VALUE!</v>
      </c>
      <c r="B8211" s="1">
        <v>6995998</v>
      </c>
      <c r="C8211" t="s">
        <v>290</v>
      </c>
      <c r="D8211" t="s">
        <v>8406</v>
      </c>
      <c r="E8211" t="s">
        <v>23</v>
      </c>
    </row>
    <row r="8212" spans="1:5" hidden="1" outlineLevel="2">
      <c r="A8212" s="3" t="e">
        <f>(HYPERLINK("http://www.autodoc.ru/Web/price/art/7811BCLHBW?analog=on","7811BCLHBW"))*1</f>
        <v>#VALUE!</v>
      </c>
      <c r="B8212" s="1">
        <v>6998571</v>
      </c>
      <c r="C8212" t="s">
        <v>290</v>
      </c>
      <c r="D8212" t="s">
        <v>8407</v>
      </c>
      <c r="E8212" t="s">
        <v>23</v>
      </c>
    </row>
    <row r="8213" spans="1:5" hidden="1" outlineLevel="2">
      <c r="A8213" s="3" t="e">
        <f>(HYPERLINK("http://www.autodoc.ru/Web/price/art/7811BGDEI1B?analog=on","7811BGDEI1B"))*1</f>
        <v>#VALUE!</v>
      </c>
      <c r="B8213" s="1">
        <v>6901586</v>
      </c>
      <c r="C8213" t="s">
        <v>290</v>
      </c>
      <c r="D8213" t="s">
        <v>8408</v>
      </c>
      <c r="E8213" t="s">
        <v>23</v>
      </c>
    </row>
    <row r="8214" spans="1:5" hidden="1" outlineLevel="2">
      <c r="A8214" s="3" t="e">
        <f>(HYPERLINK("http://www.autodoc.ru/Web/price/art/7811BGDHBW?analog=on","7811BGDHBW"))*1</f>
        <v>#VALUE!</v>
      </c>
      <c r="B8214" s="1">
        <v>6998572</v>
      </c>
      <c r="C8214" t="s">
        <v>290</v>
      </c>
      <c r="D8214" t="s">
        <v>8409</v>
      </c>
      <c r="E8214" t="s">
        <v>23</v>
      </c>
    </row>
    <row r="8215" spans="1:5" hidden="1" outlineLevel="2">
      <c r="A8215" s="3" t="e">
        <f>(HYPERLINK("http://www.autodoc.ru/Web/price/art/7811BGDMBW?analog=on","7811BGDMBW"))*1</f>
        <v>#VALUE!</v>
      </c>
      <c r="B8215" s="1">
        <v>6997732</v>
      </c>
      <c r="C8215" t="s">
        <v>290</v>
      </c>
      <c r="D8215" t="s">
        <v>8410</v>
      </c>
      <c r="E8215" t="s">
        <v>23</v>
      </c>
    </row>
    <row r="8216" spans="1:5" hidden="1" outlineLevel="2">
      <c r="A8216" s="3" t="e">
        <f>(HYPERLINK("http://www.autodoc.ru/Web/price/art/7811BGSEI1B?analog=on","7811BGSEI1B"))*1</f>
        <v>#VALUE!</v>
      </c>
      <c r="B8216" s="1">
        <v>6901585</v>
      </c>
      <c r="C8216" t="s">
        <v>290</v>
      </c>
      <c r="D8216" t="s">
        <v>8411</v>
      </c>
      <c r="E8216" t="s">
        <v>23</v>
      </c>
    </row>
    <row r="8217" spans="1:5" hidden="1" outlineLevel="2">
      <c r="A8217" s="3" t="e">
        <f>(HYPERLINK("http://www.autodoc.ru/Web/price/art/7811BGSHBW?analog=on","7811BGSHBW"))*1</f>
        <v>#VALUE!</v>
      </c>
      <c r="B8217" s="1">
        <v>6993586</v>
      </c>
      <c r="C8217" t="s">
        <v>290</v>
      </c>
      <c r="D8217" t="s">
        <v>8412</v>
      </c>
      <c r="E8217" t="s">
        <v>23</v>
      </c>
    </row>
    <row r="8218" spans="1:5" hidden="1" outlineLevel="2">
      <c r="A8218" s="3" t="e">
        <f>(HYPERLINK("http://www.autodoc.ru/Web/price/art/7811BGSMBW?analog=on","7811BGSMBW"))*1</f>
        <v>#VALUE!</v>
      </c>
      <c r="B8218" s="1">
        <v>6993547</v>
      </c>
      <c r="C8218" t="s">
        <v>290</v>
      </c>
      <c r="D8218" t="s">
        <v>8413</v>
      </c>
      <c r="E8218" t="s">
        <v>23</v>
      </c>
    </row>
    <row r="8219" spans="1:5" hidden="1" outlineLevel="2">
      <c r="A8219" s="3" t="e">
        <f>(HYPERLINK("http://www.autodoc.ru/Web/price/art/7811LCLE5RD?analog=on","7811LCLE5RD"))*1</f>
        <v>#VALUE!</v>
      </c>
      <c r="B8219" s="1">
        <v>6995184</v>
      </c>
      <c r="C8219" t="s">
        <v>290</v>
      </c>
      <c r="D8219" t="s">
        <v>8414</v>
      </c>
      <c r="E8219" t="s">
        <v>10</v>
      </c>
    </row>
    <row r="8220" spans="1:5" hidden="1" outlineLevel="2">
      <c r="A8220" s="3" t="e">
        <f>(HYPERLINK("http://www.autodoc.ru/Web/price/art/7811LCLM5FDW?analog=on","7811LCLM5FDW"))*1</f>
        <v>#VALUE!</v>
      </c>
      <c r="B8220" s="1">
        <v>6993396</v>
      </c>
      <c r="C8220" t="s">
        <v>290</v>
      </c>
      <c r="D8220" t="s">
        <v>8415</v>
      </c>
      <c r="E8220" t="s">
        <v>10</v>
      </c>
    </row>
    <row r="8221" spans="1:5" hidden="1" outlineLevel="2">
      <c r="A8221" s="3" t="e">
        <f>(HYPERLINK("http://www.autodoc.ru/Web/price/art/7811LCLM5FDW1H?analog=on","7811LCLM5FDW1H"))*1</f>
        <v>#VALUE!</v>
      </c>
      <c r="B8221" s="1">
        <v>6996090</v>
      </c>
      <c r="C8221" t="s">
        <v>290</v>
      </c>
      <c r="D8221" t="s">
        <v>8416</v>
      </c>
      <c r="E8221" t="s">
        <v>10</v>
      </c>
    </row>
    <row r="8222" spans="1:5" hidden="1" outlineLevel="2">
      <c r="A8222" s="3" t="e">
        <f>(HYPERLINK("http://www.autodoc.ru/Web/price/art/7811LCLM5RD?analog=on","7811LCLM5RD"))*1</f>
        <v>#VALUE!</v>
      </c>
      <c r="B8222" s="1">
        <v>6993390</v>
      </c>
      <c r="C8222" t="s">
        <v>290</v>
      </c>
      <c r="D8222" t="s">
        <v>8417</v>
      </c>
      <c r="E8222" t="s">
        <v>10</v>
      </c>
    </row>
    <row r="8223" spans="1:5" hidden="1" outlineLevel="2">
      <c r="A8223" s="3" t="e">
        <f>(HYPERLINK("http://www.autodoc.ru/Web/price/art/7811LCLM5RQW?analog=on","7811LCLM5RQW"))*1</f>
        <v>#VALUE!</v>
      </c>
      <c r="B8223" s="1">
        <v>6993750</v>
      </c>
      <c r="C8223" t="s">
        <v>290</v>
      </c>
      <c r="D8223" t="s">
        <v>8418</v>
      </c>
      <c r="E8223" t="s">
        <v>10</v>
      </c>
    </row>
    <row r="8224" spans="1:5" hidden="1" outlineLevel="2">
      <c r="A8224" s="3" t="e">
        <f>(HYPERLINK("http://www.autodoc.ru/Web/price/art/7811LGDE5RD?analog=on","7811LGDE5RD"))*1</f>
        <v>#VALUE!</v>
      </c>
      <c r="B8224" s="1">
        <v>6994722</v>
      </c>
      <c r="C8224" t="s">
        <v>290</v>
      </c>
      <c r="D8224" t="s">
        <v>8419</v>
      </c>
      <c r="E8224" t="s">
        <v>10</v>
      </c>
    </row>
    <row r="8225" spans="1:5" hidden="1" outlineLevel="2">
      <c r="A8225" s="3" t="e">
        <f>(HYPERLINK("http://www.autodoc.ru/Web/price/art/7811LGDM5RD?analog=on","7811LGDM5RD"))*1</f>
        <v>#VALUE!</v>
      </c>
      <c r="B8225" s="1">
        <v>6993587</v>
      </c>
      <c r="C8225" t="s">
        <v>290</v>
      </c>
      <c r="D8225" t="s">
        <v>8420</v>
      </c>
      <c r="E8225" t="s">
        <v>10</v>
      </c>
    </row>
    <row r="8226" spans="1:5" hidden="1" outlineLevel="2">
      <c r="A8226" s="3" t="e">
        <f>(HYPERLINK("http://www.autodoc.ru/Web/price/art/7811LGDM5RQW?analog=on","7811LGDM5RQW"))*1</f>
        <v>#VALUE!</v>
      </c>
      <c r="B8226" s="1">
        <v>6993589</v>
      </c>
      <c r="C8226" t="s">
        <v>290</v>
      </c>
      <c r="D8226" t="s">
        <v>8421</v>
      </c>
      <c r="E8226" t="s">
        <v>10</v>
      </c>
    </row>
    <row r="8227" spans="1:5" hidden="1" outlineLevel="2">
      <c r="A8227" s="3" t="e">
        <f>(HYPERLINK("http://www.autodoc.ru/Web/price/art/7811LGSE5RD?analog=on","7811LGSE5RD"))*1</f>
        <v>#VALUE!</v>
      </c>
      <c r="B8227" s="1">
        <v>6993839</v>
      </c>
      <c r="C8227" t="s">
        <v>290</v>
      </c>
      <c r="D8227" t="s">
        <v>8422</v>
      </c>
      <c r="E8227" t="s">
        <v>10</v>
      </c>
    </row>
    <row r="8228" spans="1:5" hidden="1" outlineLevel="2">
      <c r="A8228" s="3" t="e">
        <f>(HYPERLINK("http://www.autodoc.ru/Web/price/art/7811LGSH5FDW?analog=on","7811LGSH5FDW"))*1</f>
        <v>#VALUE!</v>
      </c>
      <c r="B8228" s="1">
        <v>6993580</v>
      </c>
      <c r="C8228" t="s">
        <v>290</v>
      </c>
      <c r="D8228" t="s">
        <v>8423</v>
      </c>
      <c r="E8228" t="s">
        <v>10</v>
      </c>
    </row>
    <row r="8229" spans="1:5" hidden="1" outlineLevel="2">
      <c r="A8229" s="3" t="e">
        <f>(HYPERLINK("http://www.autodoc.ru/Web/price/art/7811LGSH5RD?analog=on","7811LGSH5RD"))*1</f>
        <v>#VALUE!</v>
      </c>
      <c r="B8229" s="1">
        <v>6993582</v>
      </c>
      <c r="C8229" t="s">
        <v>290</v>
      </c>
      <c r="D8229" t="s">
        <v>8422</v>
      </c>
      <c r="E8229" t="s">
        <v>10</v>
      </c>
    </row>
    <row r="8230" spans="1:5" hidden="1" outlineLevel="2">
      <c r="A8230" s="3" t="e">
        <f>(HYPERLINK("http://www.autodoc.ru/Web/price/art/7811LGSH5RVZ?analog=on","7811LGSH5RVZ"))*1</f>
        <v>#VALUE!</v>
      </c>
      <c r="B8230" s="1">
        <v>6993584</v>
      </c>
      <c r="C8230" t="s">
        <v>290</v>
      </c>
      <c r="D8230" t="s">
        <v>8424</v>
      </c>
      <c r="E8230" t="s">
        <v>10</v>
      </c>
    </row>
    <row r="8231" spans="1:5" hidden="1" outlineLevel="2">
      <c r="A8231" s="3" t="e">
        <f>(HYPERLINK("http://www.autodoc.ru/Web/price/art/7811LGSM5FDW?analog=on","7811LGSM5FDW"))*1</f>
        <v>#VALUE!</v>
      </c>
      <c r="B8231" s="1">
        <v>6993394</v>
      </c>
      <c r="C8231" t="s">
        <v>290</v>
      </c>
      <c r="D8231" t="s">
        <v>8423</v>
      </c>
      <c r="E8231" t="s">
        <v>10</v>
      </c>
    </row>
    <row r="8232" spans="1:5" hidden="1" outlineLevel="2">
      <c r="A8232" s="3" t="e">
        <f>(HYPERLINK("http://www.autodoc.ru/Web/price/art/7811LGSM5FDW1H?analog=on","7811LGSM5FDW1H"))*1</f>
        <v>#VALUE!</v>
      </c>
      <c r="B8232" s="1">
        <v>6996088</v>
      </c>
      <c r="C8232" t="s">
        <v>290</v>
      </c>
      <c r="D8232" t="s">
        <v>8425</v>
      </c>
      <c r="E8232" t="s">
        <v>10</v>
      </c>
    </row>
    <row r="8233" spans="1:5" hidden="1" outlineLevel="2">
      <c r="A8233" s="3" t="e">
        <f>(HYPERLINK("http://www.autodoc.ru/Web/price/art/7811LGSM5RD?analog=on","7811LGSM5RD"))*1</f>
        <v>#VALUE!</v>
      </c>
      <c r="B8233" s="1">
        <v>6993391</v>
      </c>
      <c r="C8233" t="s">
        <v>290</v>
      </c>
      <c r="D8233" t="s">
        <v>8426</v>
      </c>
      <c r="E8233" t="s">
        <v>10</v>
      </c>
    </row>
    <row r="8234" spans="1:5" hidden="1" outlineLevel="2">
      <c r="A8234" s="3" t="e">
        <f>(HYPERLINK("http://www.autodoc.ru/Web/price/art/7811LGSM5RQW?analog=on","7811LGSM5RQW"))*1</f>
        <v>#VALUE!</v>
      </c>
      <c r="B8234" s="1">
        <v>6993166</v>
      </c>
      <c r="C8234" t="s">
        <v>290</v>
      </c>
      <c r="D8234" t="s">
        <v>8427</v>
      </c>
      <c r="E8234" t="s">
        <v>10</v>
      </c>
    </row>
    <row r="8235" spans="1:5" hidden="1" outlineLevel="2">
      <c r="A8235" s="3" t="e">
        <f>(HYPERLINK("http://www.autodoc.ru/Web/price/art/7811RCLE5RD?analog=on","7811RCLE5RD"))*1</f>
        <v>#VALUE!</v>
      </c>
      <c r="B8235" s="1">
        <v>6995185</v>
      </c>
      <c r="C8235" t="s">
        <v>290</v>
      </c>
      <c r="D8235" t="s">
        <v>8428</v>
      </c>
      <c r="E8235" t="s">
        <v>10</v>
      </c>
    </row>
    <row r="8236" spans="1:5" hidden="1" outlineLevel="2">
      <c r="A8236" s="3" t="e">
        <f>(HYPERLINK("http://www.autodoc.ru/Web/price/art/7811RCLM5FDW?analog=on","7811RCLM5FDW"))*1</f>
        <v>#VALUE!</v>
      </c>
      <c r="B8236" s="1">
        <v>6993397</v>
      </c>
      <c r="C8236" t="s">
        <v>290</v>
      </c>
      <c r="D8236" t="s">
        <v>8429</v>
      </c>
      <c r="E8236" t="s">
        <v>10</v>
      </c>
    </row>
    <row r="8237" spans="1:5" hidden="1" outlineLevel="2">
      <c r="A8237" s="3" t="e">
        <f>(HYPERLINK("http://www.autodoc.ru/Web/price/art/7811RCLM5FDW1H?analog=on","7811RCLM5FDW1H"))*1</f>
        <v>#VALUE!</v>
      </c>
      <c r="B8237" s="1">
        <v>6996089</v>
      </c>
      <c r="C8237" t="s">
        <v>290</v>
      </c>
      <c r="D8237" t="s">
        <v>8430</v>
      </c>
      <c r="E8237" t="s">
        <v>10</v>
      </c>
    </row>
    <row r="8238" spans="1:5" hidden="1" outlineLevel="2">
      <c r="A8238" s="3" t="e">
        <f>(HYPERLINK("http://www.autodoc.ru/Web/price/art/7811RCLM5RD?analog=on","7811RCLM5RD"))*1</f>
        <v>#VALUE!</v>
      </c>
      <c r="B8238" s="1">
        <v>6993392</v>
      </c>
      <c r="C8238" t="s">
        <v>290</v>
      </c>
      <c r="D8238" t="s">
        <v>8428</v>
      </c>
      <c r="E8238" t="s">
        <v>10</v>
      </c>
    </row>
    <row r="8239" spans="1:5" hidden="1" outlineLevel="2">
      <c r="A8239" s="3" t="e">
        <f>(HYPERLINK("http://www.autodoc.ru/Web/price/art/7811RCLM5RQW?analog=on","7811RCLM5RQW"))*1</f>
        <v>#VALUE!</v>
      </c>
      <c r="B8239" s="1">
        <v>6993751</v>
      </c>
      <c r="C8239" t="s">
        <v>290</v>
      </c>
      <c r="D8239" t="s">
        <v>8431</v>
      </c>
      <c r="E8239" t="s">
        <v>10</v>
      </c>
    </row>
    <row r="8240" spans="1:5" hidden="1" outlineLevel="2">
      <c r="A8240" s="3" t="e">
        <f>(HYPERLINK("http://www.autodoc.ru/Web/price/art/7811RGDE5RD?analog=on","7811RGDE5RD"))*1</f>
        <v>#VALUE!</v>
      </c>
      <c r="B8240" s="1">
        <v>6994723</v>
      </c>
      <c r="C8240" t="s">
        <v>290</v>
      </c>
      <c r="D8240" t="s">
        <v>8432</v>
      </c>
      <c r="E8240" t="s">
        <v>10</v>
      </c>
    </row>
    <row r="8241" spans="1:5" hidden="1" outlineLevel="2">
      <c r="A8241" s="3" t="e">
        <f>(HYPERLINK("http://www.autodoc.ru/Web/price/art/7811RGDM5RD?analog=on","7811RGDM5RD"))*1</f>
        <v>#VALUE!</v>
      </c>
      <c r="B8241" s="1">
        <v>6993588</v>
      </c>
      <c r="C8241" t="s">
        <v>290</v>
      </c>
      <c r="D8241" t="s">
        <v>8433</v>
      </c>
      <c r="E8241" t="s">
        <v>10</v>
      </c>
    </row>
    <row r="8242" spans="1:5" hidden="1" outlineLevel="2">
      <c r="A8242" s="3" t="e">
        <f>(HYPERLINK("http://www.autodoc.ru/Web/price/art/7811RGDM5RQW?analog=on","7811RGDM5RQW"))*1</f>
        <v>#VALUE!</v>
      </c>
      <c r="B8242" s="1">
        <v>6993590</v>
      </c>
      <c r="C8242" t="s">
        <v>290</v>
      </c>
      <c r="D8242" t="s">
        <v>8434</v>
      </c>
      <c r="E8242" t="s">
        <v>10</v>
      </c>
    </row>
    <row r="8243" spans="1:5" hidden="1" outlineLevel="2">
      <c r="A8243" s="3" t="e">
        <f>(HYPERLINK("http://www.autodoc.ru/Web/price/art/7811RGSE5RD?analog=on","7811RGSE5RD"))*1</f>
        <v>#VALUE!</v>
      </c>
      <c r="B8243" s="1">
        <v>6993838</v>
      </c>
      <c r="C8243" t="s">
        <v>290</v>
      </c>
      <c r="D8243" t="s">
        <v>8432</v>
      </c>
      <c r="E8243" t="s">
        <v>10</v>
      </c>
    </row>
    <row r="8244" spans="1:5" hidden="1" outlineLevel="2">
      <c r="A8244" s="3" t="e">
        <f>(HYPERLINK("http://www.autodoc.ru/Web/price/art/7811RGSE5RQZ?analog=on","7811RGSE5RQZ"))*1</f>
        <v>#VALUE!</v>
      </c>
      <c r="B8244" s="1">
        <v>6993806</v>
      </c>
      <c r="C8244" t="s">
        <v>290</v>
      </c>
      <c r="D8244" t="s">
        <v>8435</v>
      </c>
      <c r="E8244" t="s">
        <v>10</v>
      </c>
    </row>
    <row r="8245" spans="1:5" hidden="1" outlineLevel="2">
      <c r="A8245" s="3" t="e">
        <f>(HYPERLINK("http://www.autodoc.ru/Web/price/art/7811RGSH5FDW?analog=on","7811RGSH5FDW"))*1</f>
        <v>#VALUE!</v>
      </c>
      <c r="B8245" s="1">
        <v>6993581</v>
      </c>
      <c r="C8245" t="s">
        <v>290</v>
      </c>
      <c r="D8245" t="s">
        <v>8436</v>
      </c>
      <c r="E8245" t="s">
        <v>10</v>
      </c>
    </row>
    <row r="8246" spans="1:5" hidden="1" outlineLevel="2">
      <c r="A8246" s="3" t="e">
        <f>(HYPERLINK("http://www.autodoc.ru/Web/price/art/7811RGSH5RD?analog=on","7811RGSH5RD"))*1</f>
        <v>#VALUE!</v>
      </c>
      <c r="B8246" s="1">
        <v>6993583</v>
      </c>
      <c r="C8246" t="s">
        <v>290</v>
      </c>
      <c r="D8246" t="s">
        <v>8437</v>
      </c>
      <c r="E8246" t="s">
        <v>10</v>
      </c>
    </row>
    <row r="8247" spans="1:5" hidden="1" outlineLevel="2">
      <c r="A8247" s="3" t="e">
        <f>(HYPERLINK("http://www.autodoc.ru/Web/price/art/7811RGSH5RVZ?analog=on","7811RGSH5RVZ"))*1</f>
        <v>#VALUE!</v>
      </c>
      <c r="B8247" s="1">
        <v>6993585</v>
      </c>
      <c r="C8247" t="s">
        <v>290</v>
      </c>
      <c r="D8247" t="s">
        <v>8438</v>
      </c>
      <c r="E8247" t="s">
        <v>10</v>
      </c>
    </row>
    <row r="8248" spans="1:5" hidden="1" outlineLevel="2">
      <c r="A8248" s="3" t="e">
        <f>(HYPERLINK("http://www.autodoc.ru/Web/price/art/7811RGSM5FDW?analog=on","7811RGSM5FDW"))*1</f>
        <v>#VALUE!</v>
      </c>
      <c r="B8248" s="1">
        <v>6993395</v>
      </c>
      <c r="C8248" t="s">
        <v>290</v>
      </c>
      <c r="D8248" t="s">
        <v>8436</v>
      </c>
      <c r="E8248" t="s">
        <v>10</v>
      </c>
    </row>
    <row r="8249" spans="1:5" hidden="1" outlineLevel="2">
      <c r="A8249" s="3" t="e">
        <f>(HYPERLINK("http://www.autodoc.ru/Web/price/art/7811RGSM5FDW1H?analog=on","7811RGSM5FDW1H"))*1</f>
        <v>#VALUE!</v>
      </c>
      <c r="B8249" s="1">
        <v>6996087</v>
      </c>
      <c r="C8249" t="s">
        <v>290</v>
      </c>
      <c r="D8249" t="s">
        <v>8439</v>
      </c>
      <c r="E8249" t="s">
        <v>10</v>
      </c>
    </row>
    <row r="8250" spans="1:5" hidden="1" outlineLevel="2">
      <c r="A8250" s="3" t="e">
        <f>(HYPERLINK("http://www.autodoc.ru/Web/price/art/7811RGSM5RD?analog=on","7811RGSM5RD"))*1</f>
        <v>#VALUE!</v>
      </c>
      <c r="B8250" s="1">
        <v>6993393</v>
      </c>
      <c r="C8250" t="s">
        <v>290</v>
      </c>
      <c r="D8250" t="s">
        <v>8440</v>
      </c>
      <c r="E8250" t="s">
        <v>10</v>
      </c>
    </row>
    <row r="8251" spans="1:5" hidden="1" outlineLevel="2">
      <c r="A8251" s="3" t="e">
        <f>(HYPERLINK("http://www.autodoc.ru/Web/price/art/7811RGSM5RQW?analog=on","7811RGSM5RQW"))*1</f>
        <v>#VALUE!</v>
      </c>
      <c r="B8251" s="1">
        <v>6993165</v>
      </c>
      <c r="C8251" t="s">
        <v>290</v>
      </c>
      <c r="D8251" t="s">
        <v>8441</v>
      </c>
      <c r="E8251" t="s">
        <v>10</v>
      </c>
    </row>
    <row r="8252" spans="1:5" hidden="1" outlineLevel="1">
      <c r="A8252" s="2">
        <v>0</v>
      </c>
      <c r="B8252" s="26" t="s">
        <v>8442</v>
      </c>
      <c r="C8252" s="27">
        <v>0</v>
      </c>
      <c r="D8252" s="27">
        <v>0</v>
      </c>
      <c r="E8252" s="27">
        <v>0</v>
      </c>
    </row>
    <row r="8253" spans="1:5" hidden="1" outlineLevel="2">
      <c r="A8253" s="3" t="e">
        <f>(HYPERLINK("http://www.autodoc.ru/Web/price/art/7811ACLAVW?analog=on","7811ACLAVW"))*1</f>
        <v>#VALUE!</v>
      </c>
      <c r="B8253" s="1">
        <v>6964804</v>
      </c>
      <c r="C8253" t="s">
        <v>341</v>
      </c>
      <c r="D8253" t="s">
        <v>8443</v>
      </c>
      <c r="E8253" t="s">
        <v>8</v>
      </c>
    </row>
    <row r="8254" spans="1:5" hidden="1" outlineLevel="2">
      <c r="A8254" s="3" t="e">
        <f>(HYPERLINK("http://www.autodoc.ru/Web/price/art/7811AGSAVW?analog=on","7811AGSAVW"))*1</f>
        <v>#VALUE!</v>
      </c>
      <c r="B8254" s="1">
        <v>6961502</v>
      </c>
      <c r="C8254" t="s">
        <v>341</v>
      </c>
      <c r="D8254" t="s">
        <v>8444</v>
      </c>
      <c r="E8254" t="s">
        <v>8</v>
      </c>
    </row>
    <row r="8255" spans="1:5" hidden="1" outlineLevel="1">
      <c r="A8255" s="2">
        <v>0</v>
      </c>
      <c r="B8255" s="26" t="s">
        <v>8445</v>
      </c>
      <c r="C8255" s="27">
        <v>0</v>
      </c>
      <c r="D8255" s="27">
        <v>0</v>
      </c>
      <c r="E8255" s="27">
        <v>0</v>
      </c>
    </row>
    <row r="8256" spans="1:5" hidden="1" outlineLevel="2">
      <c r="A8256" s="3" t="e">
        <f>(HYPERLINK("http://www.autodoc.ru/Web/price/art/7806ACL?analog=on","7806ACL"))*1</f>
        <v>#VALUE!</v>
      </c>
      <c r="B8256" s="1">
        <v>6969301</v>
      </c>
      <c r="C8256" t="s">
        <v>5088</v>
      </c>
      <c r="D8256" t="s">
        <v>8446</v>
      </c>
      <c r="E8256" t="s">
        <v>8</v>
      </c>
    </row>
    <row r="8257" spans="1:5" hidden="1" outlineLevel="2">
      <c r="A8257" s="3" t="e">
        <f>(HYPERLINK("http://www.autodoc.ru/Web/price/art/7806ACL1P?analog=on","7806ACL1P"))*1</f>
        <v>#VALUE!</v>
      </c>
      <c r="B8257" s="1">
        <v>6969315</v>
      </c>
      <c r="C8257" t="s">
        <v>5088</v>
      </c>
      <c r="D8257" t="s">
        <v>8447</v>
      </c>
      <c r="E8257" t="s">
        <v>8</v>
      </c>
    </row>
    <row r="8258" spans="1:5" hidden="1" outlineLevel="2">
      <c r="A8258" s="3" t="e">
        <f>(HYPERLINK("http://www.autodoc.ru/Web/price/art/7806AGN?analog=on","7806AGN"))*1</f>
        <v>#VALUE!</v>
      </c>
      <c r="B8258" s="1">
        <v>6969302</v>
      </c>
      <c r="C8258" t="s">
        <v>5088</v>
      </c>
      <c r="D8258" t="s">
        <v>8448</v>
      </c>
      <c r="E8258" t="s">
        <v>8</v>
      </c>
    </row>
    <row r="8259" spans="1:5" hidden="1" outlineLevel="2">
      <c r="A8259" s="3" t="e">
        <f>(HYPERLINK("http://www.autodoc.ru/Web/price/art/7806AGN1P?analog=on","7806AGN1P"))*1</f>
        <v>#VALUE!</v>
      </c>
      <c r="B8259" s="1">
        <v>6969316</v>
      </c>
      <c r="C8259" t="s">
        <v>5088</v>
      </c>
      <c r="D8259" t="s">
        <v>8449</v>
      </c>
      <c r="E8259" t="s">
        <v>8</v>
      </c>
    </row>
    <row r="8260" spans="1:5" hidden="1" outlineLevel="2">
      <c r="A8260" s="3" t="e">
        <f>(HYPERLINK("http://www.autodoc.ru/Web/price/art/7806AGNBL1P?analog=on","7806AGNBL1P"))*1</f>
        <v>#VALUE!</v>
      </c>
      <c r="B8260" s="1">
        <v>6961440</v>
      </c>
      <c r="C8260" t="s">
        <v>5088</v>
      </c>
      <c r="D8260" t="s">
        <v>8450</v>
      </c>
      <c r="E8260" t="s">
        <v>8</v>
      </c>
    </row>
    <row r="8261" spans="1:5" hidden="1" outlineLevel="2">
      <c r="A8261" s="3" t="e">
        <f>(HYPERLINK("http://www.autodoc.ru/Web/price/art/7806AGNGN?analog=on","7806AGNGN"))*1</f>
        <v>#VALUE!</v>
      </c>
      <c r="B8261" s="1">
        <v>6969305</v>
      </c>
      <c r="C8261" t="s">
        <v>5088</v>
      </c>
      <c r="D8261" t="s">
        <v>8451</v>
      </c>
      <c r="E8261" t="s">
        <v>8</v>
      </c>
    </row>
    <row r="8262" spans="1:5" hidden="1" outlineLevel="2">
      <c r="A8262" s="3" t="e">
        <f>(HYPERLINK("http://www.autodoc.ru/Web/price/art/7806AGNGN1P?analog=on","7806AGNGN1P"))*1</f>
        <v>#VALUE!</v>
      </c>
      <c r="B8262" s="1">
        <v>6964405</v>
      </c>
      <c r="C8262" t="s">
        <v>5088</v>
      </c>
      <c r="D8262" t="s">
        <v>8452</v>
      </c>
      <c r="E8262" t="s">
        <v>8</v>
      </c>
    </row>
    <row r="8263" spans="1:5" hidden="1" outlineLevel="2">
      <c r="A8263" s="3" t="e">
        <f>(HYPERLINK("http://www.autodoc.ru/Web/price/art/7806ASRH?analog=on","7806ASRH"))*1</f>
        <v>#VALUE!</v>
      </c>
      <c r="B8263" s="1">
        <v>6101218</v>
      </c>
      <c r="C8263" t="s">
        <v>19</v>
      </c>
      <c r="D8263" t="s">
        <v>8453</v>
      </c>
      <c r="E8263" t="s">
        <v>21</v>
      </c>
    </row>
    <row r="8264" spans="1:5" hidden="1" outlineLevel="2">
      <c r="A8264" s="3" t="e">
        <f>(HYPERLINK("http://www.autodoc.ru/Web/price/art/7806BCLH?analog=on","7806BCLH"))*1</f>
        <v>#VALUE!</v>
      </c>
      <c r="B8264" s="1">
        <v>6997820</v>
      </c>
      <c r="C8264" t="s">
        <v>5088</v>
      </c>
      <c r="D8264" t="s">
        <v>8454</v>
      </c>
      <c r="E8264" t="s">
        <v>23</v>
      </c>
    </row>
    <row r="8265" spans="1:5" hidden="1" outlineLevel="2">
      <c r="A8265" s="3" t="e">
        <f>(HYPERLINK("http://www.autodoc.ru/Web/price/art/7806BCLH1J?analog=on","7806BCLH1J"))*1</f>
        <v>#VALUE!</v>
      </c>
      <c r="B8265" s="1">
        <v>6994855</v>
      </c>
      <c r="C8265" t="s">
        <v>5088</v>
      </c>
      <c r="D8265" t="s">
        <v>8455</v>
      </c>
      <c r="E8265" t="s">
        <v>23</v>
      </c>
    </row>
    <row r="8266" spans="1:5" hidden="1" outlineLevel="2">
      <c r="A8266" s="3" t="e">
        <f>(HYPERLINK("http://www.autodoc.ru/Web/price/art/7806BGNH1J?analog=on","7806BGNH1J"))*1</f>
        <v>#VALUE!</v>
      </c>
      <c r="B8266" s="1">
        <v>6997808</v>
      </c>
      <c r="C8266" t="s">
        <v>5088</v>
      </c>
      <c r="D8266" t="s">
        <v>8456</v>
      </c>
      <c r="E8266" t="s">
        <v>23</v>
      </c>
    </row>
    <row r="8267" spans="1:5" hidden="1" outlineLevel="2">
      <c r="A8267" s="3" t="e">
        <f>(HYPERLINK("http://www.autodoc.ru/Web/price/art/7806LCLE5RQZ1J?analog=on","7806LCLE5RQZ1J"))*1</f>
        <v>#VALUE!</v>
      </c>
      <c r="B8267" s="1">
        <v>6994856</v>
      </c>
      <c r="C8267" t="s">
        <v>5088</v>
      </c>
      <c r="D8267" t="s">
        <v>8457</v>
      </c>
      <c r="E8267" t="s">
        <v>10</v>
      </c>
    </row>
    <row r="8268" spans="1:5" hidden="1" outlineLevel="2">
      <c r="A8268" s="3" t="e">
        <f>(HYPERLINK("http://www.autodoc.ru/Web/price/art/7806LCLH5FD?analog=on","7806LCLH5FD"))*1</f>
        <v>#VALUE!</v>
      </c>
      <c r="B8268" s="1">
        <v>6997809</v>
      </c>
      <c r="C8268" t="s">
        <v>5088</v>
      </c>
      <c r="D8268" t="s">
        <v>8458</v>
      </c>
      <c r="E8268" t="s">
        <v>10</v>
      </c>
    </row>
    <row r="8269" spans="1:5" hidden="1" outlineLevel="2">
      <c r="A8269" s="3" t="e">
        <f>(HYPERLINK("http://www.autodoc.ru/Web/price/art/7806LCLH5FD1J?analog=on","7806LCLH5FD1J"))*1</f>
        <v>#VALUE!</v>
      </c>
      <c r="B8269" s="1">
        <v>6997810</v>
      </c>
      <c r="C8269" t="s">
        <v>5088</v>
      </c>
      <c r="D8269" t="s">
        <v>8459</v>
      </c>
      <c r="E8269" t="s">
        <v>10</v>
      </c>
    </row>
    <row r="8270" spans="1:5" hidden="1" outlineLevel="2">
      <c r="A8270" s="3" t="e">
        <f>(HYPERLINK("http://www.autodoc.ru/Web/price/art/7806LCLH5RD1J?analog=on","7806LCLH5RD1J"))*1</f>
        <v>#VALUE!</v>
      </c>
      <c r="B8270" s="1">
        <v>6997812</v>
      </c>
      <c r="C8270" t="s">
        <v>5088</v>
      </c>
      <c r="D8270" t="s">
        <v>8460</v>
      </c>
      <c r="E8270" t="s">
        <v>10</v>
      </c>
    </row>
    <row r="8271" spans="1:5" hidden="1" outlineLevel="2">
      <c r="A8271" s="3" t="e">
        <f>(HYPERLINK("http://www.autodoc.ru/Web/price/art/7806LCLH5RD?analog=on","7806LCLH5RD"))*1</f>
        <v>#VALUE!</v>
      </c>
      <c r="B8271" s="1">
        <v>6997811</v>
      </c>
      <c r="C8271" t="s">
        <v>5088</v>
      </c>
      <c r="D8271" t="s">
        <v>8461</v>
      </c>
      <c r="E8271" t="s">
        <v>10</v>
      </c>
    </row>
    <row r="8272" spans="1:5" hidden="1" outlineLevel="2">
      <c r="A8272" s="3" t="e">
        <f>(HYPERLINK("http://www.autodoc.ru/Web/price/art/7806LCLH5RV1J?analog=on","7806LCLH5RV1J"))*1</f>
        <v>#VALUE!</v>
      </c>
      <c r="B8272" s="1">
        <v>6994857</v>
      </c>
      <c r="C8272" t="s">
        <v>5088</v>
      </c>
      <c r="D8272" t="s">
        <v>8462</v>
      </c>
      <c r="E8272" t="s">
        <v>10</v>
      </c>
    </row>
    <row r="8273" spans="1:5" hidden="1" outlineLevel="2">
      <c r="A8273" s="3" t="e">
        <f>(HYPERLINK("http://www.autodoc.ru/Web/price/art/7806LGNE5RQZ1J?analog=on","7806LGNE5RQZ1J"))*1</f>
        <v>#VALUE!</v>
      </c>
      <c r="B8273" s="1">
        <v>6994858</v>
      </c>
      <c r="C8273" t="s">
        <v>5088</v>
      </c>
      <c r="D8273" t="s">
        <v>8463</v>
      </c>
      <c r="E8273" t="s">
        <v>10</v>
      </c>
    </row>
    <row r="8274" spans="1:5" hidden="1" outlineLevel="2">
      <c r="A8274" s="3" t="e">
        <f>(HYPERLINK("http://www.autodoc.ru/Web/price/art/7806LGNH5FD?analog=on","7806LGNH5FD"))*1</f>
        <v>#VALUE!</v>
      </c>
      <c r="B8274" s="1">
        <v>6999179</v>
      </c>
      <c r="C8274" t="s">
        <v>5088</v>
      </c>
      <c r="D8274" t="s">
        <v>8464</v>
      </c>
      <c r="E8274" t="s">
        <v>10</v>
      </c>
    </row>
    <row r="8275" spans="1:5" hidden="1" outlineLevel="2">
      <c r="A8275" s="3" t="e">
        <f>(HYPERLINK("http://www.autodoc.ru/Web/price/art/7806LGNH5FD1J?analog=on","7806LGNH5FD1J"))*1</f>
        <v>#VALUE!</v>
      </c>
      <c r="B8275" s="1">
        <v>6994859</v>
      </c>
      <c r="C8275" t="s">
        <v>5088</v>
      </c>
      <c r="D8275" t="s">
        <v>8465</v>
      </c>
      <c r="E8275" t="s">
        <v>10</v>
      </c>
    </row>
    <row r="8276" spans="1:5" hidden="1" outlineLevel="2">
      <c r="A8276" s="3" t="e">
        <f>(HYPERLINK("http://www.autodoc.ru/Web/price/art/7806LGNH5RD?analog=on","7806LGNH5RD"))*1</f>
        <v>#VALUE!</v>
      </c>
      <c r="B8276" s="1">
        <v>6999180</v>
      </c>
      <c r="C8276" t="s">
        <v>5088</v>
      </c>
      <c r="D8276" t="s">
        <v>8466</v>
      </c>
      <c r="E8276" t="s">
        <v>10</v>
      </c>
    </row>
    <row r="8277" spans="1:5" hidden="1" outlineLevel="2">
      <c r="A8277" s="3" t="e">
        <f>(HYPERLINK("http://www.autodoc.ru/Web/price/art/7806LGNH5RD1J?analog=on","7806LGNH5RD1J"))*1</f>
        <v>#VALUE!</v>
      </c>
      <c r="B8277" s="1">
        <v>6994860</v>
      </c>
      <c r="C8277" t="s">
        <v>5088</v>
      </c>
      <c r="D8277" t="s">
        <v>8467</v>
      </c>
      <c r="E8277" t="s">
        <v>10</v>
      </c>
    </row>
    <row r="8278" spans="1:5" hidden="1" outlineLevel="2">
      <c r="A8278" s="3" t="e">
        <f>(HYPERLINK("http://www.autodoc.ru/Web/price/art/7806LGNH5RV1J?analog=on","7806LGNH5RV1J"))*1</f>
        <v>#VALUE!</v>
      </c>
      <c r="B8278" s="1">
        <v>6994861</v>
      </c>
      <c r="C8278" t="s">
        <v>5088</v>
      </c>
      <c r="D8278" t="s">
        <v>8468</v>
      </c>
      <c r="E8278" t="s">
        <v>10</v>
      </c>
    </row>
    <row r="8279" spans="1:5" hidden="1" outlineLevel="2">
      <c r="A8279" s="3" t="e">
        <f>(HYPERLINK("http://www.autodoc.ru/Web/price/art/7806RCLE5RQZ1J?analog=on","7806RCLE5RQZ1J"))*1</f>
        <v>#VALUE!</v>
      </c>
      <c r="B8279" s="1">
        <v>6994862</v>
      </c>
      <c r="C8279" t="s">
        <v>5088</v>
      </c>
      <c r="D8279" t="s">
        <v>8469</v>
      </c>
      <c r="E8279" t="s">
        <v>10</v>
      </c>
    </row>
    <row r="8280" spans="1:5" hidden="1" outlineLevel="2">
      <c r="A8280" s="3" t="e">
        <f>(HYPERLINK("http://www.autodoc.ru/Web/price/art/7806RCLH5FD?analog=on","7806RCLH5FD"))*1</f>
        <v>#VALUE!</v>
      </c>
      <c r="B8280" s="1">
        <v>6997814</v>
      </c>
      <c r="C8280" t="s">
        <v>5088</v>
      </c>
      <c r="D8280" t="s">
        <v>8470</v>
      </c>
      <c r="E8280" t="s">
        <v>10</v>
      </c>
    </row>
    <row r="8281" spans="1:5" hidden="1" outlineLevel="2">
      <c r="A8281" s="3" t="e">
        <f>(HYPERLINK("http://www.autodoc.ru/Web/price/art/7806RCLH5FD1J?analog=on","7806RCLH5FD1J"))*1</f>
        <v>#VALUE!</v>
      </c>
      <c r="B8281" s="1">
        <v>6997815</v>
      </c>
      <c r="C8281" t="s">
        <v>5088</v>
      </c>
      <c r="D8281" t="s">
        <v>8471</v>
      </c>
      <c r="E8281" t="s">
        <v>10</v>
      </c>
    </row>
    <row r="8282" spans="1:5" hidden="1" outlineLevel="2">
      <c r="A8282" s="3" t="e">
        <f>(HYPERLINK("http://www.autodoc.ru/Web/price/art/7806RCLH5RD1J?analog=on","7806RCLH5RD1J"))*1</f>
        <v>#VALUE!</v>
      </c>
      <c r="B8282" s="1">
        <v>6997817</v>
      </c>
      <c r="C8282" t="s">
        <v>5088</v>
      </c>
      <c r="D8282" t="s">
        <v>8472</v>
      </c>
      <c r="E8282" t="s">
        <v>10</v>
      </c>
    </row>
    <row r="8283" spans="1:5" hidden="1" outlineLevel="2">
      <c r="A8283" s="3" t="e">
        <f>(HYPERLINK("http://www.autodoc.ru/Web/price/art/7806RCLH5RV1J?analog=on","7806RCLH5RV1J"))*1</f>
        <v>#VALUE!</v>
      </c>
      <c r="B8283" s="1">
        <v>6994863</v>
      </c>
      <c r="C8283" t="s">
        <v>5088</v>
      </c>
      <c r="D8283" t="s">
        <v>8473</v>
      </c>
      <c r="E8283" t="s">
        <v>10</v>
      </c>
    </row>
    <row r="8284" spans="1:5" hidden="1" outlineLevel="2">
      <c r="A8284" s="3" t="e">
        <f>(HYPERLINK("http://www.autodoc.ru/Web/price/art/7806RGNE5RQZ1J?analog=on","7806RGNE5RQZ1J"))*1</f>
        <v>#VALUE!</v>
      </c>
      <c r="B8284" s="1">
        <v>6994864</v>
      </c>
      <c r="C8284" t="s">
        <v>5088</v>
      </c>
      <c r="D8284" t="s">
        <v>8474</v>
      </c>
      <c r="E8284" t="s">
        <v>10</v>
      </c>
    </row>
    <row r="8285" spans="1:5" hidden="1" outlineLevel="2">
      <c r="A8285" s="3" t="e">
        <f>(HYPERLINK("http://www.autodoc.ru/Web/price/art/7806RGNH5FD?analog=on","7806RGNH5FD"))*1</f>
        <v>#VALUE!</v>
      </c>
      <c r="B8285" s="1">
        <v>6999182</v>
      </c>
      <c r="C8285" t="s">
        <v>5088</v>
      </c>
      <c r="D8285" t="s">
        <v>8475</v>
      </c>
      <c r="E8285" t="s">
        <v>10</v>
      </c>
    </row>
    <row r="8286" spans="1:5" hidden="1" outlineLevel="2">
      <c r="A8286" s="3" t="e">
        <f>(HYPERLINK("http://www.autodoc.ru/Web/price/art/7806RGNH5FD1J?analog=on","7806RGNH5FD1J"))*1</f>
        <v>#VALUE!</v>
      </c>
      <c r="B8286" s="1">
        <v>6994865</v>
      </c>
      <c r="C8286" t="s">
        <v>5088</v>
      </c>
      <c r="D8286" t="s">
        <v>8476</v>
      </c>
      <c r="E8286" t="s">
        <v>10</v>
      </c>
    </row>
    <row r="8287" spans="1:5" hidden="1" outlineLevel="2">
      <c r="A8287" s="3" t="e">
        <f>(HYPERLINK("http://www.autodoc.ru/Web/price/art/7806RGNH5RD?analog=on","7806RGNH5RD"))*1</f>
        <v>#VALUE!</v>
      </c>
      <c r="B8287" s="1">
        <v>6999183</v>
      </c>
      <c r="C8287" t="s">
        <v>5088</v>
      </c>
      <c r="D8287" t="s">
        <v>8477</v>
      </c>
      <c r="E8287" t="s">
        <v>10</v>
      </c>
    </row>
    <row r="8288" spans="1:5" hidden="1" outlineLevel="2">
      <c r="A8288" s="3" t="e">
        <f>(HYPERLINK("http://www.autodoc.ru/Web/price/art/7806RGNH5RD1J?analog=on","7806RGNH5RD1J"))*1</f>
        <v>#VALUE!</v>
      </c>
      <c r="B8288" s="1">
        <v>6994866</v>
      </c>
      <c r="C8288" t="s">
        <v>5088</v>
      </c>
      <c r="D8288" t="s">
        <v>8478</v>
      </c>
      <c r="E8288" t="s">
        <v>10</v>
      </c>
    </row>
    <row r="8289" spans="1:5" hidden="1" outlineLevel="2">
      <c r="A8289" s="3" t="e">
        <f>(HYPERLINK("http://www.autodoc.ru/Web/price/art/7806RGNH5RV1J?analog=on","7806RGNH5RV1J"))*1</f>
        <v>#VALUE!</v>
      </c>
      <c r="B8289" s="1">
        <v>6994867</v>
      </c>
      <c r="C8289" t="s">
        <v>5088</v>
      </c>
      <c r="D8289" t="s">
        <v>8479</v>
      </c>
      <c r="E8289" t="s">
        <v>10</v>
      </c>
    </row>
    <row r="8290" spans="1:5" hidden="1" outlineLevel="1">
      <c r="A8290" s="2">
        <v>0</v>
      </c>
      <c r="B8290" s="26" t="s">
        <v>8480</v>
      </c>
      <c r="C8290" s="27">
        <v>0</v>
      </c>
      <c r="D8290" s="27">
        <v>0</v>
      </c>
      <c r="E8290" s="27">
        <v>0</v>
      </c>
    </row>
    <row r="8291" spans="1:5" hidden="1" outlineLevel="2">
      <c r="A8291" s="3" t="e">
        <f>(HYPERLINK("http://www.autodoc.ru/Web/price/art/7807AGNGNVW1K?analog=on","7807AGNGNVW1K"))*1</f>
        <v>#VALUE!</v>
      </c>
      <c r="B8291" s="1">
        <v>6965017</v>
      </c>
      <c r="C8291" t="s">
        <v>323</v>
      </c>
      <c r="D8291" t="s">
        <v>8481</v>
      </c>
      <c r="E8291" t="s">
        <v>8</v>
      </c>
    </row>
    <row r="8292" spans="1:5" hidden="1" outlineLevel="2">
      <c r="A8292" s="3" t="e">
        <f>(HYPERLINK("http://www.autodoc.ru/Web/price/art/7807AGNGYMVW1K?analog=on","7807AGNGYMVW1K"))*1</f>
        <v>#VALUE!</v>
      </c>
      <c r="B8292" s="1">
        <v>6960196</v>
      </c>
      <c r="C8292" t="s">
        <v>323</v>
      </c>
      <c r="D8292" t="s">
        <v>8482</v>
      </c>
      <c r="E8292" t="s">
        <v>8</v>
      </c>
    </row>
    <row r="8293" spans="1:5" hidden="1" outlineLevel="2">
      <c r="A8293" s="3" t="e">
        <f>(HYPERLINK("http://www.autodoc.ru/Web/price/art/7807AGNGYVW1K?analog=on","7807AGNGYVW1K"))*1</f>
        <v>#VALUE!</v>
      </c>
      <c r="B8293" s="1">
        <v>6960259</v>
      </c>
      <c r="C8293" t="s">
        <v>323</v>
      </c>
      <c r="D8293" t="s">
        <v>8483</v>
      </c>
      <c r="E8293" t="s">
        <v>8</v>
      </c>
    </row>
    <row r="8294" spans="1:5" hidden="1" outlineLevel="2">
      <c r="A8294" s="3" t="e">
        <f>(HYPERLINK("http://www.autodoc.ru/Web/price/art/7807AGNVW1K?analog=on","7807AGNVW1K"))*1</f>
        <v>#VALUE!</v>
      </c>
      <c r="B8294" s="1">
        <v>6965016</v>
      </c>
      <c r="C8294" t="s">
        <v>323</v>
      </c>
      <c r="D8294" t="s">
        <v>8484</v>
      </c>
      <c r="E8294" t="s">
        <v>8</v>
      </c>
    </row>
    <row r="8295" spans="1:5" hidden="1" outlineLevel="2">
      <c r="A8295" s="3" t="e">
        <f>(HYPERLINK("http://www.autodoc.ru/Web/price/art/7807AKMH?analog=on","7807AKMH"))*1</f>
        <v>#VALUE!</v>
      </c>
      <c r="B8295" s="1">
        <v>6102380</v>
      </c>
      <c r="C8295" t="s">
        <v>19</v>
      </c>
      <c r="D8295" t="s">
        <v>8485</v>
      </c>
      <c r="E8295" t="s">
        <v>21</v>
      </c>
    </row>
    <row r="8296" spans="1:5" hidden="1" outlineLevel="2">
      <c r="A8296" s="3" t="e">
        <f>(HYPERLINK("http://www.autodoc.ru/Web/price/art/7807ASMHT?analog=on","7807ASMHT"))*1</f>
        <v>#VALUE!</v>
      </c>
      <c r="B8296" s="1">
        <v>6102381</v>
      </c>
      <c r="C8296" t="s">
        <v>19</v>
      </c>
      <c r="D8296" t="s">
        <v>8486</v>
      </c>
      <c r="E8296" t="s">
        <v>21</v>
      </c>
    </row>
    <row r="8297" spans="1:5" hidden="1" outlineLevel="2">
      <c r="A8297" s="3" t="e">
        <f>(HYPERLINK("http://www.autodoc.ru/Web/price/art/7807BCLEW?analog=on","7807BCLEW"))*1</f>
        <v>#VALUE!</v>
      </c>
      <c r="B8297" s="1">
        <v>6990592</v>
      </c>
      <c r="C8297" t="s">
        <v>323</v>
      </c>
      <c r="D8297" t="s">
        <v>8487</v>
      </c>
      <c r="E8297" t="s">
        <v>23</v>
      </c>
    </row>
    <row r="8298" spans="1:5" hidden="1" outlineLevel="2">
      <c r="A8298" s="3" t="e">
        <f>(HYPERLINK("http://www.autodoc.ru/Web/price/art/7807BCLHBZ1V?analog=on","7807BCLHBZ1V"))*1</f>
        <v>#VALUE!</v>
      </c>
      <c r="B8298" s="1">
        <v>6990580</v>
      </c>
      <c r="C8298" t="s">
        <v>323</v>
      </c>
      <c r="D8298" t="s">
        <v>8488</v>
      </c>
      <c r="E8298" t="s">
        <v>23</v>
      </c>
    </row>
    <row r="8299" spans="1:5" hidden="1" outlineLevel="2">
      <c r="A8299" s="3" t="e">
        <f>(HYPERLINK("http://www.autodoc.ru/Web/price/art/7807BCLHBZ6Q?analog=on","7807BCLHBZ6Q"))*1</f>
        <v>#VALUE!</v>
      </c>
      <c r="B8299" s="1">
        <v>6990582</v>
      </c>
      <c r="C8299" t="s">
        <v>323</v>
      </c>
      <c r="D8299" t="s">
        <v>8489</v>
      </c>
      <c r="E8299" t="s">
        <v>23</v>
      </c>
    </row>
    <row r="8300" spans="1:5" hidden="1" outlineLevel="2">
      <c r="A8300" s="3" t="e">
        <f>(HYPERLINK("http://www.autodoc.ru/Web/price/art/7807BGNEW?analog=on","7807BGNEW"))*1</f>
        <v>#VALUE!</v>
      </c>
      <c r="B8300" s="1">
        <v>6994868</v>
      </c>
      <c r="C8300" t="s">
        <v>323</v>
      </c>
      <c r="D8300" t="s">
        <v>8490</v>
      </c>
      <c r="E8300" t="s">
        <v>23</v>
      </c>
    </row>
    <row r="8301" spans="1:5" hidden="1" outlineLevel="2">
      <c r="A8301" s="3" t="e">
        <f>(HYPERLINK("http://www.autodoc.ru/Web/price/art/7807BGNHBZ1V?analog=on","7807BGNHBZ1V"))*1</f>
        <v>#VALUE!</v>
      </c>
      <c r="B8301" s="1">
        <v>6997842</v>
      </c>
      <c r="C8301" t="s">
        <v>323</v>
      </c>
      <c r="D8301" t="s">
        <v>8491</v>
      </c>
      <c r="E8301" t="s">
        <v>23</v>
      </c>
    </row>
    <row r="8302" spans="1:5" hidden="1" outlineLevel="2">
      <c r="A8302" s="3" t="e">
        <f>(HYPERLINK("http://www.autodoc.ru/Web/price/art/7807BGNHBZ6Q?analog=on","7807BGNHBZ6Q"))*1</f>
        <v>#VALUE!</v>
      </c>
      <c r="B8302" s="1">
        <v>6990583</v>
      </c>
      <c r="C8302" t="s">
        <v>323</v>
      </c>
      <c r="D8302" t="s">
        <v>8492</v>
      </c>
      <c r="E8302" t="s">
        <v>23</v>
      </c>
    </row>
    <row r="8303" spans="1:5" hidden="1" outlineLevel="2">
      <c r="A8303" s="3" t="e">
        <f>(HYPERLINK("http://www.autodoc.ru/Web/price/art/7807BGPEW?analog=on","7807BGPEW"))*1</f>
        <v>#VALUE!</v>
      </c>
      <c r="B8303" s="1">
        <v>6991135</v>
      </c>
      <c r="C8303" t="s">
        <v>323</v>
      </c>
      <c r="D8303" t="s">
        <v>8493</v>
      </c>
      <c r="E8303" t="s">
        <v>23</v>
      </c>
    </row>
    <row r="8304" spans="1:5" hidden="1" outlineLevel="2">
      <c r="A8304" s="3" t="e">
        <f>(HYPERLINK("http://www.autodoc.ru/Web/price/art/7807LCLE5RD?analog=on","7807LCLE5RD"))*1</f>
        <v>#VALUE!</v>
      </c>
      <c r="B8304" s="1">
        <v>6990820</v>
      </c>
      <c r="C8304" t="s">
        <v>323</v>
      </c>
      <c r="D8304" t="s">
        <v>8494</v>
      </c>
      <c r="E8304" t="s">
        <v>10</v>
      </c>
    </row>
    <row r="8305" spans="1:5" hidden="1" outlineLevel="2">
      <c r="A8305" s="3" t="e">
        <f>(HYPERLINK("http://www.autodoc.ru/Web/price/art/7807LCLE5RQZ?analog=on","7807LCLE5RQZ"))*1</f>
        <v>#VALUE!</v>
      </c>
      <c r="B8305" s="1">
        <v>6990596</v>
      </c>
      <c r="C8305" t="s">
        <v>323</v>
      </c>
      <c r="D8305" t="s">
        <v>8495</v>
      </c>
      <c r="E8305" t="s">
        <v>10</v>
      </c>
    </row>
    <row r="8306" spans="1:5" hidden="1" outlineLevel="2">
      <c r="A8306" s="3" t="e">
        <f>(HYPERLINK("http://www.autodoc.ru/Web/price/art/7807LCLE5RV?analog=on","7807LCLE5RV"))*1</f>
        <v>#VALUE!</v>
      </c>
      <c r="B8306" s="1">
        <v>6990822</v>
      </c>
      <c r="C8306" t="s">
        <v>323</v>
      </c>
      <c r="D8306" t="s">
        <v>8496</v>
      </c>
      <c r="E8306" t="s">
        <v>10</v>
      </c>
    </row>
    <row r="8307" spans="1:5" hidden="1" outlineLevel="2">
      <c r="A8307" s="3" t="e">
        <f>(HYPERLINK("http://www.autodoc.ru/Web/price/art/7807LCLH5FD?analog=on","7807LCLH5FD"))*1</f>
        <v>#VALUE!</v>
      </c>
      <c r="B8307" s="1">
        <v>6990587</v>
      </c>
      <c r="C8307" t="s">
        <v>323</v>
      </c>
      <c r="D8307" t="s">
        <v>8497</v>
      </c>
      <c r="E8307" t="s">
        <v>10</v>
      </c>
    </row>
    <row r="8308" spans="1:5" hidden="1" outlineLevel="2">
      <c r="A8308" s="3" t="e">
        <f>(HYPERLINK("http://www.autodoc.ru/Web/price/art/7807LCLH5RV?analog=on","7807LCLH5RV"))*1</f>
        <v>#VALUE!</v>
      </c>
      <c r="B8308" s="1">
        <v>6990814</v>
      </c>
      <c r="C8308" t="s">
        <v>323</v>
      </c>
      <c r="D8308" t="s">
        <v>8498</v>
      </c>
      <c r="E8308" t="s">
        <v>10</v>
      </c>
    </row>
    <row r="8309" spans="1:5" hidden="1" outlineLevel="2">
      <c r="A8309" s="3" t="e">
        <f>(HYPERLINK("http://www.autodoc.ru/Web/price/art/7807LGNE5RD?analog=on","7807LGNE5RD"))*1</f>
        <v>#VALUE!</v>
      </c>
      <c r="B8309" s="1">
        <v>6997830</v>
      </c>
      <c r="C8309" t="s">
        <v>323</v>
      </c>
      <c r="D8309" t="s">
        <v>8499</v>
      </c>
      <c r="E8309" t="s">
        <v>10</v>
      </c>
    </row>
    <row r="8310" spans="1:5" hidden="1" outlineLevel="2">
      <c r="A8310" s="3" t="e">
        <f>(HYPERLINK("http://www.autodoc.ru/Web/price/art/7807LGNE5RQZ?analog=on","7807LGNE5RQZ"))*1</f>
        <v>#VALUE!</v>
      </c>
      <c r="B8310" s="1">
        <v>6997831</v>
      </c>
      <c r="C8310" t="s">
        <v>323</v>
      </c>
      <c r="D8310" t="s">
        <v>8500</v>
      </c>
      <c r="E8310" t="s">
        <v>10</v>
      </c>
    </row>
    <row r="8311" spans="1:5" hidden="1" outlineLevel="2">
      <c r="A8311" s="3" t="e">
        <f>(HYPERLINK("http://www.autodoc.ru/Web/price/art/7807LGNE5RV?analog=on","7807LGNE5RV"))*1</f>
        <v>#VALUE!</v>
      </c>
      <c r="B8311" s="1">
        <v>6997832</v>
      </c>
      <c r="C8311" t="s">
        <v>323</v>
      </c>
      <c r="D8311" t="s">
        <v>8501</v>
      </c>
      <c r="E8311" t="s">
        <v>10</v>
      </c>
    </row>
    <row r="8312" spans="1:5" hidden="1" outlineLevel="2">
      <c r="A8312" s="3" t="e">
        <f>(HYPERLINK("http://www.autodoc.ru/Web/price/art/7807LGNH5FD?analog=on","7807LGNH5FD"))*1</f>
        <v>#VALUE!</v>
      </c>
      <c r="B8312" s="1">
        <v>6997833</v>
      </c>
      <c r="C8312" t="s">
        <v>323</v>
      </c>
      <c r="D8312" t="s">
        <v>8502</v>
      </c>
      <c r="E8312" t="s">
        <v>10</v>
      </c>
    </row>
    <row r="8313" spans="1:5" hidden="1" outlineLevel="2">
      <c r="A8313" s="3" t="e">
        <f>(HYPERLINK("http://www.autodoc.ru/Web/price/art/7807LGNH5RD?analog=on","7807LGNH5RD"))*1</f>
        <v>#VALUE!</v>
      </c>
      <c r="B8313" s="1">
        <v>6997834</v>
      </c>
      <c r="C8313" t="s">
        <v>323</v>
      </c>
      <c r="D8313" t="s">
        <v>8503</v>
      </c>
      <c r="E8313" t="s">
        <v>10</v>
      </c>
    </row>
    <row r="8314" spans="1:5" hidden="1" outlineLevel="2">
      <c r="A8314" s="3" t="e">
        <f>(HYPERLINK("http://www.autodoc.ru/Web/price/art/7807LGNH5RV?analog=on","7807LGNH5RV"))*1</f>
        <v>#VALUE!</v>
      </c>
      <c r="B8314" s="1">
        <v>6997835</v>
      </c>
      <c r="C8314" t="s">
        <v>323</v>
      </c>
      <c r="D8314" t="s">
        <v>8504</v>
      </c>
      <c r="E8314" t="s">
        <v>10</v>
      </c>
    </row>
    <row r="8315" spans="1:5" hidden="1" outlineLevel="2">
      <c r="A8315" s="3" t="e">
        <f>(HYPERLINK("http://www.autodoc.ru/Web/price/art/7807RCLE5RD?analog=on","7807RCLE5RD"))*1</f>
        <v>#VALUE!</v>
      </c>
      <c r="B8315" s="1">
        <v>6990816</v>
      </c>
      <c r="C8315" t="s">
        <v>323</v>
      </c>
      <c r="D8315" t="s">
        <v>8505</v>
      </c>
      <c r="E8315" t="s">
        <v>10</v>
      </c>
    </row>
    <row r="8316" spans="1:5" hidden="1" outlineLevel="2">
      <c r="A8316" s="3" t="e">
        <f>(HYPERLINK("http://www.autodoc.ru/Web/price/art/7807RCLE5RQZ?analog=on","7807RCLE5RQZ"))*1</f>
        <v>#VALUE!</v>
      </c>
      <c r="B8316" s="1">
        <v>6990594</v>
      </c>
      <c r="C8316" t="s">
        <v>323</v>
      </c>
      <c r="D8316" t="s">
        <v>8506</v>
      </c>
      <c r="E8316" t="s">
        <v>10</v>
      </c>
    </row>
    <row r="8317" spans="1:5" hidden="1" outlineLevel="2">
      <c r="A8317" s="3" t="e">
        <f>(HYPERLINK("http://www.autodoc.ru/Web/price/art/7807RCLE5RV?analog=on","7807RCLE5RV"))*1</f>
        <v>#VALUE!</v>
      </c>
      <c r="B8317" s="1">
        <v>6990815</v>
      </c>
      <c r="C8317" t="s">
        <v>323</v>
      </c>
      <c r="D8317" t="s">
        <v>8507</v>
      </c>
      <c r="E8317" t="s">
        <v>10</v>
      </c>
    </row>
    <row r="8318" spans="1:5" hidden="1" outlineLevel="2">
      <c r="A8318" s="3" t="e">
        <f>(HYPERLINK("http://www.autodoc.ru/Web/price/art/7807RCLH5FD?analog=on","7807RCLH5FD"))*1</f>
        <v>#VALUE!</v>
      </c>
      <c r="B8318" s="1">
        <v>6990811</v>
      </c>
      <c r="C8318" t="s">
        <v>323</v>
      </c>
      <c r="D8318" t="s">
        <v>8508</v>
      </c>
      <c r="E8318" t="s">
        <v>10</v>
      </c>
    </row>
    <row r="8319" spans="1:5" hidden="1" outlineLevel="2">
      <c r="A8319" s="3" t="e">
        <f>(HYPERLINK("http://www.autodoc.ru/Web/price/art/7807RCLH5RD?analog=on","7807RCLH5RD"))*1</f>
        <v>#VALUE!</v>
      </c>
      <c r="B8319" s="1">
        <v>6990584</v>
      </c>
      <c r="C8319" t="s">
        <v>323</v>
      </c>
      <c r="D8319" t="s">
        <v>8509</v>
      </c>
      <c r="E8319" t="s">
        <v>10</v>
      </c>
    </row>
    <row r="8320" spans="1:5" hidden="1" outlineLevel="2">
      <c r="A8320" s="3" t="e">
        <f>(HYPERLINK("http://www.autodoc.ru/Web/price/art/7807RCLH5RV?analog=on","7807RCLH5RV"))*1</f>
        <v>#VALUE!</v>
      </c>
      <c r="B8320" s="1">
        <v>6991763</v>
      </c>
      <c r="C8320" t="s">
        <v>323</v>
      </c>
      <c r="D8320" t="s">
        <v>8510</v>
      </c>
      <c r="E8320" t="s">
        <v>10</v>
      </c>
    </row>
    <row r="8321" spans="1:5" hidden="1" outlineLevel="2">
      <c r="A8321" s="3" t="e">
        <f>(HYPERLINK("http://www.autodoc.ru/Web/price/art/7807RGNE5RD?analog=on","7807RGNE5RD"))*1</f>
        <v>#VALUE!</v>
      </c>
      <c r="B8321" s="1">
        <v>6997836</v>
      </c>
      <c r="C8321" t="s">
        <v>323</v>
      </c>
      <c r="D8321" t="s">
        <v>8511</v>
      </c>
      <c r="E8321" t="s">
        <v>10</v>
      </c>
    </row>
    <row r="8322" spans="1:5" hidden="1" outlineLevel="2">
      <c r="A8322" s="3" t="e">
        <f>(HYPERLINK("http://www.autodoc.ru/Web/price/art/7807RGNE5RQZ?analog=on","7807RGNE5RQZ"))*1</f>
        <v>#VALUE!</v>
      </c>
      <c r="B8322" s="1">
        <v>6997837</v>
      </c>
      <c r="C8322" t="s">
        <v>323</v>
      </c>
      <c r="D8322" t="s">
        <v>8512</v>
      </c>
      <c r="E8322" t="s">
        <v>10</v>
      </c>
    </row>
    <row r="8323" spans="1:5" hidden="1" outlineLevel="2">
      <c r="A8323" s="3" t="e">
        <f>(HYPERLINK("http://www.autodoc.ru/Web/price/art/7807RGNE5RV?analog=on","7807RGNE5RV"))*1</f>
        <v>#VALUE!</v>
      </c>
      <c r="B8323" s="1">
        <v>6997838</v>
      </c>
      <c r="C8323" t="s">
        <v>323</v>
      </c>
      <c r="D8323" t="s">
        <v>8513</v>
      </c>
      <c r="E8323" t="s">
        <v>10</v>
      </c>
    </row>
    <row r="8324" spans="1:5" hidden="1" outlineLevel="2">
      <c r="A8324" s="3" t="e">
        <f>(HYPERLINK("http://www.autodoc.ru/Web/price/art/7807RGNH5FD?analog=on","7807RGNH5FD"))*1</f>
        <v>#VALUE!</v>
      </c>
      <c r="B8324" s="1">
        <v>6997839</v>
      </c>
      <c r="C8324" t="s">
        <v>323</v>
      </c>
      <c r="D8324" t="s">
        <v>8514</v>
      </c>
      <c r="E8324" t="s">
        <v>10</v>
      </c>
    </row>
    <row r="8325" spans="1:5" hidden="1" outlineLevel="2">
      <c r="A8325" s="3" t="e">
        <f>(HYPERLINK("http://www.autodoc.ru/Web/price/art/7807RGNH5RD?analog=on","7807RGNH5RD"))*1</f>
        <v>#VALUE!</v>
      </c>
      <c r="B8325" s="1">
        <v>6997840</v>
      </c>
      <c r="C8325" t="s">
        <v>323</v>
      </c>
      <c r="D8325" t="s">
        <v>8515</v>
      </c>
      <c r="E8325" t="s">
        <v>10</v>
      </c>
    </row>
    <row r="8326" spans="1:5" hidden="1" outlineLevel="2">
      <c r="A8326" s="3" t="e">
        <f>(HYPERLINK("http://www.autodoc.ru/Web/price/art/7807RGNH5RV?analog=on","7807RGNH5RV"))*1</f>
        <v>#VALUE!</v>
      </c>
      <c r="B8326" s="1">
        <v>6997841</v>
      </c>
      <c r="C8326" t="s">
        <v>323</v>
      </c>
      <c r="D8326" t="s">
        <v>8516</v>
      </c>
      <c r="E8326" t="s">
        <v>10</v>
      </c>
    </row>
    <row r="8327" spans="1:5" hidden="1" outlineLevel="1">
      <c r="A8327" s="2">
        <v>0</v>
      </c>
      <c r="B8327" s="26" t="s">
        <v>8517</v>
      </c>
      <c r="C8327" s="27">
        <v>0</v>
      </c>
      <c r="D8327" s="27">
        <v>0</v>
      </c>
      <c r="E8327" s="27">
        <v>0</v>
      </c>
    </row>
    <row r="8328" spans="1:5" hidden="1" outlineLevel="2">
      <c r="A8328" s="3" t="e">
        <f>(HYPERLINK("http://www.autodoc.ru/Web/price/art/7810ACCGYMVZ2P?analog=on","7810ACCGYMVZ2P"))*1</f>
        <v>#VALUE!</v>
      </c>
      <c r="B8328" s="1">
        <v>6960486</v>
      </c>
      <c r="C8328" t="s">
        <v>226</v>
      </c>
      <c r="D8328" t="s">
        <v>8518</v>
      </c>
      <c r="E8328" t="s">
        <v>8</v>
      </c>
    </row>
    <row r="8329" spans="1:5" hidden="1" outlineLevel="2">
      <c r="A8329" s="3" t="e">
        <f>(HYPERLINK("http://www.autodoc.ru/Web/price/art/7810ACCGYVZ?analog=on","7810ACCGYVZ"))*1</f>
        <v>#VALUE!</v>
      </c>
      <c r="B8329" s="1">
        <v>6960257</v>
      </c>
      <c r="C8329" t="s">
        <v>226</v>
      </c>
      <c r="D8329" t="s">
        <v>8519</v>
      </c>
      <c r="E8329" t="s">
        <v>8</v>
      </c>
    </row>
    <row r="8330" spans="1:5" hidden="1" outlineLevel="2">
      <c r="A8330" s="3" t="e">
        <f>(HYPERLINK("http://www.autodoc.ru/Web/price/art/7810ACLVZ?analog=on","7810ACLVZ"))*1</f>
        <v>#VALUE!</v>
      </c>
      <c r="B8330" s="1">
        <v>6960544</v>
      </c>
      <c r="C8330" t="s">
        <v>226</v>
      </c>
      <c r="D8330" t="s">
        <v>8520</v>
      </c>
      <c r="E8330" t="s">
        <v>8</v>
      </c>
    </row>
    <row r="8331" spans="1:5" hidden="1" outlineLevel="2">
      <c r="A8331" s="3" t="e">
        <f>(HYPERLINK("http://www.autodoc.ru/Web/price/art/7810AGSGYMVZ1P?analog=on","7810AGSGYMVZ1P"))*1</f>
        <v>#VALUE!</v>
      </c>
      <c r="B8331" s="1">
        <v>6960485</v>
      </c>
      <c r="C8331" t="s">
        <v>226</v>
      </c>
      <c r="D8331" t="s">
        <v>8521</v>
      </c>
      <c r="E8331" t="s">
        <v>8</v>
      </c>
    </row>
    <row r="8332" spans="1:5" hidden="1" outlineLevel="2">
      <c r="A8332" s="3" t="e">
        <f>(HYPERLINK("http://www.autodoc.ru/Web/price/art/7810AGSGYVZ?analog=on","7810AGSGYVZ"))*1</f>
        <v>#VALUE!</v>
      </c>
      <c r="B8332" s="1">
        <v>6960941</v>
      </c>
      <c r="C8332" t="s">
        <v>226</v>
      </c>
      <c r="D8332" t="s">
        <v>8522</v>
      </c>
      <c r="E8332" t="s">
        <v>8</v>
      </c>
    </row>
    <row r="8333" spans="1:5" hidden="1" outlineLevel="2">
      <c r="A8333" s="3" t="e">
        <f>(HYPERLINK("http://www.autodoc.ru/Web/price/art/7810AGSMVZ1P?analog=on","7810AGSMVZ1P"))*1</f>
        <v>#VALUE!</v>
      </c>
      <c r="B8333" s="1">
        <v>6960543</v>
      </c>
      <c r="C8333" t="s">
        <v>226</v>
      </c>
      <c r="D8333" t="s">
        <v>8523</v>
      </c>
      <c r="E8333" t="s">
        <v>8</v>
      </c>
    </row>
    <row r="8334" spans="1:5" hidden="1" outlineLevel="2">
      <c r="A8334" s="3" t="e">
        <f>(HYPERLINK("http://www.autodoc.ru/Web/price/art/7810AGSVZ?analog=on","7810AGSVZ"))*1</f>
        <v>#VALUE!</v>
      </c>
      <c r="B8334" s="1">
        <v>6960258</v>
      </c>
      <c r="C8334" t="s">
        <v>226</v>
      </c>
      <c r="D8334" t="s">
        <v>8524</v>
      </c>
      <c r="E8334" t="s">
        <v>8</v>
      </c>
    </row>
    <row r="8335" spans="1:5" hidden="1" outlineLevel="2">
      <c r="A8335" s="3" t="e">
        <f>(HYPERLINK("http://www.autodoc.ru/Web/price/art/7810AGSMVZ6T?analog=on","7810AGSMVZ6T"))*1</f>
        <v>#VALUE!</v>
      </c>
      <c r="B8335" s="1">
        <v>6964653</v>
      </c>
      <c r="C8335" t="s">
        <v>226</v>
      </c>
      <c r="D8335" t="s">
        <v>8525</v>
      </c>
      <c r="E8335" t="s">
        <v>8</v>
      </c>
    </row>
    <row r="8336" spans="1:5" hidden="1" outlineLevel="2">
      <c r="A8336" s="3" t="e">
        <f>(HYPERLINK("http://www.autodoc.ru/Web/price/art/7810BGSHABZ1B?analog=on","7810BGSHABZ1B"))*1</f>
        <v>#VALUE!</v>
      </c>
      <c r="B8336" s="1">
        <v>6901593</v>
      </c>
      <c r="C8336" t="s">
        <v>3958</v>
      </c>
      <c r="D8336" t="s">
        <v>8526</v>
      </c>
      <c r="E8336" t="s">
        <v>8</v>
      </c>
    </row>
    <row r="8337" spans="1:5" hidden="1" outlineLevel="2">
      <c r="A8337" s="3" t="e">
        <f>(HYPERLINK("http://www.autodoc.ru/Web/price/art/7810BCLHBZ1B?analog=on","7810BCLHBZ1B"))*1</f>
        <v>#VALUE!</v>
      </c>
      <c r="B8337" s="1">
        <v>6901589</v>
      </c>
      <c r="C8337" t="s">
        <v>226</v>
      </c>
      <c r="D8337" t="s">
        <v>8527</v>
      </c>
      <c r="E8337" t="s">
        <v>23</v>
      </c>
    </row>
    <row r="8338" spans="1:5" hidden="1" outlineLevel="2">
      <c r="A8338" s="3" t="e">
        <f>(HYPERLINK("http://www.autodoc.ru/Web/price/art/7810BCLHBZ1Q?analog=on","7810BCLHBZ1Q"))*1</f>
        <v>#VALUE!</v>
      </c>
      <c r="B8338" s="1">
        <v>6901590</v>
      </c>
      <c r="C8338" t="s">
        <v>226</v>
      </c>
      <c r="D8338" t="s">
        <v>8528</v>
      </c>
      <c r="E8338" t="s">
        <v>23</v>
      </c>
    </row>
    <row r="8339" spans="1:5" hidden="1" outlineLevel="2">
      <c r="A8339" s="3" t="e">
        <f>(HYPERLINK("http://www.autodoc.ru/Web/price/art/7810BCLHBZ?analog=on","7810BCLHBZ"))*1</f>
        <v>#VALUE!</v>
      </c>
      <c r="B8339" s="1">
        <v>6992087</v>
      </c>
      <c r="C8339" t="s">
        <v>3958</v>
      </c>
      <c r="D8339" t="s">
        <v>8529</v>
      </c>
      <c r="E8339" t="s">
        <v>23</v>
      </c>
    </row>
    <row r="8340" spans="1:5" hidden="1" outlineLevel="2">
      <c r="A8340" s="3" t="e">
        <f>(HYPERLINK("http://www.autodoc.ru/Web/price/art/7810BCLHBZ1H?analog=on","7810BCLHBZ1H"))*1</f>
        <v>#VALUE!</v>
      </c>
      <c r="B8340" s="1">
        <v>6992630</v>
      </c>
      <c r="C8340" t="s">
        <v>3958</v>
      </c>
      <c r="D8340" t="s">
        <v>8530</v>
      </c>
      <c r="E8340" t="s">
        <v>23</v>
      </c>
    </row>
    <row r="8341" spans="1:5" hidden="1" outlineLevel="2">
      <c r="A8341" s="3" t="e">
        <f>(HYPERLINK("http://www.autodoc.ru/Web/price/art/7810BGSEW?analog=on","7810BGSEW"))*1</f>
        <v>#VALUE!</v>
      </c>
      <c r="B8341" s="1">
        <v>6996329</v>
      </c>
      <c r="C8341" t="s">
        <v>226</v>
      </c>
      <c r="D8341" t="s">
        <v>8531</v>
      </c>
      <c r="E8341" t="s">
        <v>23</v>
      </c>
    </row>
    <row r="8342" spans="1:5" hidden="1" outlineLevel="2">
      <c r="A8342" s="3" t="e">
        <f>(HYPERLINK("http://www.autodoc.ru/Web/price/art/7810BGSHABZ1Q?analog=on","7810BGSHABZ1Q"))*1</f>
        <v>#VALUE!</v>
      </c>
      <c r="B8342" s="1">
        <v>6901592</v>
      </c>
      <c r="C8342" t="s">
        <v>226</v>
      </c>
      <c r="D8342" t="s">
        <v>8532</v>
      </c>
      <c r="E8342" t="s">
        <v>23</v>
      </c>
    </row>
    <row r="8343" spans="1:5" hidden="1" outlineLevel="2">
      <c r="A8343" s="3" t="e">
        <f>(HYPERLINK("http://www.autodoc.ru/Web/price/art/7810BGSHBKZ?analog=on","7810BGSHBKZ"))*1</f>
        <v>#VALUE!</v>
      </c>
      <c r="B8343" s="1">
        <v>6960457</v>
      </c>
      <c r="C8343" t="s">
        <v>226</v>
      </c>
      <c r="D8343" t="s">
        <v>8533</v>
      </c>
      <c r="E8343" t="s">
        <v>23</v>
      </c>
    </row>
    <row r="8344" spans="1:5" hidden="1" outlineLevel="2">
      <c r="A8344" s="3" t="e">
        <f>(HYPERLINK("http://www.autodoc.ru/Web/price/art/7810BGSHBZ1B?analog=on","7810BGSHBZ1B"))*1</f>
        <v>#VALUE!</v>
      </c>
      <c r="B8344" s="1">
        <v>6901588</v>
      </c>
      <c r="C8344" t="s">
        <v>226</v>
      </c>
      <c r="D8344" t="s">
        <v>8534</v>
      </c>
      <c r="E8344" t="s">
        <v>23</v>
      </c>
    </row>
    <row r="8345" spans="1:5" hidden="1" outlineLevel="2">
      <c r="A8345" s="3" t="e">
        <f>(HYPERLINK("http://www.autodoc.ru/Web/price/art/7810BGSHBZ1Q?analog=on","7810BGSHBZ1Q"))*1</f>
        <v>#VALUE!</v>
      </c>
      <c r="B8345" s="1">
        <v>6901591</v>
      </c>
      <c r="C8345" t="s">
        <v>226</v>
      </c>
      <c r="D8345" t="s">
        <v>8535</v>
      </c>
      <c r="E8345" t="s">
        <v>23</v>
      </c>
    </row>
    <row r="8346" spans="1:5" hidden="1" outlineLevel="2">
      <c r="A8346" s="3" t="e">
        <f>(HYPERLINK("http://www.autodoc.ru/Web/price/art/7810BGSHABZ1H?analog=on","7810BGSHABZ1H"))*1</f>
        <v>#VALUE!</v>
      </c>
      <c r="B8346" s="1">
        <v>6996057</v>
      </c>
      <c r="C8346" t="s">
        <v>3958</v>
      </c>
      <c r="D8346" t="s">
        <v>8536</v>
      </c>
      <c r="E8346" t="s">
        <v>23</v>
      </c>
    </row>
    <row r="8347" spans="1:5" hidden="1" outlineLevel="2">
      <c r="A8347" s="3" t="e">
        <f>(HYPERLINK("http://www.autodoc.ru/Web/price/art/7810BGSHBZ1B?analog=on","7810BGSHBZ1B"))*1</f>
        <v>#VALUE!</v>
      </c>
      <c r="B8347" s="1">
        <v>6901588</v>
      </c>
      <c r="C8347" t="s">
        <v>3958</v>
      </c>
      <c r="D8347" t="s">
        <v>8537</v>
      </c>
      <c r="E8347" t="s">
        <v>23</v>
      </c>
    </row>
    <row r="8348" spans="1:5" hidden="1" outlineLevel="2">
      <c r="A8348" s="3" t="e">
        <f>(HYPERLINK("http://www.autodoc.ru/Web/price/art/7810BGSHBZ1H?analog=on","7810BGSHBZ1H"))*1</f>
        <v>#VALUE!</v>
      </c>
      <c r="B8348" s="1">
        <v>6992048</v>
      </c>
      <c r="C8348" t="s">
        <v>3958</v>
      </c>
      <c r="D8348" t="s">
        <v>8538</v>
      </c>
      <c r="E8348" t="s">
        <v>23</v>
      </c>
    </row>
    <row r="8349" spans="1:5" hidden="1" outlineLevel="2">
      <c r="A8349" s="3" t="e">
        <f>(HYPERLINK("http://www.autodoc.ru/Web/price/art/7810LCCE5RDKW?analog=on","7810LCCE5RDKW"))*1</f>
        <v>#VALUE!</v>
      </c>
      <c r="B8349" s="1">
        <v>6960645</v>
      </c>
      <c r="C8349" t="s">
        <v>226</v>
      </c>
      <c r="D8349" t="s">
        <v>8539</v>
      </c>
      <c r="E8349" t="s">
        <v>10</v>
      </c>
    </row>
    <row r="8350" spans="1:5" hidden="1" outlineLevel="2">
      <c r="A8350" s="3" t="e">
        <f>(HYPERLINK("http://www.autodoc.ru/Web/price/art/7810LCCH5FDKW?analog=on","7810LCCH5FDKW"))*1</f>
        <v>#VALUE!</v>
      </c>
      <c r="B8350" s="1">
        <v>6960471</v>
      </c>
      <c r="C8350" t="s">
        <v>226</v>
      </c>
      <c r="D8350" t="s">
        <v>8540</v>
      </c>
      <c r="E8350" t="s">
        <v>10</v>
      </c>
    </row>
    <row r="8351" spans="1:5" hidden="1" outlineLevel="2">
      <c r="A8351" s="3" t="e">
        <f>(HYPERLINK("http://www.autodoc.ru/Web/price/art/7810LCCH5RDKW?analog=on","7810LCCH5RDKW"))*1</f>
        <v>#VALUE!</v>
      </c>
      <c r="B8351" s="1">
        <v>6960474</v>
      </c>
      <c r="C8351" t="s">
        <v>226</v>
      </c>
      <c r="D8351" t="s">
        <v>8541</v>
      </c>
      <c r="E8351" t="s">
        <v>10</v>
      </c>
    </row>
    <row r="8352" spans="1:5" hidden="1" outlineLevel="2">
      <c r="A8352" s="3" t="e">
        <f>(HYPERLINK("http://www.autodoc.ru/Web/price/art/7810LCLE5RD?analog=on","7810LCLE5RD"))*1</f>
        <v>#VALUE!</v>
      </c>
      <c r="B8352" s="1">
        <v>6992348</v>
      </c>
      <c r="C8352" t="s">
        <v>226</v>
      </c>
      <c r="D8352" t="s">
        <v>8542</v>
      </c>
      <c r="E8352" t="s">
        <v>10</v>
      </c>
    </row>
    <row r="8353" spans="1:5" hidden="1" outlineLevel="2">
      <c r="A8353" s="3" t="e">
        <f>(HYPERLINK("http://www.autodoc.ru/Web/price/art/7810LCLE5RQZ?analog=on","7810LCLE5RQZ"))*1</f>
        <v>#VALUE!</v>
      </c>
      <c r="B8353" s="1">
        <v>6992344</v>
      </c>
      <c r="C8353" t="s">
        <v>226</v>
      </c>
      <c r="D8353" t="s">
        <v>8543</v>
      </c>
      <c r="E8353" t="s">
        <v>10</v>
      </c>
    </row>
    <row r="8354" spans="1:5" hidden="1" outlineLevel="2">
      <c r="A8354" s="3" t="e">
        <f>(HYPERLINK("http://www.autodoc.ru/Web/price/art/7810LCLH5FD?analog=on","7810LCLH5FD"))*1</f>
        <v>#VALUE!</v>
      </c>
      <c r="B8354" s="1">
        <v>6990943</v>
      </c>
      <c r="C8354" t="s">
        <v>226</v>
      </c>
      <c r="D8354" t="s">
        <v>8544</v>
      </c>
      <c r="E8354" t="s">
        <v>10</v>
      </c>
    </row>
    <row r="8355" spans="1:5" hidden="1" outlineLevel="2">
      <c r="A8355" s="3" t="e">
        <f>(HYPERLINK("http://www.autodoc.ru/Web/price/art/7810LCLH5RD?analog=on","7810LCLH5RD"))*1</f>
        <v>#VALUE!</v>
      </c>
      <c r="B8355" s="1">
        <v>6991000</v>
      </c>
      <c r="C8355" t="s">
        <v>226</v>
      </c>
      <c r="D8355" t="s">
        <v>8545</v>
      </c>
      <c r="E8355" t="s">
        <v>10</v>
      </c>
    </row>
    <row r="8356" spans="1:5" hidden="1" outlineLevel="2">
      <c r="A8356" s="3" t="e">
        <f>(HYPERLINK("http://www.autodoc.ru/Web/price/art/7810LGSE5RD?analog=on","7810LGSE5RD"))*1</f>
        <v>#VALUE!</v>
      </c>
      <c r="B8356" s="1">
        <v>6992273</v>
      </c>
      <c r="C8356" t="s">
        <v>226</v>
      </c>
      <c r="D8356" t="s">
        <v>8546</v>
      </c>
      <c r="E8356" t="s">
        <v>10</v>
      </c>
    </row>
    <row r="8357" spans="1:5" hidden="1" outlineLevel="2">
      <c r="A8357" s="3" t="e">
        <f>(HYPERLINK("http://www.autodoc.ru/Web/price/art/7810LGSE5RQZ?analog=on","7810LGSE5RQZ"))*1</f>
        <v>#VALUE!</v>
      </c>
      <c r="B8357" s="1">
        <v>6992346</v>
      </c>
      <c r="C8357" t="s">
        <v>226</v>
      </c>
      <c r="D8357" t="s">
        <v>8547</v>
      </c>
      <c r="E8357" t="s">
        <v>10</v>
      </c>
    </row>
    <row r="8358" spans="1:5" hidden="1" outlineLevel="2">
      <c r="A8358" s="3" t="e">
        <f>(HYPERLINK("http://www.autodoc.ru/Web/price/art/7810LGSH5FD?analog=on","7810LGSH5FD"))*1</f>
        <v>#VALUE!</v>
      </c>
      <c r="B8358" s="1">
        <v>6990432</v>
      </c>
      <c r="C8358" t="s">
        <v>226</v>
      </c>
      <c r="D8358" t="s">
        <v>8548</v>
      </c>
      <c r="E8358" t="s">
        <v>10</v>
      </c>
    </row>
    <row r="8359" spans="1:5" hidden="1" outlineLevel="2">
      <c r="A8359" s="3" t="e">
        <f>(HYPERLINK("http://www.autodoc.ru/Web/price/art/7810LGSH5RD?analog=on","7810LGSH5RD"))*1</f>
        <v>#VALUE!</v>
      </c>
      <c r="B8359" s="1">
        <v>6991002</v>
      </c>
      <c r="C8359" t="s">
        <v>226</v>
      </c>
      <c r="D8359" t="s">
        <v>8549</v>
      </c>
      <c r="E8359" t="s">
        <v>10</v>
      </c>
    </row>
    <row r="8360" spans="1:5" hidden="1" outlineLevel="2">
      <c r="A8360" s="3" t="e">
        <f>(HYPERLINK("http://www.autodoc.ru/Web/price/art/7810RCCE5RDKW?analog=on","7810RCCE5RDKW"))*1</f>
        <v>#VALUE!</v>
      </c>
      <c r="B8360" s="1">
        <v>6960646</v>
      </c>
      <c r="C8360" t="s">
        <v>226</v>
      </c>
      <c r="D8360" t="s">
        <v>8550</v>
      </c>
      <c r="E8360" t="s">
        <v>10</v>
      </c>
    </row>
    <row r="8361" spans="1:5" hidden="1" outlineLevel="2">
      <c r="A8361" s="3" t="e">
        <f>(HYPERLINK("http://www.autodoc.ru/Web/price/art/7810RCCH5FDKW?analog=on","7810RCCH5FDKW"))*1</f>
        <v>#VALUE!</v>
      </c>
      <c r="B8361" s="1">
        <v>6960470</v>
      </c>
      <c r="C8361" t="s">
        <v>226</v>
      </c>
      <c r="D8361" t="s">
        <v>8551</v>
      </c>
      <c r="E8361" t="s">
        <v>10</v>
      </c>
    </row>
    <row r="8362" spans="1:5" hidden="1" outlineLevel="2">
      <c r="A8362" s="3" t="e">
        <f>(HYPERLINK("http://www.autodoc.ru/Web/price/art/7810RCCH5RDKW?analog=on","7810RCCH5RDKW"))*1</f>
        <v>#VALUE!</v>
      </c>
      <c r="B8362" s="1">
        <v>6960472</v>
      </c>
      <c r="C8362" t="s">
        <v>226</v>
      </c>
      <c r="D8362" t="s">
        <v>8552</v>
      </c>
      <c r="E8362" t="s">
        <v>10</v>
      </c>
    </row>
    <row r="8363" spans="1:5" hidden="1" outlineLevel="2">
      <c r="A8363" s="3" t="e">
        <f>(HYPERLINK("http://www.autodoc.ru/Web/price/art/7810RCLE5RD?analog=on","7810RCLE5RD"))*1</f>
        <v>#VALUE!</v>
      </c>
      <c r="B8363" s="1">
        <v>6992349</v>
      </c>
      <c r="C8363" t="s">
        <v>226</v>
      </c>
      <c r="D8363" t="s">
        <v>8553</v>
      </c>
      <c r="E8363" t="s">
        <v>10</v>
      </c>
    </row>
    <row r="8364" spans="1:5" hidden="1" outlineLevel="2">
      <c r="A8364" s="3" t="e">
        <f>(HYPERLINK("http://www.autodoc.ru/Web/price/art/7810RCLE5RQZ?analog=on","7810RCLE5RQZ"))*1</f>
        <v>#VALUE!</v>
      </c>
      <c r="B8364" s="1">
        <v>6992345</v>
      </c>
      <c r="C8364" t="s">
        <v>226</v>
      </c>
      <c r="D8364" t="s">
        <v>8554</v>
      </c>
      <c r="E8364" t="s">
        <v>10</v>
      </c>
    </row>
    <row r="8365" spans="1:5" hidden="1" outlineLevel="2">
      <c r="A8365" s="3" t="e">
        <f>(HYPERLINK("http://www.autodoc.ru/Web/price/art/7810RCLH5FD?analog=on","7810RCLH5FD"))*1</f>
        <v>#VALUE!</v>
      </c>
      <c r="B8365" s="1">
        <v>6990942</v>
      </c>
      <c r="C8365" t="s">
        <v>226</v>
      </c>
      <c r="D8365" t="s">
        <v>8555</v>
      </c>
      <c r="E8365" t="s">
        <v>10</v>
      </c>
    </row>
    <row r="8366" spans="1:5" hidden="1" outlineLevel="2">
      <c r="A8366" s="3" t="e">
        <f>(HYPERLINK("http://www.autodoc.ru/Web/price/art/7810RCLH5RD?analog=on","7810RCLH5RD"))*1</f>
        <v>#VALUE!</v>
      </c>
      <c r="B8366" s="1">
        <v>6990998</v>
      </c>
      <c r="C8366" t="s">
        <v>226</v>
      </c>
      <c r="D8366" t="s">
        <v>8556</v>
      </c>
      <c r="E8366" t="s">
        <v>10</v>
      </c>
    </row>
    <row r="8367" spans="1:5" hidden="1" outlineLevel="2">
      <c r="A8367" s="3" t="e">
        <f>(HYPERLINK("http://www.autodoc.ru/Web/price/art/7810RGSE5RD?analog=on","7810RGSE5RD"))*1</f>
        <v>#VALUE!</v>
      </c>
      <c r="B8367" s="1">
        <v>6992274</v>
      </c>
      <c r="C8367" t="s">
        <v>226</v>
      </c>
      <c r="D8367" t="s">
        <v>8557</v>
      </c>
      <c r="E8367" t="s">
        <v>10</v>
      </c>
    </row>
    <row r="8368" spans="1:5" hidden="1" outlineLevel="2">
      <c r="A8368" s="3" t="e">
        <f>(HYPERLINK("http://www.autodoc.ru/Web/price/art/7810RGSE5RQZ?analog=on","7810RGSE5RQZ"))*1</f>
        <v>#VALUE!</v>
      </c>
      <c r="B8368" s="1">
        <v>6992347</v>
      </c>
      <c r="C8368" t="s">
        <v>226</v>
      </c>
      <c r="D8368" t="s">
        <v>8558</v>
      </c>
      <c r="E8368" t="s">
        <v>10</v>
      </c>
    </row>
    <row r="8369" spans="1:5" hidden="1" outlineLevel="2">
      <c r="A8369" s="3" t="e">
        <f>(HYPERLINK("http://www.autodoc.ru/Web/price/art/7810RGSH5FD?analog=on","7810RGSH5FD"))*1</f>
        <v>#VALUE!</v>
      </c>
      <c r="B8369" s="1">
        <v>6990409</v>
      </c>
      <c r="C8369" t="s">
        <v>226</v>
      </c>
      <c r="D8369" t="s">
        <v>8559</v>
      </c>
      <c r="E8369" t="s">
        <v>10</v>
      </c>
    </row>
    <row r="8370" spans="1:5" hidden="1" outlineLevel="2">
      <c r="A8370" s="3" t="e">
        <f>(HYPERLINK("http://www.autodoc.ru/Web/price/art/7810RGSH5RD?analog=on","7810RGSH5RD"))*1</f>
        <v>#VALUE!</v>
      </c>
      <c r="B8370" s="1">
        <v>6990999</v>
      </c>
      <c r="C8370" t="s">
        <v>226</v>
      </c>
      <c r="D8370" t="s">
        <v>8560</v>
      </c>
      <c r="E8370" t="s">
        <v>10</v>
      </c>
    </row>
    <row r="8371" spans="1:5" hidden="1" outlineLevel="1">
      <c r="A8371" s="2">
        <v>0</v>
      </c>
      <c r="B8371" s="26" t="s">
        <v>8561</v>
      </c>
      <c r="C8371" s="27">
        <v>0</v>
      </c>
      <c r="D8371" s="27">
        <v>0</v>
      </c>
      <c r="E8371" s="27">
        <v>0</v>
      </c>
    </row>
    <row r="8372" spans="1:5" hidden="1" outlineLevel="2">
      <c r="A8372" s="3" t="e">
        <f>(HYPERLINK("http://www.autodoc.ru/Web/price/art/7809AGNBLZ?analog=on","7809AGNBLZ"))*1</f>
        <v>#VALUE!</v>
      </c>
      <c r="B8372" s="1">
        <v>6190576</v>
      </c>
      <c r="C8372" t="s">
        <v>2633</v>
      </c>
      <c r="D8372" t="s">
        <v>8562</v>
      </c>
      <c r="E8372" t="s">
        <v>8</v>
      </c>
    </row>
    <row r="8373" spans="1:5" hidden="1" outlineLevel="2">
      <c r="A8373" s="3" t="e">
        <f>(HYPERLINK("http://www.autodoc.ru/Web/price/art/7809AGNGNVZ?analog=on","7809AGNGNVZ"))*1</f>
        <v>#VALUE!</v>
      </c>
      <c r="B8373" s="1">
        <v>6190577</v>
      </c>
      <c r="C8373" t="s">
        <v>2633</v>
      </c>
      <c r="D8373" t="s">
        <v>8563</v>
      </c>
      <c r="E8373" t="s">
        <v>8</v>
      </c>
    </row>
    <row r="8374" spans="1:5" hidden="1" outlineLevel="2">
      <c r="A8374" s="3" t="e">
        <f>(HYPERLINK("http://www.autodoc.ru/Web/price/art/7809AGNGNZ?analog=on","7809AGNGNZ"))*1</f>
        <v>#VALUE!</v>
      </c>
      <c r="B8374" s="1">
        <v>6190578</v>
      </c>
      <c r="C8374" t="s">
        <v>2633</v>
      </c>
      <c r="D8374" t="s">
        <v>8564</v>
      </c>
      <c r="E8374" t="s">
        <v>8</v>
      </c>
    </row>
    <row r="8375" spans="1:5" hidden="1" outlineLevel="2">
      <c r="A8375" s="3" t="e">
        <f>(HYPERLINK("http://www.autodoc.ru/Web/price/art/7809AGNGYMVZ?analog=on","7809AGNGYMVZ"))*1</f>
        <v>#VALUE!</v>
      </c>
      <c r="B8375" s="1">
        <v>6190579</v>
      </c>
      <c r="C8375" t="s">
        <v>2633</v>
      </c>
      <c r="D8375" t="s">
        <v>8565</v>
      </c>
      <c r="E8375" t="s">
        <v>8</v>
      </c>
    </row>
    <row r="8376" spans="1:5" hidden="1" outlineLevel="2">
      <c r="A8376" s="3" t="e">
        <f>(HYPERLINK("http://www.autodoc.ru/Web/price/art/7809AGNGYMZ?analog=on","7809AGNGYMZ"))*1</f>
        <v>#VALUE!</v>
      </c>
      <c r="B8376" s="1">
        <v>6190580</v>
      </c>
      <c r="C8376" t="s">
        <v>2633</v>
      </c>
      <c r="D8376" t="s">
        <v>8566</v>
      </c>
      <c r="E8376" t="s">
        <v>8</v>
      </c>
    </row>
    <row r="8377" spans="1:5" hidden="1" outlineLevel="2">
      <c r="A8377" s="3" t="e">
        <f>(HYPERLINK("http://www.autodoc.ru/Web/price/art/7809AGNGYVZ?analog=on","7809AGNGYVZ"))*1</f>
        <v>#VALUE!</v>
      </c>
      <c r="B8377" s="1">
        <v>6190581</v>
      </c>
      <c r="C8377" t="s">
        <v>2633</v>
      </c>
      <c r="D8377" t="s">
        <v>8567</v>
      </c>
      <c r="E8377" t="s">
        <v>8</v>
      </c>
    </row>
    <row r="8378" spans="1:5" hidden="1" outlineLevel="2">
      <c r="A8378" s="3" t="e">
        <f>(HYPERLINK("http://www.autodoc.ru/Web/price/art/7809AGNVZ?analog=on","7809AGNVZ"))*1</f>
        <v>#VALUE!</v>
      </c>
      <c r="B8378" s="1">
        <v>6190583</v>
      </c>
      <c r="C8378" t="s">
        <v>2633</v>
      </c>
      <c r="D8378" t="s">
        <v>8568</v>
      </c>
      <c r="E8378" t="s">
        <v>8</v>
      </c>
    </row>
    <row r="8379" spans="1:5" hidden="1" outlineLevel="2">
      <c r="A8379" s="3" t="e">
        <f>(HYPERLINK("http://www.autodoc.ru/Web/price/art/7809AGNZ?analog=on","7809AGNZ"))*1</f>
        <v>#VALUE!</v>
      </c>
      <c r="B8379" s="1">
        <v>6190584</v>
      </c>
      <c r="C8379" t="s">
        <v>2633</v>
      </c>
      <c r="D8379" t="s">
        <v>8569</v>
      </c>
      <c r="E8379" t="s">
        <v>8</v>
      </c>
    </row>
    <row r="8380" spans="1:5" hidden="1" outlineLevel="2">
      <c r="A8380" s="3" t="e">
        <f>(HYPERLINK("http://www.autodoc.ru/Web/price/art/7809BGNSBZ?analog=on","7809BGNSBZ"))*1</f>
        <v>#VALUE!</v>
      </c>
      <c r="B8380" s="1">
        <v>6190585</v>
      </c>
      <c r="C8380" t="s">
        <v>2633</v>
      </c>
      <c r="D8380" t="s">
        <v>8570</v>
      </c>
      <c r="E8380" t="s">
        <v>23</v>
      </c>
    </row>
    <row r="8381" spans="1:5" hidden="1" outlineLevel="2">
      <c r="A8381" s="3" t="e">
        <f>(HYPERLINK("http://www.autodoc.ru/Web/price/art/7809LGNS4FD?analog=on","7809LGNS4FD"))*1</f>
        <v>#VALUE!</v>
      </c>
      <c r="B8381" s="1">
        <v>6190586</v>
      </c>
      <c r="C8381" t="s">
        <v>2633</v>
      </c>
      <c r="D8381" t="s">
        <v>8571</v>
      </c>
      <c r="E8381" t="s">
        <v>10</v>
      </c>
    </row>
    <row r="8382" spans="1:5" hidden="1" outlineLevel="2">
      <c r="A8382" s="3" t="e">
        <f>(HYPERLINK("http://www.autodoc.ru/Web/price/art/7809LGNS4RD?analog=on","7809LGNS4RD"))*1</f>
        <v>#VALUE!</v>
      </c>
      <c r="B8382" s="1">
        <v>6990781</v>
      </c>
      <c r="C8382" t="s">
        <v>2633</v>
      </c>
      <c r="D8382" t="s">
        <v>8572</v>
      </c>
      <c r="E8382" t="s">
        <v>10</v>
      </c>
    </row>
    <row r="8383" spans="1:5" hidden="1" outlineLevel="2">
      <c r="A8383" s="3" t="e">
        <f>(HYPERLINK("http://www.autodoc.ru/Web/price/art/7809LGNS4RV?analog=on","7809LGNS4RV"))*1</f>
        <v>#VALUE!</v>
      </c>
      <c r="B8383" s="1">
        <v>6990499</v>
      </c>
      <c r="C8383" t="s">
        <v>2633</v>
      </c>
      <c r="D8383" t="s">
        <v>8573</v>
      </c>
      <c r="E8383" t="s">
        <v>10</v>
      </c>
    </row>
    <row r="8384" spans="1:5" hidden="1" outlineLevel="2">
      <c r="A8384" s="3" t="e">
        <f>(HYPERLINK("http://www.autodoc.ru/Web/price/art/7809RGNS4FD?analog=on","7809RGNS4FD"))*1</f>
        <v>#VALUE!</v>
      </c>
      <c r="B8384" s="1">
        <v>6190587</v>
      </c>
      <c r="C8384" t="s">
        <v>2633</v>
      </c>
      <c r="D8384" t="s">
        <v>8574</v>
      </c>
      <c r="E8384" t="s">
        <v>10</v>
      </c>
    </row>
    <row r="8385" spans="1:5" hidden="1" outlineLevel="2">
      <c r="A8385" s="3" t="e">
        <f>(HYPERLINK("http://www.autodoc.ru/Web/price/art/7809RGNS4RV?analog=on","7809RGNS4RV"))*1</f>
        <v>#VALUE!</v>
      </c>
      <c r="B8385" s="1">
        <v>6990780</v>
      </c>
      <c r="C8385" t="s">
        <v>2633</v>
      </c>
      <c r="D8385" t="s">
        <v>8575</v>
      </c>
      <c r="E8385" t="s">
        <v>10</v>
      </c>
    </row>
    <row r="8386" spans="1:5" hidden="1" outlineLevel="1">
      <c r="A8386" s="2">
        <v>0</v>
      </c>
      <c r="B8386" s="26" t="s">
        <v>8576</v>
      </c>
      <c r="C8386" s="27">
        <v>0</v>
      </c>
      <c r="D8386" s="27">
        <v>0</v>
      </c>
      <c r="E8386" s="27">
        <v>0</v>
      </c>
    </row>
    <row r="8387" spans="1:5" hidden="1" outlineLevel="2">
      <c r="A8387" s="3" t="e">
        <f>(HYPERLINK("http://www.autodoc.ru/Web/price/art/7812AGSGYMVZ?analog=on","7812AGSGYMVZ"))*1</f>
        <v>#VALUE!</v>
      </c>
      <c r="B8387" s="1">
        <v>6963186</v>
      </c>
      <c r="C8387" t="s">
        <v>366</v>
      </c>
      <c r="D8387" t="s">
        <v>8577</v>
      </c>
      <c r="E8387" t="s">
        <v>8</v>
      </c>
    </row>
    <row r="8388" spans="1:5" hidden="1" outlineLevel="2">
      <c r="A8388" s="3" t="e">
        <f>(HYPERLINK("http://www.autodoc.ru/Web/price/art/7812BGSHBW?analog=on","7812BGSHBW"))*1</f>
        <v>#VALUE!</v>
      </c>
      <c r="B8388" s="1">
        <v>6901031</v>
      </c>
      <c r="C8388" t="s">
        <v>366</v>
      </c>
      <c r="D8388" t="s">
        <v>8578</v>
      </c>
      <c r="E8388" t="s">
        <v>23</v>
      </c>
    </row>
    <row r="8389" spans="1:5" hidden="1" outlineLevel="2">
      <c r="A8389" s="3" t="e">
        <f>(HYPERLINK("http://www.autodoc.ru/Web/price/art/7812BGDHBW?analog=on","7812BGDHBW"))*1</f>
        <v>#VALUE!</v>
      </c>
      <c r="B8389" s="1">
        <v>6901029</v>
      </c>
      <c r="C8389" t="s">
        <v>366</v>
      </c>
      <c r="D8389" t="s">
        <v>8579</v>
      </c>
      <c r="E8389" t="s">
        <v>23</v>
      </c>
    </row>
    <row r="8390" spans="1:5" hidden="1" outlineLevel="2">
      <c r="A8390" s="3" t="e">
        <f>(HYPERLINK("http://www.autodoc.ru/Web/price/art/7812BGSHABW?analog=on","7812BGSHABW"))*1</f>
        <v>#VALUE!</v>
      </c>
      <c r="B8390" s="1">
        <v>6901030</v>
      </c>
      <c r="C8390" t="s">
        <v>366</v>
      </c>
      <c r="D8390" t="s">
        <v>8580</v>
      </c>
      <c r="E8390" t="s">
        <v>23</v>
      </c>
    </row>
    <row r="8391" spans="1:5" hidden="1" outlineLevel="2">
      <c r="A8391" s="3" t="e">
        <f>(HYPERLINK("http://www.autodoc.ru/Web/price/art/7812BGDHABW?analog=on","7812BGDHABW"))*1</f>
        <v>#VALUE!</v>
      </c>
      <c r="B8391" s="1">
        <v>6901028</v>
      </c>
      <c r="C8391" t="s">
        <v>366</v>
      </c>
      <c r="D8391" t="s">
        <v>8581</v>
      </c>
      <c r="E8391" t="s">
        <v>23</v>
      </c>
    </row>
    <row r="8392" spans="1:5" hidden="1" outlineLevel="1">
      <c r="A8392" s="2">
        <v>0</v>
      </c>
      <c r="B8392" s="26" t="s">
        <v>8582</v>
      </c>
      <c r="C8392" s="27">
        <v>0</v>
      </c>
      <c r="D8392" s="27">
        <v>0</v>
      </c>
      <c r="E8392" s="27">
        <v>0</v>
      </c>
    </row>
    <row r="8393" spans="1:5" hidden="1" outlineLevel="2">
      <c r="A8393" s="3" t="e">
        <f>(HYPERLINK("http://www.autodoc.ru/Web/price/art/7813ACLVWZ?analog=on","7813ACLVWZ"))*1</f>
        <v>#VALUE!</v>
      </c>
      <c r="B8393" s="1">
        <v>6961888</v>
      </c>
      <c r="C8393" t="s">
        <v>211</v>
      </c>
      <c r="D8393" t="s">
        <v>8583</v>
      </c>
      <c r="E8393" t="s">
        <v>8</v>
      </c>
    </row>
    <row r="8394" spans="1:5" hidden="1" outlineLevel="2">
      <c r="A8394" s="3" t="e">
        <f>(HYPERLINK("http://www.autodoc.ru/Web/price/art/7813AGSMVWZ1P?analog=on","7813AGSMVWZ1P"))*1</f>
        <v>#VALUE!</v>
      </c>
      <c r="B8394" s="1">
        <v>6961890</v>
      </c>
      <c r="C8394" t="s">
        <v>211</v>
      </c>
      <c r="D8394" t="s">
        <v>8584</v>
      </c>
      <c r="E8394" t="s">
        <v>8</v>
      </c>
    </row>
    <row r="8395" spans="1:5" hidden="1" outlineLevel="2">
      <c r="A8395" s="3" t="e">
        <f>(HYPERLINK("http://www.autodoc.ru/Web/price/art/7813RGDR5RQW?analog=on","7813RGDR5RQW"))*1</f>
        <v>#VALUE!</v>
      </c>
      <c r="B8395" s="1">
        <v>6997782</v>
      </c>
      <c r="C8395" t="s">
        <v>211</v>
      </c>
      <c r="D8395" t="s">
        <v>8585</v>
      </c>
      <c r="E8395" t="s">
        <v>23</v>
      </c>
    </row>
    <row r="8396" spans="1:5" collapsed="1">
      <c r="A8396" s="28" t="s">
        <v>8586</v>
      </c>
      <c r="B8396" s="28">
        <v>0</v>
      </c>
      <c r="C8396" s="28">
        <v>0</v>
      </c>
      <c r="D8396" s="28">
        <v>0</v>
      </c>
      <c r="E8396" s="28">
        <v>0</v>
      </c>
    </row>
    <row r="8397" spans="1:5" hidden="1" outlineLevel="1">
      <c r="A8397" s="2">
        <v>0</v>
      </c>
      <c r="B8397" s="26" t="s">
        <v>8587</v>
      </c>
      <c r="C8397" s="27">
        <v>0</v>
      </c>
      <c r="D8397" s="27">
        <v>0</v>
      </c>
      <c r="E8397" s="27">
        <v>0</v>
      </c>
    </row>
    <row r="8398" spans="1:5" hidden="1" outlineLevel="2">
      <c r="A8398" s="3" t="e">
        <f>(HYPERLINK("http://www.autodoc.ru/Web/price/art/3008AGNBL?analog=on","3008AGNBL"))*1</f>
        <v>#VALUE!</v>
      </c>
      <c r="B8398" s="1">
        <v>6960849</v>
      </c>
      <c r="C8398" t="s">
        <v>8588</v>
      </c>
      <c r="D8398" t="s">
        <v>8589</v>
      </c>
      <c r="E8398" t="s">
        <v>8</v>
      </c>
    </row>
    <row r="8399" spans="1:5" hidden="1" outlineLevel="1">
      <c r="A8399" s="2">
        <v>0</v>
      </c>
      <c r="B8399" s="26" t="s">
        <v>8590</v>
      </c>
      <c r="C8399" s="27">
        <v>0</v>
      </c>
      <c r="D8399" s="27">
        <v>0</v>
      </c>
      <c r="E8399" s="27">
        <v>0</v>
      </c>
    </row>
    <row r="8400" spans="1:5" hidden="1" outlineLevel="2">
      <c r="A8400" s="3" t="e">
        <f>(HYPERLINK("http://www.autodoc.ru/Web/price/art/3009AGNBL?analog=on","3009AGNBL"))*1</f>
        <v>#VALUE!</v>
      </c>
      <c r="B8400" s="1">
        <v>6963603</v>
      </c>
      <c r="C8400" t="s">
        <v>1988</v>
      </c>
      <c r="D8400" t="s">
        <v>8591</v>
      </c>
      <c r="E8400" t="s">
        <v>8</v>
      </c>
    </row>
    <row r="8401" spans="1:5" hidden="1" outlineLevel="2">
      <c r="A8401" s="3" t="e">
        <f>(HYPERLINK("http://www.autodoc.ru/Web/price/art/3009LGNR3FD?analog=on","3009LGNR3FD"))*1</f>
        <v>#VALUE!</v>
      </c>
      <c r="B8401" s="1">
        <v>6980179</v>
      </c>
      <c r="C8401" t="s">
        <v>1988</v>
      </c>
      <c r="D8401" t="s">
        <v>8592</v>
      </c>
      <c r="E8401" t="s">
        <v>10</v>
      </c>
    </row>
    <row r="8402" spans="1:5" hidden="1" outlineLevel="2">
      <c r="A8402" s="3" t="e">
        <f>(HYPERLINK("http://www.autodoc.ru/Web/price/art/3009RGNR3FD?analog=on","3009RGNR3FD"))*1</f>
        <v>#VALUE!</v>
      </c>
      <c r="B8402" s="1">
        <v>6980180</v>
      </c>
      <c r="C8402" t="s">
        <v>1988</v>
      </c>
      <c r="D8402" t="s">
        <v>8593</v>
      </c>
      <c r="E8402" t="s">
        <v>10</v>
      </c>
    </row>
    <row r="8403" spans="1:5" hidden="1" outlineLevel="1">
      <c r="A8403" s="2">
        <v>0</v>
      </c>
      <c r="B8403" s="26" t="s">
        <v>8594</v>
      </c>
      <c r="C8403" s="27">
        <v>0</v>
      </c>
      <c r="D8403" s="27">
        <v>0</v>
      </c>
      <c r="E8403" s="27">
        <v>0</v>
      </c>
    </row>
    <row r="8404" spans="1:5" hidden="1" outlineLevel="2">
      <c r="A8404" s="3" t="e">
        <f>(HYPERLINK("http://www.autodoc.ru/Web/price/art/3020AGNBLHV?analog=on","3020AGNBLHV"))*1</f>
        <v>#VALUE!</v>
      </c>
      <c r="B8404" s="1">
        <v>6961634</v>
      </c>
      <c r="C8404" t="s">
        <v>389</v>
      </c>
      <c r="D8404" t="s">
        <v>8595</v>
      </c>
      <c r="E8404" t="s">
        <v>8</v>
      </c>
    </row>
    <row r="8405" spans="1:5" hidden="1" outlineLevel="2">
      <c r="A8405" s="3" t="e">
        <f>(HYPERLINK("http://www.autodoc.ru/Web/price/art/3020AGNBLHMV1B?analog=on","3020AGNBLHMV1B"))*1</f>
        <v>#VALUE!</v>
      </c>
      <c r="B8405" s="1">
        <v>6962241</v>
      </c>
      <c r="C8405" t="s">
        <v>389</v>
      </c>
      <c r="D8405" t="s">
        <v>8596</v>
      </c>
      <c r="E8405" t="s">
        <v>8</v>
      </c>
    </row>
    <row r="8406" spans="1:5" hidden="1" outlineLevel="2">
      <c r="A8406" s="3" t="e">
        <f>(HYPERLINK("http://www.autodoc.ru/Web/price/art/3020ASMM?analog=on","3020ASMM"))*1</f>
        <v>#VALUE!</v>
      </c>
      <c r="B8406" s="1">
        <v>6102128</v>
      </c>
      <c r="C8406" t="s">
        <v>19</v>
      </c>
      <c r="D8406" t="s">
        <v>8597</v>
      </c>
      <c r="E8406" t="s">
        <v>21</v>
      </c>
    </row>
    <row r="8407" spans="1:5" hidden="1" outlineLevel="2">
      <c r="A8407" s="3" t="e">
        <f>(HYPERLINK("http://www.autodoc.ru/Web/price/art/3020BGNMAW?analog=on","3020BGNMAW"))*1</f>
        <v>#VALUE!</v>
      </c>
      <c r="B8407" s="1">
        <v>6902947</v>
      </c>
      <c r="C8407" t="s">
        <v>389</v>
      </c>
      <c r="D8407" t="s">
        <v>8598</v>
      </c>
      <c r="E8407" t="s">
        <v>23</v>
      </c>
    </row>
    <row r="8408" spans="1:5" hidden="1" outlineLevel="2">
      <c r="A8408" s="3" t="e">
        <f>(HYPERLINK("http://www.autodoc.ru/Web/price/art/3020LGNM5FD?analog=on","3020LGNM5FD"))*1</f>
        <v>#VALUE!</v>
      </c>
      <c r="B8408" s="1">
        <v>6999999</v>
      </c>
      <c r="C8408" t="s">
        <v>389</v>
      </c>
      <c r="D8408" t="s">
        <v>8599</v>
      </c>
      <c r="E8408" t="s">
        <v>10</v>
      </c>
    </row>
    <row r="8409" spans="1:5" hidden="1" outlineLevel="2">
      <c r="A8409" s="3" t="e">
        <f>(HYPERLINK("http://www.autodoc.ru/Web/price/art/3020LGNM5RD?analog=on","3020LGNM5RD"))*1</f>
        <v>#VALUE!</v>
      </c>
      <c r="B8409" s="1">
        <v>6900190</v>
      </c>
      <c r="C8409" t="s">
        <v>389</v>
      </c>
      <c r="D8409" t="s">
        <v>8600</v>
      </c>
      <c r="E8409" t="s">
        <v>10</v>
      </c>
    </row>
    <row r="8410" spans="1:5" hidden="1" outlineLevel="2">
      <c r="A8410" s="3" t="e">
        <f>(HYPERLINK("http://www.autodoc.ru/Web/price/art/3020RGNM5FD?analog=on","3020RGNM5FD"))*1</f>
        <v>#VALUE!</v>
      </c>
      <c r="B8410" s="1">
        <v>6900089</v>
      </c>
      <c r="C8410" t="s">
        <v>389</v>
      </c>
      <c r="D8410" t="s">
        <v>8601</v>
      </c>
      <c r="E8410" t="s">
        <v>10</v>
      </c>
    </row>
    <row r="8411" spans="1:5" hidden="1" outlineLevel="2">
      <c r="A8411" s="3" t="e">
        <f>(HYPERLINK("http://www.autodoc.ru/Web/price/art/3020RGNM5RD?analog=on","3020RGNM5RD"))*1</f>
        <v>#VALUE!</v>
      </c>
      <c r="B8411" s="1">
        <v>6900276</v>
      </c>
      <c r="C8411" t="s">
        <v>389</v>
      </c>
      <c r="D8411" t="s">
        <v>8602</v>
      </c>
      <c r="E8411" t="s">
        <v>10</v>
      </c>
    </row>
    <row r="8412" spans="1:5" hidden="1" outlineLevel="1">
      <c r="A8412" s="2">
        <v>0</v>
      </c>
      <c r="B8412" s="26" t="s">
        <v>8603</v>
      </c>
      <c r="C8412" s="27">
        <v>0</v>
      </c>
      <c r="D8412" s="27">
        <v>0</v>
      </c>
      <c r="E8412" s="27">
        <v>0</v>
      </c>
    </row>
    <row r="8413" spans="1:5" hidden="1" outlineLevel="2">
      <c r="A8413" s="3" t="e">
        <f>(HYPERLINK("http://www.autodoc.ru/Web/price/art/3007AGNBL?analog=on","3007AGNBL"))*1</f>
        <v>#VALUE!</v>
      </c>
      <c r="B8413" s="1">
        <v>6963686</v>
      </c>
      <c r="C8413" t="s">
        <v>134</v>
      </c>
      <c r="D8413" t="s">
        <v>8604</v>
      </c>
      <c r="E8413" t="s">
        <v>8</v>
      </c>
    </row>
    <row r="8414" spans="1:5" hidden="1" outlineLevel="2">
      <c r="A8414" s="3" t="e">
        <f>(HYPERLINK("http://www.autodoc.ru/Web/price/art/3007ASMRT?analog=on","3007ASMRT"))*1</f>
        <v>#VALUE!</v>
      </c>
      <c r="B8414" s="1">
        <v>6101039</v>
      </c>
      <c r="C8414" t="s">
        <v>19</v>
      </c>
      <c r="D8414" t="s">
        <v>8605</v>
      </c>
      <c r="E8414" t="s">
        <v>21</v>
      </c>
    </row>
    <row r="8415" spans="1:5" hidden="1" outlineLevel="2">
      <c r="A8415" s="3" t="e">
        <f>(HYPERLINK("http://www.autodoc.ru/Web/price/art/3007LGNR5FD?analog=on","3007LGNR5FD"))*1</f>
        <v>#VALUE!</v>
      </c>
      <c r="B8415" s="1">
        <v>6995943</v>
      </c>
      <c r="C8415" t="s">
        <v>134</v>
      </c>
      <c r="D8415" t="s">
        <v>8606</v>
      </c>
      <c r="E8415" t="s">
        <v>10</v>
      </c>
    </row>
    <row r="8416" spans="1:5" hidden="1" outlineLevel="2">
      <c r="A8416" s="3" t="e">
        <f>(HYPERLINK("http://www.autodoc.ru/Web/price/art/3007LGNR5RD?analog=on","3007LGNR5RD"))*1</f>
        <v>#VALUE!</v>
      </c>
      <c r="B8416" s="1">
        <v>6995945</v>
      </c>
      <c r="C8416" t="s">
        <v>134</v>
      </c>
      <c r="D8416" t="s">
        <v>8607</v>
      </c>
      <c r="E8416" t="s">
        <v>10</v>
      </c>
    </row>
    <row r="8417" spans="1:5" hidden="1" outlineLevel="2">
      <c r="A8417" s="3" t="e">
        <f>(HYPERLINK("http://www.autodoc.ru/Web/price/art/3007RGNR5FD?analog=on","3007RGNR5FD"))*1</f>
        <v>#VALUE!</v>
      </c>
      <c r="B8417" s="1">
        <v>6995944</v>
      </c>
      <c r="C8417" t="s">
        <v>134</v>
      </c>
      <c r="D8417" t="s">
        <v>8608</v>
      </c>
      <c r="E8417" t="s">
        <v>10</v>
      </c>
    </row>
    <row r="8418" spans="1:5" hidden="1" outlineLevel="2">
      <c r="A8418" s="3" t="e">
        <f>(HYPERLINK("http://www.autodoc.ru/Web/price/art/3007RGNR5RD?analog=on","3007RGNR5RD"))*1</f>
        <v>#VALUE!</v>
      </c>
      <c r="B8418" s="1">
        <v>6995946</v>
      </c>
      <c r="C8418" t="s">
        <v>134</v>
      </c>
      <c r="D8418" t="s">
        <v>8609</v>
      </c>
      <c r="E8418" t="s">
        <v>10</v>
      </c>
    </row>
    <row r="8419" spans="1:5" hidden="1" outlineLevel="2">
      <c r="A8419" s="3" t="e">
        <f>(HYPERLINK("http://www.autodoc.ru/Web/price/art/3007RGNR5RV?analog=on","3007RGNR5RV"))*1</f>
        <v>#VALUE!</v>
      </c>
      <c r="B8419" s="1">
        <v>6995947</v>
      </c>
      <c r="C8419" t="s">
        <v>134</v>
      </c>
      <c r="D8419" t="s">
        <v>8610</v>
      </c>
      <c r="E8419" t="s">
        <v>10</v>
      </c>
    </row>
    <row r="8420" spans="1:5" hidden="1" outlineLevel="1">
      <c r="A8420" s="2">
        <v>0</v>
      </c>
      <c r="B8420" s="26" t="s">
        <v>8611</v>
      </c>
      <c r="C8420" s="27">
        <v>0</v>
      </c>
      <c r="D8420" s="27">
        <v>0</v>
      </c>
      <c r="E8420" s="27">
        <v>0</v>
      </c>
    </row>
    <row r="8421" spans="1:5" hidden="1" outlineLevel="2">
      <c r="A8421" s="3" t="e">
        <f>(HYPERLINK("http://www.autodoc.ru/Web/price/art/3015AGSBL?analog=on","3015AGSBL"))*1</f>
        <v>#VALUE!</v>
      </c>
      <c r="B8421" s="1">
        <v>6965349</v>
      </c>
      <c r="C8421" t="s">
        <v>1053</v>
      </c>
      <c r="D8421" t="s">
        <v>8612</v>
      </c>
      <c r="E8421" t="s">
        <v>8</v>
      </c>
    </row>
    <row r="8422" spans="1:5" hidden="1" outlineLevel="2">
      <c r="A8422" s="3" t="e">
        <f>(HYPERLINK("http://www.autodoc.ru/Web/price/art/3015AGSBL?analog=on","3015AGSBL"))*1</f>
        <v>#VALUE!</v>
      </c>
      <c r="B8422" s="1">
        <v>6950140</v>
      </c>
      <c r="C8422" t="s">
        <v>1053</v>
      </c>
      <c r="D8422" t="s">
        <v>8612</v>
      </c>
      <c r="E8422" t="s">
        <v>8</v>
      </c>
    </row>
    <row r="8423" spans="1:5" hidden="1" outlineLevel="2">
      <c r="A8423" s="3" t="e">
        <f>(HYPERLINK("http://www.autodoc.ru/Web/price/art/3015AGSBLH?analog=on","3015AGSBLH"))*1</f>
        <v>#VALUE!</v>
      </c>
      <c r="B8423" s="1">
        <v>6962319</v>
      </c>
      <c r="C8423" t="s">
        <v>1053</v>
      </c>
      <c r="D8423" t="s">
        <v>8613</v>
      </c>
      <c r="E8423" t="s">
        <v>8</v>
      </c>
    </row>
    <row r="8424" spans="1:5" hidden="1" outlineLevel="2">
      <c r="A8424" s="3" t="e">
        <f>(HYPERLINK("http://www.autodoc.ru/Web/price/art/3015ASMR?analog=on","3015ASMR"))*1</f>
        <v>#VALUE!</v>
      </c>
      <c r="B8424" s="1">
        <v>6101562</v>
      </c>
      <c r="C8424" t="s">
        <v>19</v>
      </c>
      <c r="D8424" t="s">
        <v>8614</v>
      </c>
      <c r="E8424" t="s">
        <v>21</v>
      </c>
    </row>
    <row r="8425" spans="1:5" hidden="1" outlineLevel="2">
      <c r="A8425" s="3" t="e">
        <f>(HYPERLINK("http://www.autodoc.ru/Web/price/art/3015BGDRW?analog=on","3015BGDRW"))*1</f>
        <v>#VALUE!</v>
      </c>
      <c r="B8425" s="1">
        <v>6999917</v>
      </c>
      <c r="C8425" t="s">
        <v>1053</v>
      </c>
      <c r="D8425" t="s">
        <v>8615</v>
      </c>
      <c r="E8425" t="s">
        <v>23</v>
      </c>
    </row>
    <row r="8426" spans="1:5" hidden="1" outlineLevel="2">
      <c r="A8426" s="3" t="e">
        <f>(HYPERLINK("http://www.autodoc.ru/Web/price/art/3015BGSROW1H?analog=on","3015BGSROW1H"))*1</f>
        <v>#VALUE!</v>
      </c>
      <c r="B8426" s="1">
        <v>6900377</v>
      </c>
      <c r="C8426" t="s">
        <v>1053</v>
      </c>
      <c r="D8426" t="s">
        <v>8616</v>
      </c>
      <c r="E8426" t="s">
        <v>23</v>
      </c>
    </row>
    <row r="8427" spans="1:5" hidden="1" outlineLevel="2">
      <c r="A8427" s="3" t="e">
        <f>(HYPERLINK("http://www.autodoc.ru/Web/price/art/3015BGSRW?analog=on","3015BGSRW"))*1</f>
        <v>#VALUE!</v>
      </c>
      <c r="B8427" s="1">
        <v>6997565</v>
      </c>
      <c r="C8427" t="s">
        <v>1053</v>
      </c>
      <c r="D8427" t="s">
        <v>8617</v>
      </c>
      <c r="E8427" t="s">
        <v>23</v>
      </c>
    </row>
    <row r="8428" spans="1:5" hidden="1" outlineLevel="2">
      <c r="A8428" s="3" t="e">
        <f>(HYPERLINK("http://www.autodoc.ru/Web/price/art/3015LCLR5FD?analog=on","3015LCLR5FD"))*1</f>
        <v>#VALUE!</v>
      </c>
      <c r="B8428" s="1">
        <v>6995948</v>
      </c>
      <c r="C8428" t="s">
        <v>1053</v>
      </c>
      <c r="D8428" t="s">
        <v>8618</v>
      </c>
      <c r="E8428" t="s">
        <v>10</v>
      </c>
    </row>
    <row r="8429" spans="1:5" hidden="1" outlineLevel="2">
      <c r="A8429" s="3" t="e">
        <f>(HYPERLINK("http://www.autodoc.ru/Web/price/art/3015LCLR5RD?analog=on","3015LCLR5RD"))*1</f>
        <v>#VALUE!</v>
      </c>
      <c r="B8429" s="1">
        <v>6995956</v>
      </c>
      <c r="C8429" t="s">
        <v>1053</v>
      </c>
      <c r="D8429" t="s">
        <v>8619</v>
      </c>
      <c r="E8429" t="s">
        <v>10</v>
      </c>
    </row>
    <row r="8430" spans="1:5" hidden="1" outlineLevel="2">
      <c r="A8430" s="3" t="e">
        <f>(HYPERLINK("http://www.autodoc.ru/Web/price/art/3015LCLR5RQ?analog=on","3015LCLR5RQ"))*1</f>
        <v>#VALUE!</v>
      </c>
      <c r="B8430" s="1">
        <v>6995952</v>
      </c>
      <c r="C8430" t="s">
        <v>1053</v>
      </c>
      <c r="D8430" t="s">
        <v>8620</v>
      </c>
      <c r="E8430" t="s">
        <v>10</v>
      </c>
    </row>
    <row r="8431" spans="1:5" hidden="1" outlineLevel="2">
      <c r="A8431" s="3" t="e">
        <f>(HYPERLINK("http://www.autodoc.ru/Web/price/art/3015LGDR5RD?analog=on","3015LGDR5RD"))*1</f>
        <v>#VALUE!</v>
      </c>
      <c r="B8431" s="1">
        <v>6900191</v>
      </c>
      <c r="C8431" t="s">
        <v>1053</v>
      </c>
      <c r="D8431" t="s">
        <v>8621</v>
      </c>
      <c r="E8431" t="s">
        <v>10</v>
      </c>
    </row>
    <row r="8432" spans="1:5" hidden="1" outlineLevel="2">
      <c r="A8432" s="3" t="e">
        <f>(HYPERLINK("http://www.autodoc.ru/Web/price/art/3015LGDR5RQ?analog=on","3015LGDR5RQ"))*1</f>
        <v>#VALUE!</v>
      </c>
      <c r="B8432" s="1">
        <v>6900081</v>
      </c>
      <c r="C8432" t="s">
        <v>1053</v>
      </c>
      <c r="D8432" t="s">
        <v>8622</v>
      </c>
      <c r="E8432" t="s">
        <v>10</v>
      </c>
    </row>
    <row r="8433" spans="1:5" hidden="1" outlineLevel="2">
      <c r="A8433" s="3" t="e">
        <f>(HYPERLINK("http://www.autodoc.ru/Web/price/art/3015LGDR5RQA?analog=on","3015LGDR5RQA"))*1</f>
        <v>#VALUE!</v>
      </c>
      <c r="B8433" s="1">
        <v>6900359</v>
      </c>
      <c r="C8433" t="s">
        <v>1053</v>
      </c>
      <c r="D8433" t="s">
        <v>8623</v>
      </c>
      <c r="E8433" t="s">
        <v>10</v>
      </c>
    </row>
    <row r="8434" spans="1:5" hidden="1" outlineLevel="2">
      <c r="A8434" s="3" t="e">
        <f>(HYPERLINK("http://www.autodoc.ru/Web/price/art/3015LGDR5RQ1J?analog=on","3015LGDR5RQ1J"))*1</f>
        <v>#VALUE!</v>
      </c>
      <c r="B8434" s="1">
        <v>6900376</v>
      </c>
      <c r="C8434" t="s">
        <v>1053</v>
      </c>
      <c r="D8434" t="s">
        <v>8624</v>
      </c>
      <c r="E8434" t="s">
        <v>10</v>
      </c>
    </row>
    <row r="8435" spans="1:5" hidden="1" outlineLevel="2">
      <c r="A8435" s="3" t="e">
        <f>(HYPERLINK("http://www.autodoc.ru/Web/price/art/3015LGSR5FD?analog=on","3015LGSR5FD"))*1</f>
        <v>#VALUE!</v>
      </c>
      <c r="B8435" s="1">
        <v>6995949</v>
      </c>
      <c r="C8435" t="s">
        <v>1053</v>
      </c>
      <c r="D8435" t="s">
        <v>8625</v>
      </c>
      <c r="E8435" t="s">
        <v>10</v>
      </c>
    </row>
    <row r="8436" spans="1:5" hidden="1" outlineLevel="2">
      <c r="A8436" s="3" t="e">
        <f>(HYPERLINK("http://www.autodoc.ru/Web/price/art/3015LGSR5RD?analog=on","3015LGSR5RD"))*1</f>
        <v>#VALUE!</v>
      </c>
      <c r="B8436" s="1">
        <v>6995957</v>
      </c>
      <c r="C8436" t="s">
        <v>1053</v>
      </c>
      <c r="D8436" t="s">
        <v>8626</v>
      </c>
      <c r="E8436" t="s">
        <v>10</v>
      </c>
    </row>
    <row r="8437" spans="1:5" hidden="1" outlineLevel="2">
      <c r="A8437" s="3" t="e">
        <f>(HYPERLINK("http://www.autodoc.ru/Web/price/art/3015LGSR5RQZ?analog=on","3015LGSR5RQZ"))*1</f>
        <v>#VALUE!</v>
      </c>
      <c r="B8437" s="1">
        <v>6995953</v>
      </c>
      <c r="C8437" t="s">
        <v>1053</v>
      </c>
      <c r="D8437" t="s">
        <v>8627</v>
      </c>
      <c r="E8437" t="s">
        <v>10</v>
      </c>
    </row>
    <row r="8438" spans="1:5" hidden="1" outlineLevel="2">
      <c r="A8438" s="3" t="e">
        <f>(HYPERLINK("http://www.autodoc.ru/Web/price/art/3015RCLR5FD?analog=on","3015RCLR5FD"))*1</f>
        <v>#VALUE!</v>
      </c>
      <c r="B8438" s="1">
        <v>6995950</v>
      </c>
      <c r="C8438" t="s">
        <v>1053</v>
      </c>
      <c r="D8438" t="s">
        <v>8628</v>
      </c>
      <c r="E8438" t="s">
        <v>10</v>
      </c>
    </row>
    <row r="8439" spans="1:5" hidden="1" outlineLevel="2">
      <c r="A8439" s="3" t="e">
        <f>(HYPERLINK("http://www.autodoc.ru/Web/price/art/3015RCLR5RD?analog=on","3015RCLR5RD"))*1</f>
        <v>#VALUE!</v>
      </c>
      <c r="B8439" s="1">
        <v>6995958</v>
      </c>
      <c r="C8439" t="s">
        <v>1053</v>
      </c>
      <c r="D8439" t="s">
        <v>8629</v>
      </c>
      <c r="E8439" t="s">
        <v>10</v>
      </c>
    </row>
    <row r="8440" spans="1:5" hidden="1" outlineLevel="2">
      <c r="A8440" s="3" t="e">
        <f>(HYPERLINK("http://www.autodoc.ru/Web/price/art/3015RCLR5RQZ?analog=on","3015RCLR5RQZ"))*1</f>
        <v>#VALUE!</v>
      </c>
      <c r="B8440" s="1">
        <v>6995954</v>
      </c>
      <c r="C8440" t="s">
        <v>1053</v>
      </c>
      <c r="D8440" t="s">
        <v>8630</v>
      </c>
      <c r="E8440" t="s">
        <v>10</v>
      </c>
    </row>
    <row r="8441" spans="1:5" hidden="1" outlineLevel="2">
      <c r="A8441" s="3" t="e">
        <f>(HYPERLINK("http://www.autodoc.ru/Web/price/art/3015RGDR5RD?analog=on","3015RGDR5RD"))*1</f>
        <v>#VALUE!</v>
      </c>
      <c r="B8441" s="1">
        <v>6900277</v>
      </c>
      <c r="C8441" t="s">
        <v>1053</v>
      </c>
      <c r="D8441" t="s">
        <v>8631</v>
      </c>
      <c r="E8441" t="s">
        <v>10</v>
      </c>
    </row>
    <row r="8442" spans="1:5" hidden="1" outlineLevel="2">
      <c r="A8442" s="3" t="e">
        <f>(HYPERLINK("http://www.autodoc.ru/Web/price/art/3015RGDR5RQZ?analog=on","3015RGDR5RQZ"))*1</f>
        <v>#VALUE!</v>
      </c>
      <c r="B8442" s="1">
        <v>6900115</v>
      </c>
      <c r="C8442" t="s">
        <v>1053</v>
      </c>
      <c r="D8442" t="s">
        <v>8632</v>
      </c>
      <c r="E8442" t="s">
        <v>10</v>
      </c>
    </row>
    <row r="8443" spans="1:5" hidden="1" outlineLevel="2">
      <c r="A8443" s="3" t="e">
        <f>(HYPERLINK("http://www.autodoc.ru/Web/price/art/3015RGDR5RQAZ?analog=on","3015RGDR5RQAZ"))*1</f>
        <v>#VALUE!</v>
      </c>
      <c r="B8443" s="1">
        <v>6900119</v>
      </c>
      <c r="C8443" t="s">
        <v>1053</v>
      </c>
      <c r="D8443" t="s">
        <v>8633</v>
      </c>
      <c r="E8443" t="s">
        <v>10</v>
      </c>
    </row>
    <row r="8444" spans="1:5" hidden="1" outlineLevel="2">
      <c r="A8444" s="3" t="e">
        <f>(HYPERLINK("http://www.autodoc.ru/Web/price/art/3015RGDR5RQ1J?analog=on","3015RGDR5RQ1J"))*1</f>
        <v>#VALUE!</v>
      </c>
      <c r="B8444" s="1">
        <v>6900087</v>
      </c>
      <c r="C8444" t="s">
        <v>1053</v>
      </c>
      <c r="D8444" t="s">
        <v>8634</v>
      </c>
      <c r="E8444" t="s">
        <v>10</v>
      </c>
    </row>
    <row r="8445" spans="1:5" hidden="1" outlineLevel="2">
      <c r="A8445" s="3" t="e">
        <f>(HYPERLINK("http://www.autodoc.ru/Web/price/art/3015RGSR5FD?analog=on","3015RGSR5FD"))*1</f>
        <v>#VALUE!</v>
      </c>
      <c r="B8445" s="1">
        <v>6995951</v>
      </c>
      <c r="C8445" t="s">
        <v>1053</v>
      </c>
      <c r="D8445" t="s">
        <v>8635</v>
      </c>
      <c r="E8445" t="s">
        <v>10</v>
      </c>
    </row>
    <row r="8446" spans="1:5" hidden="1" outlineLevel="2">
      <c r="A8446" s="3" t="e">
        <f>(HYPERLINK("http://www.autodoc.ru/Web/price/art/3015RGSR5RD?analog=on","3015RGSR5RD"))*1</f>
        <v>#VALUE!</v>
      </c>
      <c r="B8446" s="1">
        <v>6995959</v>
      </c>
      <c r="C8446" t="s">
        <v>1053</v>
      </c>
      <c r="D8446" t="s">
        <v>8636</v>
      </c>
      <c r="E8446" t="s">
        <v>10</v>
      </c>
    </row>
    <row r="8447" spans="1:5" hidden="1" outlineLevel="2">
      <c r="A8447" s="3" t="e">
        <f>(HYPERLINK("http://www.autodoc.ru/Web/price/art/3015RGSR5RQZ?analog=on","3015RGSR5RQZ"))*1</f>
        <v>#VALUE!</v>
      </c>
      <c r="B8447" s="1">
        <v>6995955</v>
      </c>
      <c r="C8447" t="s">
        <v>1053</v>
      </c>
      <c r="D8447" t="s">
        <v>8637</v>
      </c>
      <c r="E8447" t="s">
        <v>10</v>
      </c>
    </row>
    <row r="8448" spans="1:5" hidden="1" outlineLevel="1">
      <c r="A8448" s="2">
        <v>0</v>
      </c>
      <c r="B8448" s="26" t="s">
        <v>8638</v>
      </c>
      <c r="C8448" s="27">
        <v>0</v>
      </c>
      <c r="D8448" s="27">
        <v>0</v>
      </c>
      <c r="E8448" s="27">
        <v>0</v>
      </c>
    </row>
    <row r="8449" spans="1:5" hidden="1" outlineLevel="2">
      <c r="A8449" s="3" t="e">
        <f>(HYPERLINK("http://www.autodoc.ru/Web/price/art/3019AGNBLHV?analog=on","3019AGNBLHV"))*1</f>
        <v>#VALUE!</v>
      </c>
      <c r="B8449" s="1">
        <v>6961632</v>
      </c>
      <c r="C8449" t="s">
        <v>890</v>
      </c>
      <c r="D8449" t="s">
        <v>8639</v>
      </c>
      <c r="E8449" t="s">
        <v>8</v>
      </c>
    </row>
    <row r="8450" spans="1:5" hidden="1" outlineLevel="2">
      <c r="A8450" s="3" t="e">
        <f>(HYPERLINK("http://www.autodoc.ru/Web/price/art/3019AGSBLHMV?analog=on","3019AGSBLHMV"))*1</f>
        <v>#VALUE!</v>
      </c>
      <c r="B8450" s="1">
        <v>6961591</v>
      </c>
      <c r="C8450" t="s">
        <v>890</v>
      </c>
      <c r="D8450" t="s">
        <v>8640</v>
      </c>
      <c r="E8450" t="s">
        <v>8</v>
      </c>
    </row>
    <row r="8451" spans="1:5" hidden="1" outlineLevel="2">
      <c r="A8451" s="3" t="e">
        <f>(HYPERLINK("http://www.autodoc.ru/Web/price/art/3019BGNVW?analog=on","3019BGNVW"))*1</f>
        <v>#VALUE!</v>
      </c>
      <c r="B8451" s="1">
        <v>6900845</v>
      </c>
      <c r="C8451" t="s">
        <v>890</v>
      </c>
      <c r="D8451" t="s">
        <v>8641</v>
      </c>
      <c r="E8451" t="s">
        <v>23</v>
      </c>
    </row>
    <row r="8452" spans="1:5" hidden="1" outlineLevel="2">
      <c r="A8452" s="3" t="e">
        <f>(HYPERLINK("http://www.autodoc.ru/Web/price/art/3019BYDVA?analog=on","3019BYDVA"))*1</f>
        <v>#VALUE!</v>
      </c>
      <c r="B8452" s="1">
        <v>6900846</v>
      </c>
      <c r="C8452" t="s">
        <v>890</v>
      </c>
      <c r="D8452" t="s">
        <v>8642</v>
      </c>
      <c r="E8452" t="s">
        <v>23</v>
      </c>
    </row>
    <row r="8453" spans="1:5" hidden="1" outlineLevel="2">
      <c r="A8453" s="3" t="e">
        <f>(HYPERLINK("http://www.autodoc.ru/Web/price/art/3019LGNV5FD?analog=on","3019LGNV5FD"))*1</f>
        <v>#VALUE!</v>
      </c>
      <c r="B8453" s="1">
        <v>6900848</v>
      </c>
      <c r="C8453" t="s">
        <v>890</v>
      </c>
      <c r="D8453" t="s">
        <v>8643</v>
      </c>
      <c r="E8453" t="s">
        <v>10</v>
      </c>
    </row>
    <row r="8454" spans="1:5" hidden="1" outlineLevel="2">
      <c r="A8454" s="3" t="e">
        <f>(HYPERLINK("http://www.autodoc.ru/Web/price/art/3019LGNV5RD?analog=on","3019LGNV5RD"))*1</f>
        <v>#VALUE!</v>
      </c>
      <c r="B8454" s="1">
        <v>6900850</v>
      </c>
      <c r="C8454" t="s">
        <v>890</v>
      </c>
      <c r="D8454" t="s">
        <v>8644</v>
      </c>
      <c r="E8454" t="s">
        <v>10</v>
      </c>
    </row>
    <row r="8455" spans="1:5" hidden="1" outlineLevel="2">
      <c r="A8455" s="3" t="e">
        <f>(HYPERLINK("http://www.autodoc.ru/Web/price/art/3019LYDV5RD?analog=on","3019LYDV5RD"))*1</f>
        <v>#VALUE!</v>
      </c>
      <c r="B8455" s="1">
        <v>6900852</v>
      </c>
      <c r="C8455" t="s">
        <v>890</v>
      </c>
      <c r="D8455" t="s">
        <v>8645</v>
      </c>
      <c r="E8455" t="s">
        <v>10</v>
      </c>
    </row>
    <row r="8456" spans="1:5" hidden="1" outlineLevel="2">
      <c r="A8456" s="3" t="e">
        <f>(HYPERLINK("http://www.autodoc.ru/Web/price/art/3019RGNV5RD?analog=on","3019RGNV5RD"))*1</f>
        <v>#VALUE!</v>
      </c>
      <c r="B8456" s="1">
        <v>6900849</v>
      </c>
      <c r="C8456" t="s">
        <v>890</v>
      </c>
      <c r="D8456" t="s">
        <v>8646</v>
      </c>
      <c r="E8456" t="s">
        <v>10</v>
      </c>
    </row>
    <row r="8457" spans="1:5" hidden="1" outlineLevel="2">
      <c r="A8457" s="3" t="e">
        <f>(HYPERLINK("http://www.autodoc.ru/Web/price/art/3019RYDV5RD?analog=on","3019RYDV5RD"))*1</f>
        <v>#VALUE!</v>
      </c>
      <c r="B8457" s="1">
        <v>6900851</v>
      </c>
      <c r="C8457" t="s">
        <v>890</v>
      </c>
      <c r="D8457" t="s">
        <v>8647</v>
      </c>
      <c r="E8457" t="s">
        <v>10</v>
      </c>
    </row>
    <row r="8458" spans="1:5" collapsed="1">
      <c r="A8458" s="28" t="s">
        <v>8648</v>
      </c>
      <c r="B8458" s="28">
        <v>0</v>
      </c>
      <c r="C8458" s="28">
        <v>0</v>
      </c>
      <c r="D8458" s="28">
        <v>0</v>
      </c>
      <c r="E8458" s="28">
        <v>0</v>
      </c>
    </row>
    <row r="8459" spans="1:5" hidden="1" outlineLevel="1">
      <c r="A8459" s="2">
        <v>0</v>
      </c>
      <c r="B8459" s="26" t="s">
        <v>8649</v>
      </c>
      <c r="C8459" s="27">
        <v>0</v>
      </c>
      <c r="D8459" s="27">
        <v>0</v>
      </c>
      <c r="E8459" s="27">
        <v>0</v>
      </c>
    </row>
    <row r="8460" spans="1:5" hidden="1" outlineLevel="2">
      <c r="A8460" s="3" t="e">
        <f>(HYPERLINK("http://www.autodoc.ru/Web/price/art/7906ABL?analog=on","7906ABL"))*1</f>
        <v>#VALUE!</v>
      </c>
      <c r="B8460" s="1">
        <v>6963507</v>
      </c>
      <c r="C8460" t="s">
        <v>1838</v>
      </c>
      <c r="D8460" t="s">
        <v>8650</v>
      </c>
      <c r="E8460" t="s">
        <v>8</v>
      </c>
    </row>
    <row r="8461" spans="1:5" hidden="1" outlineLevel="1">
      <c r="A8461" s="2">
        <v>0</v>
      </c>
      <c r="B8461" s="26" t="s">
        <v>8651</v>
      </c>
      <c r="C8461" s="27">
        <v>0</v>
      </c>
      <c r="D8461" s="27">
        <v>0</v>
      </c>
      <c r="E8461" s="27">
        <v>0</v>
      </c>
    </row>
    <row r="8462" spans="1:5" hidden="1" outlineLevel="2">
      <c r="A8462" s="3" t="e">
        <f>(HYPERLINK("http://www.autodoc.ru/Web/price/art/7910ABL?analog=on","7910ABL"))*1</f>
        <v>#VALUE!</v>
      </c>
      <c r="B8462" s="1">
        <v>6963669</v>
      </c>
      <c r="C8462" t="s">
        <v>418</v>
      </c>
      <c r="D8462" t="s">
        <v>8652</v>
      </c>
      <c r="E8462" t="s">
        <v>8</v>
      </c>
    </row>
    <row r="8463" spans="1:5" hidden="1" outlineLevel="1">
      <c r="A8463" s="2">
        <v>0</v>
      </c>
      <c r="B8463" s="26" t="s">
        <v>8653</v>
      </c>
      <c r="C8463" s="27">
        <v>0</v>
      </c>
      <c r="D8463" s="27">
        <v>0</v>
      </c>
      <c r="E8463" s="27">
        <v>0</v>
      </c>
    </row>
    <row r="8464" spans="1:5" hidden="1" outlineLevel="2">
      <c r="A8464" s="3" t="e">
        <f>(HYPERLINK("http://www.autodoc.ru/Web/price/art/7923AGNGN?analog=on","7923AGNGN"))*1</f>
        <v>#VALUE!</v>
      </c>
      <c r="B8464" s="1">
        <v>6963346</v>
      </c>
      <c r="C8464" t="s">
        <v>1710</v>
      </c>
      <c r="D8464" t="s">
        <v>8654</v>
      </c>
      <c r="E8464" t="s">
        <v>8</v>
      </c>
    </row>
    <row r="8465" spans="1:5" hidden="1" outlineLevel="2">
      <c r="A8465" s="3" t="e">
        <f>(HYPERLINK("http://www.autodoc.ru/Web/price/art/7923AGNGNH?analog=on","7923AGNGNH"))*1</f>
        <v>#VALUE!</v>
      </c>
      <c r="B8465" s="1">
        <v>6962041</v>
      </c>
      <c r="C8465" t="s">
        <v>1710</v>
      </c>
      <c r="D8465" t="s">
        <v>8655</v>
      </c>
      <c r="E8465" t="s">
        <v>8</v>
      </c>
    </row>
    <row r="8466" spans="1:5" hidden="1" outlineLevel="2">
      <c r="A8466" s="3" t="e">
        <f>(HYPERLINK("http://www.autodoc.ru/Web/price/art/7923ASMRT?analog=on","7923ASMRT"))*1</f>
        <v>#VALUE!</v>
      </c>
      <c r="B8466" s="1">
        <v>6100605</v>
      </c>
      <c r="C8466" t="s">
        <v>19</v>
      </c>
      <c r="D8466" t="s">
        <v>8656</v>
      </c>
      <c r="E8466" t="s">
        <v>21</v>
      </c>
    </row>
    <row r="8467" spans="1:5" hidden="1" outlineLevel="2">
      <c r="A8467" s="3" t="e">
        <f>(HYPERLINK("http://www.autodoc.ru/Web/price/art/7923BGNRW?analog=on","7923BGNRW"))*1</f>
        <v>#VALUE!</v>
      </c>
      <c r="B8467" s="1">
        <v>6900530</v>
      </c>
      <c r="C8467" t="s">
        <v>1710</v>
      </c>
      <c r="D8467" t="s">
        <v>8657</v>
      </c>
      <c r="E8467" t="s">
        <v>23</v>
      </c>
    </row>
    <row r="8468" spans="1:5" hidden="1" outlineLevel="2">
      <c r="A8468" s="3" t="e">
        <f>(HYPERLINK("http://www.autodoc.ru/Web/price/art/7923LGNR5FD?analog=on","7923LGNR5FD"))*1</f>
        <v>#VALUE!</v>
      </c>
      <c r="B8468" s="1">
        <v>6980593</v>
      </c>
      <c r="C8468" t="s">
        <v>1710</v>
      </c>
      <c r="D8468" t="s">
        <v>8658</v>
      </c>
      <c r="E8468" t="s">
        <v>10</v>
      </c>
    </row>
    <row r="8469" spans="1:5" hidden="1" outlineLevel="2">
      <c r="A8469" s="3" t="e">
        <f>(HYPERLINK("http://www.autodoc.ru/Web/price/art/7923RGNR5FD?analog=on","7923RGNR5FD"))*1</f>
        <v>#VALUE!</v>
      </c>
      <c r="B8469" s="1">
        <v>6980594</v>
      </c>
      <c r="C8469" t="s">
        <v>1710</v>
      </c>
      <c r="D8469" t="s">
        <v>8659</v>
      </c>
      <c r="E8469" t="s">
        <v>10</v>
      </c>
    </row>
    <row r="8470" spans="1:5" hidden="1" outlineLevel="1">
      <c r="A8470" s="2">
        <v>0</v>
      </c>
      <c r="B8470" s="26" t="s">
        <v>8660</v>
      </c>
      <c r="C8470" s="27">
        <v>0</v>
      </c>
      <c r="D8470" s="27">
        <v>0</v>
      </c>
      <c r="E8470" s="27">
        <v>0</v>
      </c>
    </row>
    <row r="8471" spans="1:5" hidden="1" outlineLevel="2">
      <c r="A8471" s="3" t="e">
        <f>(HYPERLINK("http://www.autodoc.ru/Web/price/art/7928AGN?analog=on","7928AGN"))*1</f>
        <v>#VALUE!</v>
      </c>
      <c r="B8471" s="1">
        <v>6950324</v>
      </c>
      <c r="C8471" t="s">
        <v>2633</v>
      </c>
      <c r="D8471" t="s">
        <v>8661</v>
      </c>
      <c r="E8471" t="s">
        <v>8</v>
      </c>
    </row>
    <row r="8472" spans="1:5" hidden="1" outlineLevel="2">
      <c r="A8472" s="3" t="e">
        <f>(HYPERLINK("http://www.autodoc.ru/Web/price/art/7928AGNGN?analog=on","7928AGNGN"))*1</f>
        <v>#VALUE!</v>
      </c>
      <c r="B8472" s="1">
        <v>6964831</v>
      </c>
      <c r="C8472" t="s">
        <v>2633</v>
      </c>
      <c r="D8472" t="s">
        <v>8662</v>
      </c>
      <c r="E8472" t="s">
        <v>8</v>
      </c>
    </row>
    <row r="8473" spans="1:5" hidden="1" outlineLevel="2">
      <c r="A8473" s="3" t="e">
        <f>(HYPERLINK("http://www.autodoc.ru/Web/price/art/7928AGNGNH?analog=on","7928AGNGNH"))*1</f>
        <v>#VALUE!</v>
      </c>
      <c r="B8473" s="1">
        <v>6962040</v>
      </c>
      <c r="C8473" t="s">
        <v>2633</v>
      </c>
      <c r="D8473" t="s">
        <v>8663</v>
      </c>
      <c r="E8473" t="s">
        <v>8</v>
      </c>
    </row>
    <row r="8474" spans="1:5" hidden="1" outlineLevel="2">
      <c r="A8474" s="3" t="e">
        <f>(HYPERLINK("http://www.autodoc.ru/Web/price/art/7928ASMR?analog=on","7928ASMR"))*1</f>
        <v>#VALUE!</v>
      </c>
      <c r="B8474" s="1">
        <v>6101686</v>
      </c>
      <c r="C8474" t="s">
        <v>19</v>
      </c>
      <c r="D8474" t="s">
        <v>8664</v>
      </c>
      <c r="E8474" t="s">
        <v>21</v>
      </c>
    </row>
    <row r="8475" spans="1:5" hidden="1" outlineLevel="2">
      <c r="A8475" s="3" t="e">
        <f>(HYPERLINK("http://www.autodoc.ru/Web/price/art/7928BGNRW?analog=on","7928BGNRW"))*1</f>
        <v>#VALUE!</v>
      </c>
      <c r="B8475" s="1">
        <v>6901170</v>
      </c>
      <c r="C8475" t="s">
        <v>2633</v>
      </c>
      <c r="D8475" t="s">
        <v>8665</v>
      </c>
      <c r="E8475" t="s">
        <v>23</v>
      </c>
    </row>
    <row r="8476" spans="1:5" hidden="1" outlineLevel="1">
      <c r="A8476" s="2">
        <v>0</v>
      </c>
      <c r="B8476" s="26" t="s">
        <v>8666</v>
      </c>
      <c r="C8476" s="27">
        <v>0</v>
      </c>
      <c r="D8476" s="27">
        <v>0</v>
      </c>
      <c r="E8476" s="27">
        <v>0</v>
      </c>
    </row>
    <row r="8477" spans="1:5" hidden="1" outlineLevel="2">
      <c r="A8477" s="3" t="e">
        <f>(HYPERLINK("http://www.autodoc.ru/Web/price/art/7934AGNBLHV?analog=on","7934AGNBLHV"))*1</f>
        <v>#VALUE!</v>
      </c>
      <c r="B8477" s="1">
        <v>6964663</v>
      </c>
      <c r="C8477" t="s">
        <v>256</v>
      </c>
      <c r="D8477" t="s">
        <v>8667</v>
      </c>
      <c r="E8477" t="s">
        <v>8</v>
      </c>
    </row>
    <row r="8478" spans="1:5" hidden="1" outlineLevel="2">
      <c r="A8478" s="3" t="e">
        <f>(HYPERLINK("http://www.autodoc.ru/Web/price/art/7934ASMR?analog=on","7934ASMR"))*1</f>
        <v>#VALUE!</v>
      </c>
      <c r="B8478" s="1">
        <v>6102627</v>
      </c>
      <c r="C8478" t="s">
        <v>19</v>
      </c>
      <c r="D8478" t="s">
        <v>8668</v>
      </c>
      <c r="E8478" t="s">
        <v>21</v>
      </c>
    </row>
    <row r="8479" spans="1:5" hidden="1" outlineLevel="1">
      <c r="A8479" s="2">
        <v>0</v>
      </c>
      <c r="B8479" s="26" t="s">
        <v>8669</v>
      </c>
      <c r="C8479" s="27">
        <v>0</v>
      </c>
      <c r="D8479" s="27">
        <v>0</v>
      </c>
      <c r="E8479" s="27">
        <v>0</v>
      </c>
    </row>
    <row r="8480" spans="1:5" hidden="1" outlineLevel="2">
      <c r="A8480" s="3" t="e">
        <f>(HYPERLINK("http://www.autodoc.ru/Web/price/art/7926AGN?analog=on","7926AGN"))*1</f>
        <v>#VALUE!</v>
      </c>
      <c r="B8480" s="1">
        <v>6960815</v>
      </c>
      <c r="C8480" t="s">
        <v>216</v>
      </c>
      <c r="D8480" t="s">
        <v>8670</v>
      </c>
      <c r="E8480" t="s">
        <v>8</v>
      </c>
    </row>
    <row r="8481" spans="1:5" hidden="1" outlineLevel="2">
      <c r="A8481" s="3" t="e">
        <f>(HYPERLINK("http://www.autodoc.ru/Web/price/art/7926AGNV2B?analog=on","7926AGNV2B"))*1</f>
        <v>#VALUE!</v>
      </c>
      <c r="B8481" s="1">
        <v>6961797</v>
      </c>
      <c r="C8481" t="s">
        <v>896</v>
      </c>
      <c r="D8481" t="s">
        <v>8671</v>
      </c>
      <c r="E8481" t="s">
        <v>8</v>
      </c>
    </row>
    <row r="8482" spans="1:5" hidden="1" outlineLevel="2">
      <c r="A8482" s="3" t="e">
        <f>(HYPERLINK("http://www.autodoc.ru/Web/price/art/7926ASMS?analog=on","7926ASMS"))*1</f>
        <v>#VALUE!</v>
      </c>
      <c r="B8482" s="1">
        <v>6101599</v>
      </c>
      <c r="C8482" t="s">
        <v>19</v>
      </c>
      <c r="D8482" t="s">
        <v>8672</v>
      </c>
      <c r="E8482" t="s">
        <v>21</v>
      </c>
    </row>
    <row r="8483" spans="1:5" hidden="1" outlineLevel="2">
      <c r="A8483" s="3" t="e">
        <f>(HYPERLINK("http://www.autodoc.ru/Web/price/art/7926LGNS4FDW?analog=on","7926LGNS4FDW"))*1</f>
        <v>#VALUE!</v>
      </c>
      <c r="B8483" s="1">
        <v>6900001</v>
      </c>
      <c r="C8483" t="s">
        <v>216</v>
      </c>
      <c r="D8483" t="s">
        <v>8673</v>
      </c>
      <c r="E8483" t="s">
        <v>10</v>
      </c>
    </row>
    <row r="8484" spans="1:5" hidden="1" outlineLevel="2">
      <c r="A8484" s="3" t="e">
        <f>(HYPERLINK("http://www.autodoc.ru/Web/price/art/7926LGNS4RD?analog=on","7926LGNS4RD"))*1</f>
        <v>#VALUE!</v>
      </c>
      <c r="B8484" s="1">
        <v>6900192</v>
      </c>
      <c r="C8484" t="s">
        <v>261</v>
      </c>
      <c r="D8484" t="s">
        <v>8674</v>
      </c>
      <c r="E8484" t="s">
        <v>10</v>
      </c>
    </row>
    <row r="8485" spans="1:5" hidden="1" outlineLevel="2">
      <c r="A8485" s="3" t="e">
        <f>(HYPERLINK("http://www.autodoc.ru/Web/price/art/7926RGNS4FD?analog=on","7926RGNS4FD"))*1</f>
        <v>#VALUE!</v>
      </c>
      <c r="B8485" s="1">
        <v>6900090</v>
      </c>
      <c r="C8485" t="s">
        <v>216</v>
      </c>
      <c r="D8485" t="s">
        <v>8675</v>
      </c>
      <c r="E8485" t="s">
        <v>10</v>
      </c>
    </row>
    <row r="8486" spans="1:5" hidden="1" outlineLevel="2">
      <c r="A8486" s="3" t="e">
        <f>(HYPERLINK("http://www.autodoc.ru/Web/price/art/7926RGNS4FDW?analog=on","7926RGNS4FDW"))*1</f>
        <v>#VALUE!</v>
      </c>
      <c r="B8486" s="1">
        <v>6900091</v>
      </c>
      <c r="C8486" t="s">
        <v>216</v>
      </c>
      <c r="D8486" t="s">
        <v>8676</v>
      </c>
      <c r="E8486" t="s">
        <v>10</v>
      </c>
    </row>
    <row r="8487" spans="1:5" hidden="1" outlineLevel="2">
      <c r="A8487" s="3" t="e">
        <f>(HYPERLINK("http://www.autodoc.ru/Web/price/art/7926RGNS4RD?analog=on","7926RGNS4RD"))*1</f>
        <v>#VALUE!</v>
      </c>
      <c r="B8487" s="1">
        <v>6900278</v>
      </c>
      <c r="C8487" t="s">
        <v>261</v>
      </c>
      <c r="D8487" t="s">
        <v>8674</v>
      </c>
      <c r="E8487" t="s">
        <v>10</v>
      </c>
    </row>
    <row r="8488" spans="1:5" hidden="1" outlineLevel="1">
      <c r="A8488" s="2">
        <v>0</v>
      </c>
      <c r="B8488" s="26" t="s">
        <v>8677</v>
      </c>
      <c r="C8488" s="27">
        <v>0</v>
      </c>
      <c r="D8488" s="27">
        <v>0</v>
      </c>
      <c r="E8488" s="27">
        <v>0</v>
      </c>
    </row>
    <row r="8489" spans="1:5" hidden="1" outlineLevel="2">
      <c r="A8489" s="3" t="e">
        <f>(HYPERLINK("http://www.autodoc.ru/Web/price/art/7927AGN?analog=on","7927AGN"))*1</f>
        <v>#VALUE!</v>
      </c>
      <c r="B8489" s="1">
        <v>6962076</v>
      </c>
      <c r="C8489" t="s">
        <v>216</v>
      </c>
      <c r="D8489" t="s">
        <v>8678</v>
      </c>
      <c r="E8489" t="s">
        <v>8</v>
      </c>
    </row>
    <row r="8490" spans="1:5" hidden="1" outlineLevel="2">
      <c r="A8490" s="3" t="e">
        <f>(HYPERLINK("http://www.autodoc.ru/Web/price/art/7927ASMH?analog=on","7927ASMH"))*1</f>
        <v>#VALUE!</v>
      </c>
      <c r="B8490" s="1">
        <v>6102041</v>
      </c>
      <c r="C8490" t="s">
        <v>19</v>
      </c>
      <c r="D8490" t="s">
        <v>8679</v>
      </c>
      <c r="E8490" t="s">
        <v>21</v>
      </c>
    </row>
    <row r="8491" spans="1:5" hidden="1" outlineLevel="2">
      <c r="A8491" s="3" t="e">
        <f>(HYPERLINK("http://www.autodoc.ru/Web/price/art/7927LGNH5FD?analog=on","7927LGNH5FD"))*1</f>
        <v>#VALUE!</v>
      </c>
      <c r="B8491" s="1">
        <v>6900002</v>
      </c>
      <c r="C8491" t="s">
        <v>216</v>
      </c>
      <c r="D8491" t="s">
        <v>8680</v>
      </c>
      <c r="E8491" t="s">
        <v>10</v>
      </c>
    </row>
    <row r="8492" spans="1:5" hidden="1" outlineLevel="2">
      <c r="A8492" s="3" t="e">
        <f>(HYPERLINK("http://www.autodoc.ru/Web/price/art/7927LGNH5RDW?analog=on","7927LGNH5RDW"))*1</f>
        <v>#VALUE!</v>
      </c>
      <c r="B8492" s="1">
        <v>6900193</v>
      </c>
      <c r="C8492" t="s">
        <v>216</v>
      </c>
      <c r="D8492" t="s">
        <v>8681</v>
      </c>
      <c r="E8492" t="s">
        <v>10</v>
      </c>
    </row>
    <row r="8493" spans="1:5" hidden="1" outlineLevel="2">
      <c r="A8493" s="3" t="e">
        <f>(HYPERLINK("http://www.autodoc.ru/Web/price/art/7927RGNH5FDW?analog=on","7927RGNH5FDW"))*1</f>
        <v>#VALUE!</v>
      </c>
      <c r="B8493" s="1">
        <v>6900092</v>
      </c>
      <c r="C8493" t="s">
        <v>216</v>
      </c>
      <c r="D8493" t="s">
        <v>8676</v>
      </c>
      <c r="E8493" t="s">
        <v>10</v>
      </c>
    </row>
    <row r="8494" spans="1:5" hidden="1" outlineLevel="2">
      <c r="A8494" s="3" t="e">
        <f>(HYPERLINK("http://www.autodoc.ru/Web/price/art/7927RGNH5RDW?analog=on","7927RGNH5RDW"))*1</f>
        <v>#VALUE!</v>
      </c>
      <c r="B8494" s="1">
        <v>6900200</v>
      </c>
      <c r="C8494" t="s">
        <v>216</v>
      </c>
      <c r="D8494" t="s">
        <v>8682</v>
      </c>
      <c r="E8494" t="s">
        <v>10</v>
      </c>
    </row>
    <row r="8495" spans="1:5" hidden="1" outlineLevel="1">
      <c r="A8495" s="2">
        <v>0</v>
      </c>
      <c r="B8495" s="26" t="s">
        <v>8683</v>
      </c>
      <c r="C8495" s="27">
        <v>0</v>
      </c>
      <c r="D8495" s="27">
        <v>0</v>
      </c>
      <c r="E8495" s="27">
        <v>0</v>
      </c>
    </row>
    <row r="8496" spans="1:5" hidden="1" outlineLevel="2">
      <c r="A8496" s="3" t="e">
        <f>(HYPERLINK("http://www.autodoc.ru/Web/price/art/7932AGN?analog=on","7932AGN"))*1</f>
        <v>#VALUE!</v>
      </c>
      <c r="B8496" s="1">
        <v>6962825</v>
      </c>
      <c r="C8496" t="s">
        <v>672</v>
      </c>
      <c r="D8496" t="s">
        <v>8684</v>
      </c>
      <c r="E8496" t="s">
        <v>8</v>
      </c>
    </row>
    <row r="8497" spans="1:5" hidden="1" outlineLevel="2">
      <c r="A8497" s="3" t="e">
        <f>(HYPERLINK("http://www.autodoc.ru/Web/price/art/7932AGNV?analog=on","7932AGNV"))*1</f>
        <v>#VALUE!</v>
      </c>
      <c r="B8497" s="1">
        <v>6964671</v>
      </c>
      <c r="C8497" t="s">
        <v>19</v>
      </c>
      <c r="D8497" t="s">
        <v>8685</v>
      </c>
      <c r="E8497" t="s">
        <v>8</v>
      </c>
    </row>
    <row r="8498" spans="1:5" hidden="1" outlineLevel="2">
      <c r="A8498" s="3" t="e">
        <f>(HYPERLINK("http://www.autodoc.ru/Web/price/art/7932AGNHV?analog=on","7932AGNHV"))*1</f>
        <v>#VALUE!</v>
      </c>
      <c r="B8498" s="1">
        <v>6964759</v>
      </c>
      <c r="C8498" t="s">
        <v>19</v>
      </c>
      <c r="D8498" t="s">
        <v>8686</v>
      </c>
      <c r="E8498" t="s">
        <v>8</v>
      </c>
    </row>
    <row r="8499" spans="1:5" hidden="1" outlineLevel="1">
      <c r="A8499" s="2">
        <v>0</v>
      </c>
      <c r="B8499" s="26" t="s">
        <v>8687</v>
      </c>
      <c r="C8499" s="27">
        <v>0</v>
      </c>
      <c r="D8499" s="27">
        <v>0</v>
      </c>
      <c r="E8499" s="27">
        <v>0</v>
      </c>
    </row>
    <row r="8500" spans="1:5" hidden="1" outlineLevel="2">
      <c r="A8500" s="3" t="e">
        <f>(HYPERLINK("http://www.autodoc.ru/Web/price/art/7915ABL?analog=on","7915ABL"))*1</f>
        <v>#VALUE!</v>
      </c>
      <c r="B8500" s="1">
        <v>6963406</v>
      </c>
      <c r="C8500" t="s">
        <v>1785</v>
      </c>
      <c r="D8500" t="s">
        <v>8688</v>
      </c>
      <c r="E8500" t="s">
        <v>8</v>
      </c>
    </row>
    <row r="8501" spans="1:5" hidden="1" outlineLevel="2">
      <c r="A8501" s="3" t="e">
        <f>(HYPERLINK("http://www.autodoc.ru/Web/price/art/7915ABLBL?analog=on","7915ABLBL"))*1</f>
        <v>#VALUE!</v>
      </c>
      <c r="B8501" s="1">
        <v>6963953</v>
      </c>
      <c r="C8501" t="s">
        <v>1785</v>
      </c>
      <c r="D8501" t="s">
        <v>8689</v>
      </c>
      <c r="E8501" t="s">
        <v>8</v>
      </c>
    </row>
    <row r="8502" spans="1:5" hidden="1" outlineLevel="2">
      <c r="A8502" s="3" t="e">
        <f>(HYPERLINK("http://www.autodoc.ru/Web/price/art/7915AGN?analog=on","7915AGN"))*1</f>
        <v>#VALUE!</v>
      </c>
      <c r="B8502" s="1">
        <v>6963276</v>
      </c>
      <c r="C8502" t="s">
        <v>1785</v>
      </c>
      <c r="D8502" t="s">
        <v>8690</v>
      </c>
      <c r="E8502" t="s">
        <v>8</v>
      </c>
    </row>
    <row r="8503" spans="1:5" hidden="1" outlineLevel="2">
      <c r="A8503" s="3" t="e">
        <f>(HYPERLINK("http://www.autodoc.ru/Web/price/art/7915AGNBL?analog=on","7915AGNBL"))*1</f>
        <v>#VALUE!</v>
      </c>
      <c r="B8503" s="1">
        <v>6961002</v>
      </c>
      <c r="C8503" t="s">
        <v>1785</v>
      </c>
      <c r="D8503" t="s">
        <v>8691</v>
      </c>
      <c r="E8503" t="s">
        <v>8</v>
      </c>
    </row>
    <row r="8504" spans="1:5" hidden="1" outlineLevel="2">
      <c r="A8504" s="3" t="e">
        <f>(HYPERLINK("http://www.autodoc.ru/Web/price/art/7915AGNGN?analog=on","7915AGNGN"))*1</f>
        <v>#VALUE!</v>
      </c>
      <c r="B8504" s="1">
        <v>6961004</v>
      </c>
      <c r="C8504" t="s">
        <v>1785</v>
      </c>
      <c r="D8504" t="s">
        <v>8692</v>
      </c>
      <c r="E8504" t="s">
        <v>8</v>
      </c>
    </row>
    <row r="8505" spans="1:5" hidden="1" outlineLevel="2">
      <c r="A8505" s="3" t="e">
        <f>(HYPERLINK("http://www.autodoc.ru/Web/price/art/7915ASMHT?analog=on","7915ASMHT"))*1</f>
        <v>#VALUE!</v>
      </c>
      <c r="B8505" s="1">
        <v>6100212</v>
      </c>
      <c r="C8505" t="s">
        <v>19</v>
      </c>
      <c r="D8505" t="s">
        <v>8693</v>
      </c>
      <c r="E8505" t="s">
        <v>21</v>
      </c>
    </row>
    <row r="8506" spans="1:5" hidden="1" outlineLevel="2">
      <c r="A8506" s="3" t="e">
        <f>(HYPERLINK("http://www.autodoc.ru/Web/price/art/7915LBLH5FD?analog=on","7915LBLH5FD"))*1</f>
        <v>#VALUE!</v>
      </c>
      <c r="B8506" s="1">
        <v>6999423</v>
      </c>
      <c r="C8506" t="s">
        <v>1785</v>
      </c>
      <c r="D8506" t="s">
        <v>8694</v>
      </c>
      <c r="E8506" t="s">
        <v>10</v>
      </c>
    </row>
    <row r="8507" spans="1:5" hidden="1" outlineLevel="2">
      <c r="A8507" s="3" t="e">
        <f>(HYPERLINK("http://www.autodoc.ru/Web/price/art/7915RBLH5FD?analog=on","7915RBLH5FD"))*1</f>
        <v>#VALUE!</v>
      </c>
      <c r="B8507" s="1">
        <v>6999424</v>
      </c>
      <c r="C8507" t="s">
        <v>1785</v>
      </c>
      <c r="D8507" t="s">
        <v>8695</v>
      </c>
      <c r="E8507" t="s">
        <v>10</v>
      </c>
    </row>
    <row r="8508" spans="1:5" hidden="1" outlineLevel="1">
      <c r="A8508" s="2">
        <v>0</v>
      </c>
      <c r="B8508" s="26" t="s">
        <v>8696</v>
      </c>
      <c r="C8508" s="27">
        <v>0</v>
      </c>
      <c r="D8508" s="27">
        <v>0</v>
      </c>
      <c r="E8508" s="27">
        <v>0</v>
      </c>
    </row>
    <row r="8509" spans="1:5" hidden="1" outlineLevel="2">
      <c r="A8509" s="3" t="e">
        <f>(HYPERLINK("http://www.autodoc.ru/Web/price/art/7905ABL?analog=on","7905ABL"))*1</f>
        <v>#VALUE!</v>
      </c>
      <c r="B8509" s="1">
        <v>6963668</v>
      </c>
      <c r="C8509" t="s">
        <v>3186</v>
      </c>
      <c r="D8509" t="s">
        <v>8697</v>
      </c>
      <c r="E8509" t="s">
        <v>8</v>
      </c>
    </row>
    <row r="8510" spans="1:5" hidden="1" outlineLevel="2">
      <c r="A8510" s="3" t="e">
        <f>(HYPERLINK("http://www.autodoc.ru/Web/price/art/7905ACL?analog=on","7905ACL"))*1</f>
        <v>#VALUE!</v>
      </c>
      <c r="B8510" s="1">
        <v>6963579</v>
      </c>
      <c r="C8510" t="s">
        <v>3186</v>
      </c>
      <c r="D8510" t="s">
        <v>8698</v>
      </c>
      <c r="E8510" t="s">
        <v>8</v>
      </c>
    </row>
    <row r="8511" spans="1:5" hidden="1" outlineLevel="1">
      <c r="A8511" s="2">
        <v>0</v>
      </c>
      <c r="B8511" s="26" t="s">
        <v>8699</v>
      </c>
      <c r="C8511" s="27">
        <v>0</v>
      </c>
      <c r="D8511" s="27">
        <v>0</v>
      </c>
      <c r="E8511" s="27">
        <v>0</v>
      </c>
    </row>
    <row r="8512" spans="1:5" hidden="1" outlineLevel="2">
      <c r="A8512" s="3" t="e">
        <f>(HYPERLINK("http://www.autodoc.ru/Web/price/art/7911ABL?analog=on","7911ABL"))*1</f>
        <v>#VALUE!</v>
      </c>
      <c r="B8512" s="1">
        <v>6964111</v>
      </c>
      <c r="C8512" t="s">
        <v>2563</v>
      </c>
      <c r="D8512" t="s">
        <v>8700</v>
      </c>
      <c r="E8512" t="s">
        <v>8</v>
      </c>
    </row>
    <row r="8513" spans="1:5" hidden="1" outlineLevel="2">
      <c r="A8513" s="3" t="e">
        <f>(HYPERLINK("http://www.autodoc.ru/Web/price/art/7911LBLH5FD?analog=on","7911LBLH5FD"))*1</f>
        <v>#VALUE!</v>
      </c>
      <c r="B8513" s="1">
        <v>6900003</v>
      </c>
      <c r="C8513" t="s">
        <v>2563</v>
      </c>
      <c r="D8513" t="s">
        <v>8701</v>
      </c>
      <c r="E8513" t="s">
        <v>10</v>
      </c>
    </row>
    <row r="8514" spans="1:5" hidden="1" outlineLevel="2">
      <c r="A8514" s="3" t="e">
        <f>(HYPERLINK("http://www.autodoc.ru/Web/price/art/7911RBLH5FD?analog=on","7911RBLH5FD"))*1</f>
        <v>#VALUE!</v>
      </c>
      <c r="B8514" s="1">
        <v>6900093</v>
      </c>
      <c r="C8514" t="s">
        <v>2563</v>
      </c>
      <c r="D8514" t="s">
        <v>8702</v>
      </c>
      <c r="E8514" t="s">
        <v>10</v>
      </c>
    </row>
    <row r="8515" spans="1:5" hidden="1" outlineLevel="1">
      <c r="A8515" s="2">
        <v>0</v>
      </c>
      <c r="B8515" s="26" t="s">
        <v>8703</v>
      </c>
      <c r="C8515" s="27">
        <v>0</v>
      </c>
      <c r="D8515" s="27">
        <v>0</v>
      </c>
      <c r="E8515" s="27">
        <v>0</v>
      </c>
    </row>
    <row r="8516" spans="1:5" hidden="1" outlineLevel="2">
      <c r="A8516" s="3" t="e">
        <f>(HYPERLINK("http://www.autodoc.ru/Web/price/art/7921ABL?analog=on","7921ABL"))*1</f>
        <v>#VALUE!</v>
      </c>
      <c r="B8516" s="1">
        <v>6190519</v>
      </c>
      <c r="C8516" t="s">
        <v>240</v>
      </c>
      <c r="D8516" t="s">
        <v>8704</v>
      </c>
      <c r="E8516" t="s">
        <v>8</v>
      </c>
    </row>
    <row r="8517" spans="1:5" hidden="1" outlineLevel="2">
      <c r="A8517" s="3" t="e">
        <f>(HYPERLINK("http://www.autodoc.ru/Web/price/art/7921ABLBL?analog=on","7921ABLBL"))*1</f>
        <v>#VALUE!</v>
      </c>
      <c r="B8517" s="1">
        <v>6190520</v>
      </c>
      <c r="C8517" t="s">
        <v>240</v>
      </c>
      <c r="D8517" t="s">
        <v>8705</v>
      </c>
      <c r="E8517" t="s">
        <v>8</v>
      </c>
    </row>
    <row r="8518" spans="1:5" hidden="1" outlineLevel="2">
      <c r="A8518" s="3" t="e">
        <f>(HYPERLINK("http://www.autodoc.ru/Web/price/art/7921ACL?analog=on","7921ACL"))*1</f>
        <v>#VALUE!</v>
      </c>
      <c r="B8518" s="1">
        <v>6190522</v>
      </c>
      <c r="C8518" t="s">
        <v>240</v>
      </c>
      <c r="D8518" t="s">
        <v>8706</v>
      </c>
      <c r="E8518" t="s">
        <v>8</v>
      </c>
    </row>
    <row r="8519" spans="1:5" hidden="1" outlineLevel="2">
      <c r="A8519" s="3" t="e">
        <f>(HYPERLINK("http://www.autodoc.ru/Web/price/art/7921BBLH?analog=on","7921BBLH"))*1</f>
        <v>#VALUE!</v>
      </c>
      <c r="B8519" s="1">
        <v>6190524</v>
      </c>
      <c r="C8519" t="s">
        <v>240</v>
      </c>
      <c r="D8519" t="s">
        <v>8707</v>
      </c>
      <c r="E8519" t="s">
        <v>23</v>
      </c>
    </row>
    <row r="8520" spans="1:5" hidden="1" outlineLevel="2">
      <c r="A8520" s="3" t="e">
        <f>(HYPERLINK("http://www.autodoc.ru/Web/price/art/7921BCLH?analog=on","7921BCLH"))*1</f>
        <v>#VALUE!</v>
      </c>
      <c r="B8520" s="1">
        <v>6190525</v>
      </c>
      <c r="C8520" t="s">
        <v>240</v>
      </c>
      <c r="D8520" t="s">
        <v>8708</v>
      </c>
      <c r="E8520" t="s">
        <v>23</v>
      </c>
    </row>
    <row r="8521" spans="1:5" hidden="1" outlineLevel="2">
      <c r="A8521" s="3" t="e">
        <f>(HYPERLINK("http://www.autodoc.ru/Web/price/art/7921LBLH3FD?analog=on","7921LBLH3FD"))*1</f>
        <v>#VALUE!</v>
      </c>
      <c r="B8521" s="1">
        <v>6190526</v>
      </c>
      <c r="C8521" t="s">
        <v>240</v>
      </c>
      <c r="D8521" t="s">
        <v>8709</v>
      </c>
      <c r="E8521" t="s">
        <v>10</v>
      </c>
    </row>
    <row r="8522" spans="1:5" hidden="1" outlineLevel="2">
      <c r="A8522" s="3" t="e">
        <f>(HYPERLINK("http://www.autodoc.ru/Web/price/art/7921LBLH3RQO?analog=on","7921LBLH3RQO"))*1</f>
        <v>#VALUE!</v>
      </c>
      <c r="B8522" s="1">
        <v>6190527</v>
      </c>
      <c r="C8522" t="s">
        <v>240</v>
      </c>
      <c r="D8522" t="s">
        <v>8710</v>
      </c>
      <c r="E8522" t="s">
        <v>10</v>
      </c>
    </row>
    <row r="8523" spans="1:5" hidden="1" outlineLevel="2">
      <c r="A8523" s="3" t="e">
        <f>(HYPERLINK("http://www.autodoc.ru/Web/price/art/7921LCLH3FD?analog=on","7921LCLH3FD"))*1</f>
        <v>#VALUE!</v>
      </c>
      <c r="B8523" s="1">
        <v>6190528</v>
      </c>
      <c r="C8523" t="s">
        <v>240</v>
      </c>
      <c r="D8523" t="s">
        <v>8711</v>
      </c>
      <c r="E8523" t="s">
        <v>10</v>
      </c>
    </row>
    <row r="8524" spans="1:5" hidden="1" outlineLevel="2">
      <c r="A8524" s="3" t="e">
        <f>(HYPERLINK("http://www.autodoc.ru/Web/price/art/7921RBLH3FD?analog=on","7921RBLH3FD"))*1</f>
        <v>#VALUE!</v>
      </c>
      <c r="B8524" s="1">
        <v>6190530</v>
      </c>
      <c r="C8524" t="s">
        <v>240</v>
      </c>
      <c r="D8524" t="s">
        <v>8712</v>
      </c>
      <c r="E8524" t="s">
        <v>10</v>
      </c>
    </row>
    <row r="8525" spans="1:5" hidden="1" outlineLevel="2">
      <c r="A8525" s="3" t="e">
        <f>(HYPERLINK("http://www.autodoc.ru/Web/price/art/7921RBLH3RQO?analog=on","7921RBLH3RQO"))*1</f>
        <v>#VALUE!</v>
      </c>
      <c r="B8525" s="1">
        <v>6190531</v>
      </c>
      <c r="C8525" t="s">
        <v>240</v>
      </c>
      <c r="D8525" t="s">
        <v>8713</v>
      </c>
      <c r="E8525" t="s">
        <v>10</v>
      </c>
    </row>
    <row r="8526" spans="1:5" hidden="1" outlineLevel="2">
      <c r="A8526" s="3" t="e">
        <f>(HYPERLINK("http://www.autodoc.ru/Web/price/art/7921RCLH3FD?analog=on","7921RCLH3FD"))*1</f>
        <v>#VALUE!</v>
      </c>
      <c r="B8526" s="1">
        <v>6190532</v>
      </c>
      <c r="C8526" t="s">
        <v>240</v>
      </c>
      <c r="D8526" t="s">
        <v>8714</v>
      </c>
      <c r="E8526" t="s">
        <v>10</v>
      </c>
    </row>
    <row r="8527" spans="1:5" hidden="1" outlineLevel="1">
      <c r="A8527" s="2">
        <v>0</v>
      </c>
      <c r="B8527" s="26" t="s">
        <v>8715</v>
      </c>
      <c r="C8527" s="27">
        <v>0</v>
      </c>
      <c r="D8527" s="27">
        <v>0</v>
      </c>
      <c r="E8527" s="27">
        <v>0</v>
      </c>
    </row>
    <row r="8528" spans="1:5" hidden="1" outlineLevel="2">
      <c r="A8528" s="3" t="e">
        <f>(HYPERLINK("http://www.autodoc.ru/Web/price/art/7922ABL?analog=on","7922ABL"))*1</f>
        <v>#VALUE!</v>
      </c>
      <c r="B8528" s="1">
        <v>6190534</v>
      </c>
      <c r="C8528" t="s">
        <v>1173</v>
      </c>
      <c r="D8528" t="s">
        <v>8716</v>
      </c>
      <c r="E8528" t="s">
        <v>8</v>
      </c>
    </row>
    <row r="8529" spans="1:5" hidden="1" outlineLevel="2">
      <c r="A8529" s="3" t="e">
        <f>(HYPERLINK("http://www.autodoc.ru/Web/price/art/7922ACL?analog=on","7922ACL"))*1</f>
        <v>#VALUE!</v>
      </c>
      <c r="B8529" s="1">
        <v>6190536</v>
      </c>
      <c r="C8529" t="s">
        <v>1173</v>
      </c>
      <c r="D8529" t="s">
        <v>8717</v>
      </c>
      <c r="E8529" t="s">
        <v>8</v>
      </c>
    </row>
    <row r="8530" spans="1:5" hidden="1" outlineLevel="2">
      <c r="A8530" s="3" t="e">
        <f>(HYPERLINK("http://www.autodoc.ru/Web/price/art/7922BBLH?analog=on","7922BBLH"))*1</f>
        <v>#VALUE!</v>
      </c>
      <c r="B8530" s="1">
        <v>6190537</v>
      </c>
      <c r="C8530" t="s">
        <v>1173</v>
      </c>
      <c r="D8530" t="s">
        <v>8718</v>
      </c>
      <c r="E8530" t="s">
        <v>23</v>
      </c>
    </row>
    <row r="8531" spans="1:5" hidden="1" outlineLevel="2">
      <c r="A8531" s="3" t="e">
        <f>(HYPERLINK("http://www.autodoc.ru/Web/price/art/7922LBLH5FD?analog=on","7922LBLH5FD"))*1</f>
        <v>#VALUE!</v>
      </c>
      <c r="B8531" s="1">
        <v>6190539</v>
      </c>
      <c r="C8531" t="s">
        <v>1173</v>
      </c>
      <c r="D8531" t="s">
        <v>8719</v>
      </c>
      <c r="E8531" t="s">
        <v>10</v>
      </c>
    </row>
    <row r="8532" spans="1:5" hidden="1" outlineLevel="2">
      <c r="A8532" s="3" t="e">
        <f>(HYPERLINK("http://www.autodoc.ru/Web/price/art/7922LBLH5RQ?analog=on","7922LBLH5RQ"))*1</f>
        <v>#VALUE!</v>
      </c>
      <c r="B8532" s="1">
        <v>6190541</v>
      </c>
      <c r="C8532" t="s">
        <v>1173</v>
      </c>
      <c r="D8532" t="s">
        <v>8720</v>
      </c>
      <c r="E8532" t="s">
        <v>10</v>
      </c>
    </row>
    <row r="8533" spans="1:5" hidden="1" outlineLevel="2">
      <c r="A8533" s="3" t="e">
        <f>(HYPERLINK("http://www.autodoc.ru/Web/price/art/7922LCLH5FD?analog=on","7922LCLH5FD"))*1</f>
        <v>#VALUE!</v>
      </c>
      <c r="B8533" s="1">
        <v>6190543</v>
      </c>
      <c r="C8533" t="s">
        <v>1173</v>
      </c>
      <c r="D8533" t="s">
        <v>8721</v>
      </c>
      <c r="E8533" t="s">
        <v>10</v>
      </c>
    </row>
    <row r="8534" spans="1:5" hidden="1" outlineLevel="2">
      <c r="A8534" s="3" t="e">
        <f>(HYPERLINK("http://www.autodoc.ru/Web/price/art/7922RBLH5RQ?analog=on","7922RBLH5RQ"))*1</f>
        <v>#VALUE!</v>
      </c>
      <c r="B8534" s="1">
        <v>6190549</v>
      </c>
      <c r="C8534" t="s">
        <v>1173</v>
      </c>
      <c r="D8534" t="s">
        <v>8722</v>
      </c>
      <c r="E8534" t="s">
        <v>10</v>
      </c>
    </row>
    <row r="8535" spans="1:5" hidden="1" outlineLevel="2">
      <c r="A8535" s="3" t="e">
        <f>(HYPERLINK("http://www.autodoc.ru/Web/price/art/7922RCLH5FD?analog=on","7922RCLH5FD"))*1</f>
        <v>#VALUE!</v>
      </c>
      <c r="B8535" s="1">
        <v>6190551</v>
      </c>
      <c r="C8535" t="s">
        <v>1173</v>
      </c>
      <c r="D8535" t="s">
        <v>8723</v>
      </c>
      <c r="E8535" t="s">
        <v>10</v>
      </c>
    </row>
    <row r="8536" spans="1:5" hidden="1" outlineLevel="1">
      <c r="A8536" s="2">
        <v>0</v>
      </c>
      <c r="B8536" s="26" t="s">
        <v>8724</v>
      </c>
      <c r="C8536" s="27">
        <v>0</v>
      </c>
      <c r="D8536" s="27">
        <v>0</v>
      </c>
      <c r="E8536" s="27">
        <v>0</v>
      </c>
    </row>
    <row r="8537" spans="1:5" hidden="1" outlineLevel="2">
      <c r="A8537" s="3" t="e">
        <f>(HYPERLINK("http://www.autodoc.ru/Web/price/art/7930AGN?analog=on","7930AGN"))*1</f>
        <v>#VALUE!</v>
      </c>
      <c r="B8537" s="1">
        <v>6190555</v>
      </c>
      <c r="C8537" t="s">
        <v>879</v>
      </c>
      <c r="D8537" t="s">
        <v>8725</v>
      </c>
      <c r="E8537" t="s">
        <v>8</v>
      </c>
    </row>
    <row r="8538" spans="1:5" hidden="1" outlineLevel="2">
      <c r="A8538" s="3" t="e">
        <f>(HYPERLINK("http://www.autodoc.ru/Web/price/art/7930LGNH5FD?analog=on","7930LGNH5FD"))*1</f>
        <v>#VALUE!</v>
      </c>
      <c r="B8538" s="1">
        <v>6900004</v>
      </c>
      <c r="C8538" t="s">
        <v>879</v>
      </c>
      <c r="D8538" t="s">
        <v>8726</v>
      </c>
      <c r="E8538" t="s">
        <v>10</v>
      </c>
    </row>
    <row r="8539" spans="1:5" hidden="1" outlineLevel="2">
      <c r="A8539" s="3" t="e">
        <f>(HYPERLINK("http://www.autodoc.ru/Web/price/art/7930LGNH5RD?analog=on","7930LGNH5RD"))*1</f>
        <v>#VALUE!</v>
      </c>
      <c r="B8539" s="1">
        <v>6900194</v>
      </c>
      <c r="C8539" t="s">
        <v>879</v>
      </c>
      <c r="D8539" t="s">
        <v>8727</v>
      </c>
      <c r="E8539" t="s">
        <v>10</v>
      </c>
    </row>
    <row r="8540" spans="1:5" hidden="1" outlineLevel="2">
      <c r="A8540" s="3" t="e">
        <f>(HYPERLINK("http://www.autodoc.ru/Web/price/art/7930RGNH5FD?analog=on","7930RGNH5FD"))*1</f>
        <v>#VALUE!</v>
      </c>
      <c r="B8540" s="1">
        <v>6900094</v>
      </c>
      <c r="C8540" t="s">
        <v>879</v>
      </c>
      <c r="D8540" t="s">
        <v>8728</v>
      </c>
      <c r="E8540" t="s">
        <v>10</v>
      </c>
    </row>
    <row r="8541" spans="1:5" hidden="1" outlineLevel="2">
      <c r="A8541" s="3" t="e">
        <f>(HYPERLINK("http://www.autodoc.ru/Web/price/art/7930RGNH5RD?analog=on","7930RGNH5RD"))*1</f>
        <v>#VALUE!</v>
      </c>
      <c r="B8541" s="1">
        <v>6900279</v>
      </c>
      <c r="C8541" t="s">
        <v>879</v>
      </c>
      <c r="D8541" t="s">
        <v>8729</v>
      </c>
      <c r="E8541" t="s">
        <v>10</v>
      </c>
    </row>
    <row r="8542" spans="1:5" hidden="1" outlineLevel="1">
      <c r="A8542" s="2">
        <v>0</v>
      </c>
      <c r="B8542" s="26" t="s">
        <v>8730</v>
      </c>
      <c r="C8542" s="27">
        <v>0</v>
      </c>
      <c r="D8542" s="27">
        <v>0</v>
      </c>
      <c r="E8542" s="27">
        <v>0</v>
      </c>
    </row>
    <row r="8543" spans="1:5" hidden="1" outlineLevel="2">
      <c r="A8543" s="3" t="e">
        <f>(HYPERLINK("http://www.autodoc.ru/Web/price/art/7912ABL?analog=on","7912ABL"))*1</f>
        <v>#VALUE!</v>
      </c>
      <c r="B8543" s="1">
        <v>6961441</v>
      </c>
      <c r="C8543" t="s">
        <v>1141</v>
      </c>
      <c r="D8543" t="s">
        <v>8731</v>
      </c>
      <c r="E8543" t="s">
        <v>8</v>
      </c>
    </row>
    <row r="8544" spans="1:5" hidden="1" outlineLevel="2">
      <c r="A8544" s="3" t="e">
        <f>(HYPERLINK("http://www.autodoc.ru/Web/price/art/7912AKCST?analog=on","7912AKCST"))*1</f>
        <v>#VALUE!</v>
      </c>
      <c r="B8544" s="1">
        <v>6101049</v>
      </c>
      <c r="C8544" t="s">
        <v>19</v>
      </c>
      <c r="D8544" t="s">
        <v>8732</v>
      </c>
      <c r="E8544" t="s">
        <v>21</v>
      </c>
    </row>
    <row r="8545" spans="1:5" hidden="1" outlineLevel="2">
      <c r="A8545" s="3" t="e">
        <f>(HYPERLINK("http://www.autodoc.ru/Web/price/art/7912ASMST?analog=on","7912ASMST"))*1</f>
        <v>#VALUE!</v>
      </c>
      <c r="B8545" s="1">
        <v>6100211</v>
      </c>
      <c r="C8545" t="s">
        <v>19</v>
      </c>
      <c r="D8545" t="s">
        <v>8733</v>
      </c>
      <c r="E8545" t="s">
        <v>21</v>
      </c>
    </row>
    <row r="8546" spans="1:5" hidden="1" outlineLevel="2">
      <c r="A8546" s="3" t="e">
        <f>(HYPERLINK("http://www.autodoc.ru/Web/price/art/7912BBLS?analog=on","7912BBLS"))*1</f>
        <v>#VALUE!</v>
      </c>
      <c r="B8546" s="1">
        <v>6998977</v>
      </c>
      <c r="C8546" t="s">
        <v>1141</v>
      </c>
      <c r="D8546" t="s">
        <v>8734</v>
      </c>
      <c r="E8546" t="s">
        <v>23</v>
      </c>
    </row>
    <row r="8547" spans="1:5" hidden="1" outlineLevel="2">
      <c r="A8547" s="3" t="e">
        <f>(HYPERLINK("http://www.autodoc.ru/Web/price/art/7912LBLS4FD?analog=on","7912LBLS4FD"))*1</f>
        <v>#VALUE!</v>
      </c>
      <c r="B8547" s="1">
        <v>6999185</v>
      </c>
      <c r="C8547" t="s">
        <v>1141</v>
      </c>
      <c r="D8547" t="s">
        <v>8735</v>
      </c>
      <c r="E8547" t="s">
        <v>10</v>
      </c>
    </row>
    <row r="8548" spans="1:5" hidden="1" outlineLevel="2">
      <c r="A8548" s="3" t="e">
        <f>(HYPERLINK("http://www.autodoc.ru/Web/price/art/7912LBLS4RD?analog=on","7912LBLS4RD"))*1</f>
        <v>#VALUE!</v>
      </c>
      <c r="B8548" s="1">
        <v>6999186</v>
      </c>
      <c r="C8548" t="s">
        <v>1141</v>
      </c>
      <c r="D8548" t="s">
        <v>8736</v>
      </c>
      <c r="E8548" t="s">
        <v>10</v>
      </c>
    </row>
    <row r="8549" spans="1:5" hidden="1" outlineLevel="2">
      <c r="A8549" s="3" t="e">
        <f>(HYPERLINK("http://www.autodoc.ru/Web/price/art/7912LBLS4RQ?analog=on","7912LBLS4RQ"))*1</f>
        <v>#VALUE!</v>
      </c>
      <c r="B8549" s="1">
        <v>6999187</v>
      </c>
      <c r="C8549" t="s">
        <v>1141</v>
      </c>
      <c r="D8549" t="s">
        <v>8737</v>
      </c>
      <c r="E8549" t="s">
        <v>10</v>
      </c>
    </row>
    <row r="8550" spans="1:5" hidden="1" outlineLevel="2">
      <c r="A8550" s="3" t="e">
        <f>(HYPERLINK("http://www.autodoc.ru/Web/price/art/7912RBLS4FD?analog=on","7912RBLS4FD"))*1</f>
        <v>#VALUE!</v>
      </c>
      <c r="B8550" s="1">
        <v>6999188</v>
      </c>
      <c r="C8550" t="s">
        <v>1141</v>
      </c>
      <c r="D8550" t="s">
        <v>8738</v>
      </c>
      <c r="E8550" t="s">
        <v>10</v>
      </c>
    </row>
    <row r="8551" spans="1:5" hidden="1" outlineLevel="2">
      <c r="A8551" s="3" t="e">
        <f>(HYPERLINK("http://www.autodoc.ru/Web/price/art/7912RBLS4RD?analog=on","7912RBLS4RD"))*1</f>
        <v>#VALUE!</v>
      </c>
      <c r="B8551" s="1">
        <v>6999189</v>
      </c>
      <c r="C8551" t="s">
        <v>1141</v>
      </c>
      <c r="D8551" t="s">
        <v>8739</v>
      </c>
      <c r="E8551" t="s">
        <v>10</v>
      </c>
    </row>
    <row r="8552" spans="1:5" hidden="1" outlineLevel="2">
      <c r="A8552" s="3" t="e">
        <f>(HYPERLINK("http://www.autodoc.ru/Web/price/art/7912RBLS4RQ?analog=on","7912RBLS4RQ"))*1</f>
        <v>#VALUE!</v>
      </c>
      <c r="B8552" s="1">
        <v>6999190</v>
      </c>
      <c r="C8552" t="s">
        <v>1141</v>
      </c>
      <c r="D8552" t="s">
        <v>8740</v>
      </c>
      <c r="E8552" t="s">
        <v>10</v>
      </c>
    </row>
    <row r="8553" spans="1:5" hidden="1" outlineLevel="1">
      <c r="A8553" s="2">
        <v>0</v>
      </c>
      <c r="B8553" s="26" t="s">
        <v>8741</v>
      </c>
      <c r="C8553" s="27">
        <v>0</v>
      </c>
      <c r="D8553" s="27">
        <v>0</v>
      </c>
      <c r="E8553" s="27">
        <v>0</v>
      </c>
    </row>
    <row r="8554" spans="1:5" hidden="1" outlineLevel="2">
      <c r="A8554" s="3" t="e">
        <f>(HYPERLINK("http://www.autodoc.ru/Web/price/art/7919AGN?analog=on","7919AGN"))*1</f>
        <v>#VALUE!</v>
      </c>
      <c r="B8554" s="1">
        <v>6963407</v>
      </c>
      <c r="C8554" t="s">
        <v>499</v>
      </c>
      <c r="D8554" t="s">
        <v>8742</v>
      </c>
      <c r="E8554" t="s">
        <v>8</v>
      </c>
    </row>
    <row r="8555" spans="1:5" hidden="1" outlineLevel="2">
      <c r="A8555" s="3" t="e">
        <f>(HYPERLINK("http://www.autodoc.ru/Web/price/art/7919AGNBL?analog=on","7919AGNBL"))*1</f>
        <v>#VALUE!</v>
      </c>
      <c r="B8555" s="1">
        <v>6963408</v>
      </c>
      <c r="C8555" t="s">
        <v>499</v>
      </c>
      <c r="D8555" t="s">
        <v>8743</v>
      </c>
      <c r="E8555" t="s">
        <v>8</v>
      </c>
    </row>
    <row r="8556" spans="1:5" hidden="1" outlineLevel="2">
      <c r="A8556" s="3" t="e">
        <f>(HYPERLINK("http://www.autodoc.ru/Web/price/art/7919AKCS?analog=on","7919AKCS"))*1</f>
        <v>#VALUE!</v>
      </c>
      <c r="B8556" s="1">
        <v>6101120</v>
      </c>
      <c r="C8556" t="s">
        <v>19</v>
      </c>
      <c r="D8556" t="s">
        <v>8744</v>
      </c>
      <c r="E8556" t="s">
        <v>21</v>
      </c>
    </row>
    <row r="8557" spans="1:5" hidden="1" outlineLevel="2">
      <c r="A8557" s="3" t="e">
        <f>(HYPERLINK("http://www.autodoc.ru/Web/price/art/7919ASMST?analog=on","7919ASMST"))*1</f>
        <v>#VALUE!</v>
      </c>
      <c r="B8557" s="1">
        <v>6100213</v>
      </c>
      <c r="C8557" t="s">
        <v>19</v>
      </c>
      <c r="D8557" t="s">
        <v>8745</v>
      </c>
      <c r="E8557" t="s">
        <v>21</v>
      </c>
    </row>
    <row r="8558" spans="1:5" hidden="1" outlineLevel="1">
      <c r="A8558" s="2">
        <v>0</v>
      </c>
      <c r="B8558" s="26" t="s">
        <v>8746</v>
      </c>
      <c r="C8558" s="27">
        <v>0</v>
      </c>
      <c r="D8558" s="27">
        <v>0</v>
      </c>
      <c r="E8558" s="27">
        <v>0</v>
      </c>
    </row>
    <row r="8559" spans="1:5" hidden="1" outlineLevel="2">
      <c r="A8559" s="3" t="e">
        <f>(HYPERLINK("http://www.autodoc.ru/Web/price/art/7925AGN?analog=on","7925AGN"))*1</f>
        <v>#VALUE!</v>
      </c>
      <c r="B8559" s="1">
        <v>6960814</v>
      </c>
      <c r="C8559" t="s">
        <v>645</v>
      </c>
      <c r="D8559" t="s">
        <v>8747</v>
      </c>
      <c r="E8559" t="s">
        <v>8</v>
      </c>
    </row>
    <row r="8560" spans="1:5" hidden="1" outlineLevel="2">
      <c r="A8560" s="3" t="e">
        <f>(HYPERLINK("http://www.autodoc.ru/Web/price/art/7925AGNH?analog=on","7925AGNH"))*1</f>
        <v>#VALUE!</v>
      </c>
      <c r="B8560" s="1">
        <v>6962046</v>
      </c>
      <c r="C8560" t="s">
        <v>645</v>
      </c>
      <c r="D8560" t="s">
        <v>8748</v>
      </c>
      <c r="E8560" t="s">
        <v>8</v>
      </c>
    </row>
    <row r="8561" spans="1:5" hidden="1" outlineLevel="2">
      <c r="A8561" s="3" t="e">
        <f>(HYPERLINK("http://www.autodoc.ru/Web/price/art/7925ASMS?analog=on","7925ASMS"))*1</f>
        <v>#VALUE!</v>
      </c>
      <c r="B8561" s="1">
        <v>6101579</v>
      </c>
      <c r="C8561" t="s">
        <v>19</v>
      </c>
      <c r="D8561" t="s">
        <v>8749</v>
      </c>
      <c r="E8561" t="s">
        <v>21</v>
      </c>
    </row>
    <row r="8562" spans="1:5" hidden="1" outlineLevel="2">
      <c r="A8562" s="3" t="e">
        <f>(HYPERLINK("http://www.autodoc.ru/Web/price/art/7925LGNE5RDW?analog=on","7925LGNE5RDW"))*1</f>
        <v>#VALUE!</v>
      </c>
      <c r="B8562" s="1">
        <v>6900196</v>
      </c>
      <c r="C8562" t="s">
        <v>645</v>
      </c>
      <c r="D8562" t="s">
        <v>8750</v>
      </c>
      <c r="E8562" t="s">
        <v>10</v>
      </c>
    </row>
    <row r="8563" spans="1:5" hidden="1" outlineLevel="2">
      <c r="A8563" s="3" t="e">
        <f>(HYPERLINK("http://www.autodoc.ru/Web/price/art/7925LGNS4FDW?analog=on","7925LGNS4FDW"))*1</f>
        <v>#VALUE!</v>
      </c>
      <c r="B8563" s="1">
        <v>6900005</v>
      </c>
      <c r="C8563" t="s">
        <v>645</v>
      </c>
      <c r="D8563" t="s">
        <v>8751</v>
      </c>
      <c r="E8563" t="s">
        <v>10</v>
      </c>
    </row>
    <row r="8564" spans="1:5" hidden="1" outlineLevel="2">
      <c r="A8564" s="3" t="e">
        <f>(HYPERLINK("http://www.autodoc.ru/Web/price/art/7925LGNS4RDW?analog=on","7925LGNS4RDW"))*1</f>
        <v>#VALUE!</v>
      </c>
      <c r="B8564" s="1">
        <v>6900195</v>
      </c>
      <c r="C8564" t="s">
        <v>645</v>
      </c>
      <c r="D8564" t="s">
        <v>8752</v>
      </c>
      <c r="E8564" t="s">
        <v>10</v>
      </c>
    </row>
    <row r="8565" spans="1:5" hidden="1" outlineLevel="2">
      <c r="A8565" s="3" t="e">
        <f>(HYPERLINK("http://www.autodoc.ru/Web/price/art/7925RGNS4FDW?analog=on","7925RGNS4FDW"))*1</f>
        <v>#VALUE!</v>
      </c>
      <c r="B8565" s="1">
        <v>6900095</v>
      </c>
      <c r="C8565" t="s">
        <v>645</v>
      </c>
      <c r="D8565" t="s">
        <v>8753</v>
      </c>
      <c r="E8565" t="s">
        <v>10</v>
      </c>
    </row>
    <row r="8566" spans="1:5" hidden="1" outlineLevel="2">
      <c r="A8566" s="3" t="e">
        <f>(HYPERLINK("http://www.autodoc.ru/Web/price/art/7925RGNS4RDW?analog=on","7925RGNS4RDW"))*1</f>
        <v>#VALUE!</v>
      </c>
      <c r="B8566" s="1">
        <v>6900280</v>
      </c>
      <c r="C8566" t="s">
        <v>645</v>
      </c>
      <c r="D8566" t="s">
        <v>8754</v>
      </c>
      <c r="E8566" t="s">
        <v>10</v>
      </c>
    </row>
    <row r="8567" spans="1:5" hidden="1" outlineLevel="1">
      <c r="A8567" s="2">
        <v>0</v>
      </c>
      <c r="B8567" s="26" t="s">
        <v>8755</v>
      </c>
      <c r="C8567" s="27">
        <v>0</v>
      </c>
      <c r="D8567" s="27">
        <v>0</v>
      </c>
      <c r="E8567" s="27">
        <v>0</v>
      </c>
    </row>
    <row r="8568" spans="1:5" hidden="1" outlineLevel="2">
      <c r="A8568" s="3" t="e">
        <f>(HYPERLINK("http://www.autodoc.ru/Web/price/art/7929AGNBLHV?analog=on","7929AGNBLHV"))*1</f>
        <v>#VALUE!</v>
      </c>
      <c r="B8568" s="1">
        <v>6963025</v>
      </c>
      <c r="C8568" t="s">
        <v>1309</v>
      </c>
      <c r="D8568" t="s">
        <v>8756</v>
      </c>
      <c r="E8568" t="s">
        <v>8</v>
      </c>
    </row>
    <row r="8569" spans="1:5" hidden="1" outlineLevel="2">
      <c r="A8569" s="3" t="e">
        <f>(HYPERLINK("http://www.autodoc.ru/Web/price/art/7929AGNHV?analog=on","7929AGNHV"))*1</f>
        <v>#VALUE!</v>
      </c>
      <c r="B8569" s="1">
        <v>6962047</v>
      </c>
      <c r="C8569" t="s">
        <v>1309</v>
      </c>
      <c r="D8569" t="s">
        <v>8757</v>
      </c>
      <c r="E8569" t="s">
        <v>8</v>
      </c>
    </row>
    <row r="8570" spans="1:5" hidden="1" outlineLevel="2">
      <c r="A8570" s="3" t="e">
        <f>(HYPERLINK("http://www.autodoc.ru/Web/price/art/7929AGNHV1C?analog=on","7929AGNHV1C"))*1</f>
        <v>#VALUE!</v>
      </c>
      <c r="B8570" s="1">
        <v>6964888</v>
      </c>
      <c r="C8570" t="s">
        <v>1309</v>
      </c>
      <c r="D8570" t="s">
        <v>8758</v>
      </c>
      <c r="E8570" t="s">
        <v>8</v>
      </c>
    </row>
    <row r="8571" spans="1:5" hidden="1" outlineLevel="2">
      <c r="A8571" s="3" t="e">
        <f>(HYPERLINK("http://www.autodoc.ru/Web/price/art/7929AGNV?analog=on","7929AGNV"))*1</f>
        <v>#VALUE!</v>
      </c>
      <c r="B8571" s="1">
        <v>6961318</v>
      </c>
      <c r="C8571" t="s">
        <v>1309</v>
      </c>
      <c r="D8571" t="s">
        <v>8759</v>
      </c>
      <c r="E8571" t="s">
        <v>8</v>
      </c>
    </row>
    <row r="8572" spans="1:5" hidden="1" outlineLevel="2">
      <c r="A8572" s="3" t="e">
        <f>(HYPERLINK("http://www.autodoc.ru/Web/price/art/7929ASMS?analog=on","7929ASMS"))*1</f>
        <v>#VALUE!</v>
      </c>
      <c r="B8572" s="1">
        <v>6102146</v>
      </c>
      <c r="C8572" t="s">
        <v>19</v>
      </c>
      <c r="D8572" t="s">
        <v>8760</v>
      </c>
      <c r="E8572" t="s">
        <v>21</v>
      </c>
    </row>
    <row r="8573" spans="1:5" hidden="1" outlineLevel="1">
      <c r="A8573" s="2">
        <v>0</v>
      </c>
      <c r="B8573" s="26" t="s">
        <v>8761</v>
      </c>
      <c r="C8573" s="27">
        <v>0</v>
      </c>
      <c r="D8573" s="27">
        <v>0</v>
      </c>
      <c r="E8573" s="27">
        <v>0</v>
      </c>
    </row>
    <row r="8574" spans="1:5" hidden="1" outlineLevel="2">
      <c r="A8574" s="3" t="e">
        <f>(HYPERLINK("http://www.autodoc.ru/Web/price/art/7936AGNHMV1B?analog=on","7936AGNHMV1B"))*1</f>
        <v>#VALUE!</v>
      </c>
      <c r="B8574" s="1">
        <v>6965304</v>
      </c>
      <c r="C8574" t="s">
        <v>211</v>
      </c>
      <c r="D8574" t="s">
        <v>8762</v>
      </c>
      <c r="E8574" t="s">
        <v>8</v>
      </c>
    </row>
    <row r="8575" spans="1:5" hidden="1" outlineLevel="2">
      <c r="A8575" s="3" t="e">
        <f>(HYPERLINK("http://www.autodoc.ru/Web/price/art/7936AGNMV1B?analog=on","7936AGNMV1B"))*1</f>
        <v>#VALUE!</v>
      </c>
      <c r="B8575" s="1">
        <v>6965611</v>
      </c>
      <c r="C8575" t="s">
        <v>211</v>
      </c>
      <c r="D8575" t="s">
        <v>8763</v>
      </c>
      <c r="E8575" t="s">
        <v>8</v>
      </c>
    </row>
    <row r="8576" spans="1:5" hidden="1" outlineLevel="2">
      <c r="A8576" s="3" t="e">
        <f>(HYPERLINK("http://www.autodoc.ru/Web/price/art/7936AGNV?analog=on","7936AGNV"))*1</f>
        <v>#VALUE!</v>
      </c>
      <c r="B8576" s="1">
        <v>6965303</v>
      </c>
      <c r="C8576" t="s">
        <v>211</v>
      </c>
      <c r="D8576" t="s">
        <v>8764</v>
      </c>
      <c r="E8576" t="s">
        <v>8</v>
      </c>
    </row>
    <row r="8577" spans="1:5" hidden="1" outlineLevel="1">
      <c r="A8577" s="2">
        <v>0</v>
      </c>
      <c r="B8577" s="26" t="s">
        <v>8765</v>
      </c>
      <c r="C8577" s="27">
        <v>0</v>
      </c>
      <c r="D8577" s="27">
        <v>0</v>
      </c>
      <c r="E8577" s="27">
        <v>0</v>
      </c>
    </row>
    <row r="8578" spans="1:5" hidden="1" outlineLevel="2">
      <c r="A8578" s="3" t="e">
        <f>(HYPERLINK("http://www.autodoc.ru/Web/price/art/7931AGSBLHV?analog=on","7931AGSBLHV"))*1</f>
        <v>#VALUE!</v>
      </c>
      <c r="B8578" s="1">
        <v>6962956</v>
      </c>
      <c r="C8578" t="s">
        <v>883</v>
      </c>
      <c r="D8578" t="s">
        <v>8766</v>
      </c>
      <c r="E8578" t="s">
        <v>8</v>
      </c>
    </row>
    <row r="8579" spans="1:5" collapsed="1">
      <c r="A8579" s="28" t="s">
        <v>8767</v>
      </c>
      <c r="B8579" s="28">
        <v>0</v>
      </c>
      <c r="C8579" s="28">
        <v>0</v>
      </c>
      <c r="D8579" s="28">
        <v>0</v>
      </c>
      <c r="E8579" s="28">
        <v>0</v>
      </c>
    </row>
    <row r="8580" spans="1:5" hidden="1" outlineLevel="1">
      <c r="A8580" s="2">
        <v>0</v>
      </c>
      <c r="B8580" s="26" t="s">
        <v>8768</v>
      </c>
      <c r="C8580" s="27">
        <v>0</v>
      </c>
      <c r="D8580" s="27">
        <v>0</v>
      </c>
      <c r="E8580" s="27">
        <v>0</v>
      </c>
    </row>
    <row r="8581" spans="1:5" hidden="1" outlineLevel="2">
      <c r="A8581" s="3" t="e">
        <f>(HYPERLINK("http://www.autodoc.ru/Web/price/art/8013ABL?analog=on","8013ABL"))*1</f>
        <v>#VALUE!</v>
      </c>
      <c r="B8581" s="1">
        <v>6963412</v>
      </c>
      <c r="C8581" t="s">
        <v>901</v>
      </c>
      <c r="D8581" t="s">
        <v>8769</v>
      </c>
      <c r="E8581" t="s">
        <v>8</v>
      </c>
    </row>
    <row r="8582" spans="1:5" hidden="1" outlineLevel="2">
      <c r="A8582" s="3" t="e">
        <f>(HYPERLINK("http://www.autodoc.ru/Web/price/art/8013AGN?analog=on","8013AGN"))*1</f>
        <v>#VALUE!</v>
      </c>
      <c r="B8582" s="1">
        <v>6960686</v>
      </c>
      <c r="C8582" t="s">
        <v>901</v>
      </c>
      <c r="D8582" t="s">
        <v>8770</v>
      </c>
      <c r="E8582" t="s">
        <v>8</v>
      </c>
    </row>
    <row r="8583" spans="1:5" hidden="1" outlineLevel="2">
      <c r="A8583" s="3" t="e">
        <f>(HYPERLINK("http://www.autodoc.ru/Web/price/art/8013ASMH?analog=on","8013ASMH"))*1</f>
        <v>#VALUE!</v>
      </c>
      <c r="B8583" s="1">
        <v>6101809</v>
      </c>
      <c r="C8583" t="s">
        <v>19</v>
      </c>
      <c r="D8583" t="s">
        <v>8771</v>
      </c>
      <c r="E8583" t="s">
        <v>21</v>
      </c>
    </row>
    <row r="8584" spans="1:5" hidden="1" outlineLevel="2">
      <c r="A8584" s="3" t="e">
        <f>(HYPERLINK("http://www.autodoc.ru/Web/price/art/8013LGNH3FD?analog=on","8013LGNH3FD"))*1</f>
        <v>#VALUE!</v>
      </c>
      <c r="B8584" s="1">
        <v>6993250</v>
      </c>
      <c r="C8584" t="s">
        <v>901</v>
      </c>
      <c r="D8584" t="s">
        <v>8772</v>
      </c>
      <c r="E8584" t="s">
        <v>10</v>
      </c>
    </row>
    <row r="8585" spans="1:5" hidden="1" outlineLevel="2">
      <c r="A8585" s="3" t="e">
        <f>(HYPERLINK("http://www.autodoc.ru/Web/price/art/8013LGNH3RQO?analog=on","8013LGNH3RQO"))*1</f>
        <v>#VALUE!</v>
      </c>
      <c r="B8585" s="1">
        <v>6900337</v>
      </c>
      <c r="C8585" t="s">
        <v>901</v>
      </c>
      <c r="D8585" t="s">
        <v>8773</v>
      </c>
      <c r="E8585" t="s">
        <v>10</v>
      </c>
    </row>
    <row r="8586" spans="1:5" hidden="1" outlineLevel="2">
      <c r="A8586" s="3" t="e">
        <f>(HYPERLINK("http://www.autodoc.ru/Web/price/art/8013RGNH3FD?analog=on","8013RGNH3FD"))*1</f>
        <v>#VALUE!</v>
      </c>
      <c r="B8586" s="1">
        <v>6993251</v>
      </c>
      <c r="C8586" t="s">
        <v>901</v>
      </c>
      <c r="D8586" t="s">
        <v>8774</v>
      </c>
      <c r="E8586" t="s">
        <v>10</v>
      </c>
    </row>
    <row r="8587" spans="1:5" hidden="1" outlineLevel="2">
      <c r="A8587" s="3" t="e">
        <f>(HYPERLINK("http://www.autodoc.ru/Web/price/art/8013RGNH3RQO?analog=on","8013RGNH3RQO"))*1</f>
        <v>#VALUE!</v>
      </c>
      <c r="B8587" s="1">
        <v>6993252</v>
      </c>
      <c r="C8587" t="s">
        <v>901</v>
      </c>
      <c r="D8587" t="s">
        <v>8775</v>
      </c>
      <c r="E8587" t="s">
        <v>10</v>
      </c>
    </row>
    <row r="8588" spans="1:5" hidden="1" outlineLevel="1">
      <c r="A8588" s="2">
        <v>0</v>
      </c>
      <c r="B8588" s="26" t="s">
        <v>8776</v>
      </c>
      <c r="C8588" s="27">
        <v>0</v>
      </c>
      <c r="D8588" s="27">
        <v>0</v>
      </c>
      <c r="E8588" s="27">
        <v>0</v>
      </c>
    </row>
    <row r="8589" spans="1:5" hidden="1" outlineLevel="2">
      <c r="A8589" s="3" t="e">
        <f>(HYPERLINK("http://www.autodoc.ru/Web/price/art/8029AGN?analog=on","8029AGN"))*1</f>
        <v>#VALUE!</v>
      </c>
      <c r="B8589" s="1">
        <v>6961025</v>
      </c>
      <c r="C8589" t="s">
        <v>321</v>
      </c>
      <c r="D8589" t="s">
        <v>8777</v>
      </c>
      <c r="E8589" t="s">
        <v>8</v>
      </c>
    </row>
    <row r="8590" spans="1:5" hidden="1" outlineLevel="2">
      <c r="A8590" s="3" t="e">
        <f>(HYPERLINK("http://www.autodoc.ru/Web/price/art/8029ASMH?analog=on","8029ASMH"))*1</f>
        <v>#VALUE!</v>
      </c>
      <c r="B8590" s="1">
        <v>6101687</v>
      </c>
      <c r="C8590" t="s">
        <v>19</v>
      </c>
      <c r="D8590" t="s">
        <v>8778</v>
      </c>
      <c r="E8590" t="s">
        <v>21</v>
      </c>
    </row>
    <row r="8591" spans="1:5" hidden="1" outlineLevel="1">
      <c r="A8591" s="2">
        <v>0</v>
      </c>
      <c r="B8591" s="26" t="s">
        <v>8779</v>
      </c>
      <c r="C8591" s="27">
        <v>0</v>
      </c>
      <c r="D8591" s="27">
        <v>0</v>
      </c>
      <c r="E8591" s="27">
        <v>0</v>
      </c>
    </row>
    <row r="8592" spans="1:5" hidden="1" outlineLevel="2">
      <c r="A8592" s="3" t="e">
        <f>(HYPERLINK("http://www.autodoc.ru/Web/price/art/8009ABL?analog=on","8009ABL"))*1</f>
        <v>#VALUE!</v>
      </c>
      <c r="B8592" s="1">
        <v>6963409</v>
      </c>
      <c r="C8592" t="s">
        <v>4461</v>
      </c>
      <c r="D8592" t="s">
        <v>8780</v>
      </c>
      <c r="E8592" t="s">
        <v>8</v>
      </c>
    </row>
    <row r="8593" spans="1:5" hidden="1" outlineLevel="2">
      <c r="A8593" s="3" t="e">
        <f>(HYPERLINK("http://www.autodoc.ru/Web/price/art/8009ACL?analog=on","8009ACL"))*1</f>
        <v>#VALUE!</v>
      </c>
      <c r="B8593" s="1">
        <v>6963410</v>
      </c>
      <c r="C8593" t="s">
        <v>4461</v>
      </c>
      <c r="D8593" t="s">
        <v>8781</v>
      </c>
      <c r="E8593" t="s">
        <v>8</v>
      </c>
    </row>
    <row r="8594" spans="1:5" hidden="1" outlineLevel="2">
      <c r="A8594" s="3" t="e">
        <f>(HYPERLINK("http://www.autodoc.ru/Web/price/art/8009LCLH5FD?analog=on","8009LCLH5FD"))*1</f>
        <v>#VALUE!</v>
      </c>
      <c r="B8594" s="1">
        <v>6993237</v>
      </c>
      <c r="C8594" t="s">
        <v>4461</v>
      </c>
      <c r="D8594" t="s">
        <v>8782</v>
      </c>
      <c r="E8594" t="s">
        <v>10</v>
      </c>
    </row>
    <row r="8595" spans="1:5" hidden="1" outlineLevel="1">
      <c r="A8595" s="2">
        <v>0</v>
      </c>
      <c r="B8595" s="26" t="s">
        <v>8783</v>
      </c>
      <c r="C8595" s="27">
        <v>0</v>
      </c>
      <c r="D8595" s="27">
        <v>0</v>
      </c>
      <c r="E8595" s="27">
        <v>0</v>
      </c>
    </row>
    <row r="8596" spans="1:5" hidden="1" outlineLevel="2">
      <c r="A8596" s="3" t="e">
        <f>(HYPERLINK("http://www.autodoc.ru/Web/price/art/8016ABL?analog=on","8016ABL"))*1</f>
        <v>#VALUE!</v>
      </c>
      <c r="B8596" s="1">
        <v>6964285</v>
      </c>
      <c r="C8596" t="s">
        <v>901</v>
      </c>
      <c r="D8596" t="s">
        <v>8784</v>
      </c>
      <c r="E8596" t="s">
        <v>8</v>
      </c>
    </row>
    <row r="8597" spans="1:5" hidden="1" outlineLevel="2">
      <c r="A8597" s="3" t="e">
        <f>(HYPERLINK("http://www.autodoc.ru/Web/price/art/8016AGN?analog=on","8016AGN"))*1</f>
        <v>#VALUE!</v>
      </c>
      <c r="B8597" s="1">
        <v>6969355</v>
      </c>
      <c r="C8597" t="s">
        <v>901</v>
      </c>
      <c r="D8597" t="s">
        <v>8785</v>
      </c>
      <c r="E8597" t="s">
        <v>8</v>
      </c>
    </row>
    <row r="8598" spans="1:5" hidden="1" outlineLevel="2">
      <c r="A8598" s="3" t="e">
        <f>(HYPERLINK("http://www.autodoc.ru/Web/price/art/8016AGNGN?analog=on","8016AGNGN"))*1</f>
        <v>#VALUE!</v>
      </c>
      <c r="B8598" s="1">
        <v>6961019</v>
      </c>
      <c r="C8598" t="s">
        <v>901</v>
      </c>
      <c r="D8598" t="s">
        <v>8786</v>
      </c>
      <c r="E8598" t="s">
        <v>8</v>
      </c>
    </row>
    <row r="8599" spans="1:5" hidden="1" outlineLevel="2">
      <c r="A8599" s="3" t="e">
        <f>(HYPERLINK("http://www.autodoc.ru/Web/price/art/8016ASMH?analog=on","8016ASMH"))*1</f>
        <v>#VALUE!</v>
      </c>
      <c r="B8599" s="1">
        <v>6100218</v>
      </c>
      <c r="C8599" t="s">
        <v>19</v>
      </c>
      <c r="D8599" t="s">
        <v>8787</v>
      </c>
      <c r="E8599" t="s">
        <v>21</v>
      </c>
    </row>
    <row r="8600" spans="1:5" hidden="1" outlineLevel="2">
      <c r="A8600" s="3" t="e">
        <f>(HYPERLINK("http://www.autodoc.ru/Web/price/art/8016BBLS?analog=on","8016BBLS"))*1</f>
        <v>#VALUE!</v>
      </c>
      <c r="B8600" s="1">
        <v>6980347</v>
      </c>
      <c r="C8600" t="s">
        <v>901</v>
      </c>
      <c r="D8600" t="s">
        <v>8788</v>
      </c>
      <c r="E8600" t="s">
        <v>23</v>
      </c>
    </row>
    <row r="8601" spans="1:5" hidden="1" outlineLevel="2">
      <c r="A8601" s="3" t="e">
        <f>(HYPERLINK("http://www.autodoc.ru/Web/price/art/8016BGNS?analog=on","8016BGNS"))*1</f>
        <v>#VALUE!</v>
      </c>
      <c r="B8601" s="1">
        <v>6992509</v>
      </c>
      <c r="C8601" t="s">
        <v>901</v>
      </c>
      <c r="D8601" t="s">
        <v>8789</v>
      </c>
      <c r="E8601" t="s">
        <v>23</v>
      </c>
    </row>
    <row r="8602" spans="1:5" hidden="1" outlineLevel="2">
      <c r="A8602" s="3" t="e">
        <f>(HYPERLINK("http://www.autodoc.ru/Web/price/art/8016LBLS4FD?analog=on","8016LBLS4FD"))*1</f>
        <v>#VALUE!</v>
      </c>
      <c r="B8602" s="1">
        <v>6999209</v>
      </c>
      <c r="C8602" t="s">
        <v>901</v>
      </c>
      <c r="D8602" t="s">
        <v>8790</v>
      </c>
      <c r="E8602" t="s">
        <v>10</v>
      </c>
    </row>
    <row r="8603" spans="1:5" hidden="1" outlineLevel="2">
      <c r="A8603" s="3" t="e">
        <f>(HYPERLINK("http://www.autodoc.ru/Web/price/art/8016LGNS4FD?analog=on","8016LGNS4FD"))*1</f>
        <v>#VALUE!</v>
      </c>
      <c r="B8603" s="1">
        <v>6995491</v>
      </c>
      <c r="C8603" t="s">
        <v>901</v>
      </c>
      <c r="D8603" t="s">
        <v>8791</v>
      </c>
      <c r="E8603" t="s">
        <v>10</v>
      </c>
    </row>
    <row r="8604" spans="1:5" hidden="1" outlineLevel="2">
      <c r="A8604" s="3" t="e">
        <f>(HYPERLINK("http://www.autodoc.ru/Web/price/art/8016LGNS4RD?analog=on","8016LGNS4RD"))*1</f>
        <v>#VALUE!</v>
      </c>
      <c r="B8604" s="1">
        <v>6995492</v>
      </c>
      <c r="C8604" t="s">
        <v>901</v>
      </c>
      <c r="D8604" t="s">
        <v>8792</v>
      </c>
      <c r="E8604" t="s">
        <v>10</v>
      </c>
    </row>
    <row r="8605" spans="1:5" hidden="1" outlineLevel="2">
      <c r="A8605" s="3" t="e">
        <f>(HYPERLINK("http://www.autodoc.ru/Web/price/art/8016RBLS4FD?analog=on","8016RBLS4FD"))*1</f>
        <v>#VALUE!</v>
      </c>
      <c r="B8605" s="1">
        <v>6999211</v>
      </c>
      <c r="C8605" t="s">
        <v>901</v>
      </c>
      <c r="D8605" t="s">
        <v>8793</v>
      </c>
      <c r="E8605" t="s">
        <v>10</v>
      </c>
    </row>
    <row r="8606" spans="1:5" hidden="1" outlineLevel="2">
      <c r="A8606" s="3" t="e">
        <f>(HYPERLINK("http://www.autodoc.ru/Web/price/art/8016RBLS4RD?analog=on","8016RBLS4RD"))*1</f>
        <v>#VALUE!</v>
      </c>
      <c r="B8606" s="1">
        <v>6999212</v>
      </c>
      <c r="C8606" t="s">
        <v>901</v>
      </c>
      <c r="D8606" t="s">
        <v>8794</v>
      </c>
      <c r="E8606" t="s">
        <v>10</v>
      </c>
    </row>
    <row r="8607" spans="1:5" hidden="1" outlineLevel="2">
      <c r="A8607" s="3" t="e">
        <f>(HYPERLINK("http://www.autodoc.ru/Web/price/art/8016RGNS4FD?analog=on","8016RGNS4FD"))*1</f>
        <v>#VALUE!</v>
      </c>
      <c r="B8607" s="1">
        <v>6995493</v>
      </c>
      <c r="C8607" t="s">
        <v>901</v>
      </c>
      <c r="D8607" t="s">
        <v>8795</v>
      </c>
      <c r="E8607" t="s">
        <v>10</v>
      </c>
    </row>
    <row r="8608" spans="1:5" hidden="1" outlineLevel="2">
      <c r="A8608" s="3" t="e">
        <f>(HYPERLINK("http://www.autodoc.ru/Web/price/art/8016RGNS4RD?analog=on","8016RGNS4RD"))*1</f>
        <v>#VALUE!</v>
      </c>
      <c r="B8608" s="1">
        <v>6995494</v>
      </c>
      <c r="C8608" t="s">
        <v>901</v>
      </c>
      <c r="D8608" t="s">
        <v>8796</v>
      </c>
      <c r="E8608" t="s">
        <v>10</v>
      </c>
    </row>
    <row r="8609" spans="1:5" hidden="1" outlineLevel="1">
      <c r="A8609" s="2">
        <v>0</v>
      </c>
      <c r="B8609" s="26" t="s">
        <v>8797</v>
      </c>
      <c r="C8609" s="27">
        <v>0</v>
      </c>
      <c r="D8609" s="27">
        <v>0</v>
      </c>
      <c r="E8609" s="27">
        <v>0</v>
      </c>
    </row>
    <row r="8610" spans="1:5" hidden="1" outlineLevel="2">
      <c r="A8610" s="3" t="e">
        <f>(HYPERLINK("http://www.autodoc.ru/Web/price/art/8027AGN?analog=on","8027AGN"))*1</f>
        <v>#VALUE!</v>
      </c>
      <c r="B8610" s="1">
        <v>6960688</v>
      </c>
      <c r="C8610" t="s">
        <v>2598</v>
      </c>
      <c r="D8610" t="s">
        <v>8798</v>
      </c>
      <c r="E8610" t="s">
        <v>8</v>
      </c>
    </row>
    <row r="8611" spans="1:5" hidden="1" outlineLevel="2">
      <c r="A8611" s="3" t="e">
        <f>(HYPERLINK("http://www.autodoc.ru/Web/price/art/8027ASMH?analog=on","8027ASMH"))*1</f>
        <v>#VALUE!</v>
      </c>
      <c r="B8611" s="1">
        <v>6100607</v>
      </c>
      <c r="C8611" t="s">
        <v>19</v>
      </c>
      <c r="D8611" t="s">
        <v>8799</v>
      </c>
      <c r="E8611" t="s">
        <v>21</v>
      </c>
    </row>
    <row r="8612" spans="1:5" hidden="1" outlineLevel="2">
      <c r="A8612" s="3" t="e">
        <f>(HYPERLINK("http://www.autodoc.ru/Web/price/art/8027LGNH5FD?analog=on","8027LGNH5FD"))*1</f>
        <v>#VALUE!</v>
      </c>
      <c r="B8612" s="1">
        <v>6993274</v>
      </c>
      <c r="C8612" t="s">
        <v>2598</v>
      </c>
      <c r="D8612" t="s">
        <v>8800</v>
      </c>
      <c r="E8612" t="s">
        <v>10</v>
      </c>
    </row>
    <row r="8613" spans="1:5" hidden="1" outlineLevel="2">
      <c r="A8613" s="3" t="e">
        <f>(HYPERLINK("http://www.autodoc.ru/Web/price/art/8027RGNH5FD?analog=on","8027RGNH5FD"))*1</f>
        <v>#VALUE!</v>
      </c>
      <c r="B8613" s="1">
        <v>6993275</v>
      </c>
      <c r="C8613" t="s">
        <v>2598</v>
      </c>
      <c r="D8613" t="s">
        <v>8801</v>
      </c>
      <c r="E8613" t="s">
        <v>10</v>
      </c>
    </row>
    <row r="8614" spans="1:5" hidden="1" outlineLevel="1">
      <c r="A8614" s="2">
        <v>0</v>
      </c>
      <c r="B8614" s="26" t="s">
        <v>8802</v>
      </c>
      <c r="C8614" s="27">
        <v>0</v>
      </c>
      <c r="D8614" s="27">
        <v>0</v>
      </c>
      <c r="E8614" s="27">
        <v>0</v>
      </c>
    </row>
    <row r="8615" spans="1:5" hidden="1" outlineLevel="2">
      <c r="A8615" s="3" t="e">
        <f>(HYPERLINK("http://www.autodoc.ru/Web/price/art/8030AGN?analog=on","8030AGN"))*1</f>
        <v>#VALUE!</v>
      </c>
      <c r="B8615" s="1">
        <v>6961319</v>
      </c>
      <c r="C8615" t="s">
        <v>755</v>
      </c>
      <c r="D8615" t="s">
        <v>8803</v>
      </c>
      <c r="E8615" t="s">
        <v>8</v>
      </c>
    </row>
    <row r="8616" spans="1:5" hidden="1" outlineLevel="2">
      <c r="A8616" s="3" t="e">
        <f>(HYPERLINK("http://www.autodoc.ru/Web/price/art/8030ASMH?analog=on","8030ASMH"))*1</f>
        <v>#VALUE!</v>
      </c>
      <c r="B8616" s="1">
        <v>6102042</v>
      </c>
      <c r="C8616" t="s">
        <v>782</v>
      </c>
      <c r="D8616" t="s">
        <v>8804</v>
      </c>
      <c r="E8616" t="s">
        <v>21</v>
      </c>
    </row>
    <row r="8617" spans="1:5" hidden="1" outlineLevel="2">
      <c r="A8617" s="3" t="e">
        <f>(HYPERLINK("http://www.autodoc.ru/Web/price/art/8030LGNH5FD?analog=on","8030LGNH5FD"))*1</f>
        <v>#VALUE!</v>
      </c>
      <c r="B8617" s="1">
        <v>6900624</v>
      </c>
      <c r="C8617" t="s">
        <v>755</v>
      </c>
      <c r="D8617" t="s">
        <v>8805</v>
      </c>
      <c r="E8617" t="s">
        <v>10</v>
      </c>
    </row>
    <row r="8618" spans="1:5" hidden="1" outlineLevel="2">
      <c r="A8618" s="3" t="e">
        <f>(HYPERLINK("http://www.autodoc.ru/Web/price/art/8030RGNH5FD?analog=on","8030RGNH5FD"))*1</f>
        <v>#VALUE!</v>
      </c>
      <c r="B8618" s="1">
        <v>6900623</v>
      </c>
      <c r="C8618" t="s">
        <v>755</v>
      </c>
      <c r="D8618" t="s">
        <v>8806</v>
      </c>
      <c r="E8618" t="s">
        <v>10</v>
      </c>
    </row>
    <row r="8619" spans="1:5" hidden="1" outlineLevel="2">
      <c r="A8619" s="3" t="e">
        <f>(HYPERLINK("http://www.autodoc.ru/Web/price/art/8030LGNH5RD?analog=on","8030LGNH5RD"))*1</f>
        <v>#VALUE!</v>
      </c>
      <c r="B8619" s="1">
        <v>6900547</v>
      </c>
      <c r="C8619" t="s">
        <v>755</v>
      </c>
      <c r="D8619" t="s">
        <v>8807</v>
      </c>
      <c r="E8619" t="s">
        <v>10</v>
      </c>
    </row>
    <row r="8620" spans="1:5" hidden="1" outlineLevel="1">
      <c r="A8620" s="2">
        <v>0</v>
      </c>
      <c r="B8620" s="26" t="s">
        <v>8808</v>
      </c>
      <c r="C8620" s="27">
        <v>0</v>
      </c>
      <c r="D8620" s="27">
        <v>0</v>
      </c>
      <c r="E8620" s="27">
        <v>0</v>
      </c>
    </row>
    <row r="8621" spans="1:5" hidden="1" outlineLevel="2">
      <c r="A8621" s="3" t="e">
        <f>(HYPERLINK("http://www.autodoc.ru/Web/price/art/8022ALG?analog=on","8022ALG"))*1</f>
        <v>#VALUE!</v>
      </c>
      <c r="B8621" s="1">
        <v>6963286</v>
      </c>
      <c r="C8621" t="s">
        <v>1721</v>
      </c>
      <c r="D8621" t="s">
        <v>8809</v>
      </c>
      <c r="E8621" t="s">
        <v>8</v>
      </c>
    </row>
    <row r="8622" spans="1:5" hidden="1" outlineLevel="2">
      <c r="A8622" s="3" t="e">
        <f>(HYPERLINK("http://www.autodoc.ru/Web/price/art/8022ASMR?analog=on","8022ASMR"))*1</f>
        <v>#VALUE!</v>
      </c>
      <c r="B8622" s="1">
        <v>6100608</v>
      </c>
      <c r="C8622" t="s">
        <v>1721</v>
      </c>
      <c r="D8622" t="s">
        <v>8810</v>
      </c>
      <c r="E8622" t="s">
        <v>21</v>
      </c>
    </row>
    <row r="8623" spans="1:5" hidden="1" outlineLevel="2">
      <c r="A8623" s="3" t="e">
        <f>(HYPERLINK("http://www.autodoc.ru/Web/price/art/8022BLGR?analog=on","8022BLGR"))*1</f>
        <v>#VALUE!</v>
      </c>
      <c r="B8623" s="1">
        <v>6992833</v>
      </c>
      <c r="C8623" t="s">
        <v>1721</v>
      </c>
      <c r="D8623" t="s">
        <v>8811</v>
      </c>
      <c r="E8623" t="s">
        <v>23</v>
      </c>
    </row>
    <row r="8624" spans="1:5" hidden="1" outlineLevel="2">
      <c r="A8624" s="3" t="e">
        <f>(HYPERLINK("http://www.autodoc.ru/Web/price/art/8022LLGR3FD?analog=on","8022LLGR3FD"))*1</f>
        <v>#VALUE!</v>
      </c>
      <c r="B8624" s="1">
        <v>6995941</v>
      </c>
      <c r="C8624" t="s">
        <v>1721</v>
      </c>
      <c r="D8624" t="s">
        <v>8812</v>
      </c>
      <c r="E8624" t="s">
        <v>10</v>
      </c>
    </row>
    <row r="8625" spans="1:5" hidden="1" outlineLevel="2">
      <c r="A8625" s="3" t="e">
        <f>(HYPERLINK("http://www.autodoc.ru/Web/price/art/8022RLGR3FD?analog=on","8022RLGR3FD"))*1</f>
        <v>#VALUE!</v>
      </c>
      <c r="B8625" s="1">
        <v>6995942</v>
      </c>
      <c r="C8625" t="s">
        <v>1721</v>
      </c>
      <c r="D8625" t="s">
        <v>8813</v>
      </c>
      <c r="E8625" t="s">
        <v>10</v>
      </c>
    </row>
    <row r="8626" spans="1:5" hidden="1" outlineLevel="1">
      <c r="A8626" s="2">
        <v>0</v>
      </c>
      <c r="B8626" s="26" t="s">
        <v>8814</v>
      </c>
      <c r="C8626" s="27">
        <v>0</v>
      </c>
      <c r="D8626" s="27">
        <v>0</v>
      </c>
      <c r="E8626" s="27">
        <v>0</v>
      </c>
    </row>
    <row r="8627" spans="1:5" hidden="1" outlineLevel="2">
      <c r="A8627" s="3" t="e">
        <f>(HYPERLINK("http://www.autodoc.ru/Web/price/art/8028AGN?analog=on","8028AGN"))*1</f>
        <v>#VALUE!</v>
      </c>
      <c r="B8627" s="1">
        <v>6960706</v>
      </c>
      <c r="C8627" t="s">
        <v>540</v>
      </c>
      <c r="D8627" t="s">
        <v>8815</v>
      </c>
      <c r="E8627" t="s">
        <v>8</v>
      </c>
    </row>
    <row r="8628" spans="1:5" hidden="1" outlineLevel="2">
      <c r="A8628" s="3" t="e">
        <f>(HYPERLINK("http://www.autodoc.ru/Web/price/art/8028AGN1B?analog=on","8028AGN1B"))*1</f>
        <v>#VALUE!</v>
      </c>
      <c r="B8628" s="1">
        <v>6964833</v>
      </c>
      <c r="C8628" t="s">
        <v>540</v>
      </c>
      <c r="D8628" t="s">
        <v>8816</v>
      </c>
      <c r="E8628" t="s">
        <v>8</v>
      </c>
    </row>
    <row r="8629" spans="1:5" hidden="1" outlineLevel="2">
      <c r="A8629" s="3" t="e">
        <f>(HYPERLINK("http://www.autodoc.ru/Web/price/art/8028AGN1C?analog=on","8028AGN1C"))*1</f>
        <v>#VALUE!</v>
      </c>
      <c r="B8629" s="1">
        <v>6964821</v>
      </c>
      <c r="C8629" t="s">
        <v>389</v>
      </c>
      <c r="D8629" t="s">
        <v>8817</v>
      </c>
      <c r="E8629" t="s">
        <v>8</v>
      </c>
    </row>
    <row r="8630" spans="1:5" hidden="1" outlineLevel="2">
      <c r="A8630" s="3" t="e">
        <f>(HYPERLINK("http://www.autodoc.ru/Web/price/art/8028AGNBL?analog=on","8028AGNBL"))*1</f>
        <v>#VALUE!</v>
      </c>
      <c r="B8630" s="1">
        <v>6950328</v>
      </c>
      <c r="C8630" t="s">
        <v>540</v>
      </c>
      <c r="D8630" t="s">
        <v>8818</v>
      </c>
      <c r="E8630" t="s">
        <v>8</v>
      </c>
    </row>
    <row r="8631" spans="1:5" hidden="1" outlineLevel="2">
      <c r="A8631" s="3" t="e">
        <f>(HYPERLINK("http://www.autodoc.ru/Web/price/art/8028AGNBL1B?analog=on","8028AGNBL1B"))*1</f>
        <v>#VALUE!</v>
      </c>
      <c r="B8631" s="1">
        <v>6950327</v>
      </c>
      <c r="C8631" t="s">
        <v>540</v>
      </c>
      <c r="D8631" t="s">
        <v>8818</v>
      </c>
      <c r="E8631" t="s">
        <v>8</v>
      </c>
    </row>
    <row r="8632" spans="1:5" hidden="1" outlineLevel="2">
      <c r="A8632" s="3" t="e">
        <f>(HYPERLINK("http://www.autodoc.ru/Web/price/art/8028ASMV?analog=on","8028ASMV"))*1</f>
        <v>#VALUE!</v>
      </c>
      <c r="B8632" s="1">
        <v>6101097</v>
      </c>
      <c r="C8632" t="s">
        <v>19</v>
      </c>
      <c r="D8632" t="s">
        <v>8819</v>
      </c>
      <c r="E8632" t="s">
        <v>21</v>
      </c>
    </row>
    <row r="8633" spans="1:5" hidden="1" outlineLevel="2">
      <c r="A8633" s="3" t="e">
        <f>(HYPERLINK("http://www.autodoc.ru/Web/price/art/8028BGNV?analog=on","8028BGNV"))*1</f>
        <v>#VALUE!</v>
      </c>
      <c r="B8633" s="1">
        <v>6993682</v>
      </c>
      <c r="C8633" t="s">
        <v>540</v>
      </c>
      <c r="D8633" t="s">
        <v>8820</v>
      </c>
      <c r="E8633" t="s">
        <v>23</v>
      </c>
    </row>
    <row r="8634" spans="1:5" hidden="1" outlineLevel="2">
      <c r="A8634" s="3" t="e">
        <f>(HYPERLINK("http://www.autodoc.ru/Web/price/art/8028LGNS4RDW?analog=on","8028LGNS4RDW"))*1</f>
        <v>#VALUE!</v>
      </c>
      <c r="B8634" s="1">
        <v>6900189</v>
      </c>
      <c r="C8634" t="s">
        <v>540</v>
      </c>
      <c r="D8634" t="s">
        <v>8821</v>
      </c>
      <c r="E8634" t="s">
        <v>10</v>
      </c>
    </row>
    <row r="8635" spans="1:5" hidden="1" outlineLevel="2">
      <c r="A8635" s="3" t="e">
        <f>(HYPERLINK("http://www.autodoc.ru/Web/price/art/8028LGNV5FDW?analog=on","8028LGNV5FDW"))*1</f>
        <v>#VALUE!</v>
      </c>
      <c r="B8635" s="1">
        <v>6999998</v>
      </c>
      <c r="C8635" t="s">
        <v>540</v>
      </c>
      <c r="D8635" t="s">
        <v>8822</v>
      </c>
      <c r="E8635" t="s">
        <v>10</v>
      </c>
    </row>
    <row r="8636" spans="1:5" hidden="1" outlineLevel="2">
      <c r="A8636" s="3" t="e">
        <f>(HYPERLINK("http://www.autodoc.ru/Web/price/art/8028LGNV5RDW?analog=on","8028LGNV5RDW"))*1</f>
        <v>#VALUE!</v>
      </c>
      <c r="B8636" s="1">
        <v>6900185</v>
      </c>
      <c r="C8636" t="s">
        <v>540</v>
      </c>
      <c r="D8636" t="s">
        <v>8823</v>
      </c>
      <c r="E8636" t="s">
        <v>10</v>
      </c>
    </row>
    <row r="8637" spans="1:5" hidden="1" outlineLevel="2">
      <c r="A8637" s="3" t="e">
        <f>(HYPERLINK("http://www.autodoc.ru/Web/price/art/8028RGNS4RDW?analog=on","8028RGNS4RDW"))*1</f>
        <v>#VALUE!</v>
      </c>
      <c r="B8637" s="1">
        <v>6900274</v>
      </c>
      <c r="C8637" t="s">
        <v>540</v>
      </c>
      <c r="D8637" t="s">
        <v>8824</v>
      </c>
      <c r="E8637" t="s">
        <v>10</v>
      </c>
    </row>
    <row r="8638" spans="1:5" hidden="1" outlineLevel="2">
      <c r="A8638" s="3" t="e">
        <f>(HYPERLINK("http://www.autodoc.ru/Web/price/art/8028RGNV5FDW?analog=on","8028RGNV5FDW"))*1</f>
        <v>#VALUE!</v>
      </c>
      <c r="B8638" s="1">
        <v>6900088</v>
      </c>
      <c r="C8638" t="s">
        <v>540</v>
      </c>
      <c r="D8638" t="s">
        <v>8825</v>
      </c>
      <c r="E8638" t="s">
        <v>10</v>
      </c>
    </row>
    <row r="8639" spans="1:5" hidden="1" outlineLevel="2">
      <c r="A8639" s="3" t="e">
        <f>(HYPERLINK("http://www.autodoc.ru/Web/price/art/8028RGNV5RDW?analog=on","8028RGNV5RDW"))*1</f>
        <v>#VALUE!</v>
      </c>
      <c r="B8639" s="1">
        <v>6900275</v>
      </c>
      <c r="C8639" t="s">
        <v>540</v>
      </c>
      <c r="D8639" t="s">
        <v>8826</v>
      </c>
      <c r="E8639" t="s">
        <v>10</v>
      </c>
    </row>
    <row r="8640" spans="1:5" hidden="1" outlineLevel="1">
      <c r="A8640" s="2">
        <v>0</v>
      </c>
      <c r="B8640" s="26" t="s">
        <v>8827</v>
      </c>
      <c r="C8640" s="27">
        <v>0</v>
      </c>
      <c r="D8640" s="27">
        <v>0</v>
      </c>
      <c r="E8640" s="27">
        <v>0</v>
      </c>
    </row>
    <row r="8641" spans="1:5" hidden="1" outlineLevel="2">
      <c r="A8641" s="3" t="e">
        <f>(HYPERLINK("http://www.autodoc.ru/Web/price/art/8005ACL?analog=on","8005ACL"))*1</f>
        <v>#VALUE!</v>
      </c>
      <c r="B8641" s="1">
        <v>6969370</v>
      </c>
      <c r="C8641" t="s">
        <v>8828</v>
      </c>
      <c r="D8641" t="s">
        <v>8829</v>
      </c>
      <c r="E8641" t="s">
        <v>8</v>
      </c>
    </row>
    <row r="8642" spans="1:5" hidden="1" outlineLevel="2">
      <c r="A8642" s="3" t="e">
        <f>(HYPERLINK("http://www.autodoc.ru/Web/price/art/8005AGN?analog=on","8005AGN"))*1</f>
        <v>#VALUE!</v>
      </c>
      <c r="B8642" s="1">
        <v>6969371</v>
      </c>
      <c r="C8642" t="s">
        <v>8828</v>
      </c>
      <c r="D8642" t="s">
        <v>8830</v>
      </c>
      <c r="E8642" t="s">
        <v>8</v>
      </c>
    </row>
    <row r="8643" spans="1:5" hidden="1" outlineLevel="2">
      <c r="A8643" s="3" t="e">
        <f>(HYPERLINK("http://www.autodoc.ru/Web/price/art/8005ASRR?analog=on","8005ASRR"))*1</f>
        <v>#VALUE!</v>
      </c>
      <c r="B8643" s="1">
        <v>6100536</v>
      </c>
      <c r="C8643" t="s">
        <v>19</v>
      </c>
      <c r="D8643" t="s">
        <v>8831</v>
      </c>
      <c r="E8643" t="s">
        <v>21</v>
      </c>
    </row>
    <row r="8644" spans="1:5" hidden="1" outlineLevel="2">
      <c r="A8644" s="3" t="e">
        <f>(HYPERLINK("http://www.autodoc.ru/Web/price/art/8005LCLR3FD?analog=on","8005LCLR3FD"))*1</f>
        <v>#VALUE!</v>
      </c>
      <c r="B8644" s="1">
        <v>6994660</v>
      </c>
      <c r="C8644" t="s">
        <v>8828</v>
      </c>
      <c r="D8644" t="s">
        <v>8832</v>
      </c>
      <c r="E8644" t="s">
        <v>10</v>
      </c>
    </row>
    <row r="8645" spans="1:5" hidden="1" outlineLevel="2">
      <c r="A8645" s="3" t="e">
        <f>(HYPERLINK("http://www.autodoc.ru/Web/price/art/8005RCLR3FD?analog=on","8005RCLR3FD"))*1</f>
        <v>#VALUE!</v>
      </c>
      <c r="B8645" s="1">
        <v>6994661</v>
      </c>
      <c r="C8645" t="s">
        <v>8828</v>
      </c>
      <c r="D8645" t="s">
        <v>8833</v>
      </c>
      <c r="E8645" t="s">
        <v>10</v>
      </c>
    </row>
    <row r="8646" spans="1:5" hidden="1" outlineLevel="1">
      <c r="A8646" s="2">
        <v>0</v>
      </c>
      <c r="B8646" s="26" t="s">
        <v>8834</v>
      </c>
      <c r="C8646" s="27">
        <v>0</v>
      </c>
      <c r="D8646" s="27">
        <v>0</v>
      </c>
      <c r="E8646" s="27">
        <v>0</v>
      </c>
    </row>
    <row r="8647" spans="1:5" hidden="1" outlineLevel="2">
      <c r="A8647" s="3" t="e">
        <f>(HYPERLINK("http://www.autodoc.ru/Web/price/art/8034BGDHW?analog=on","8034BGDHW"))*1</f>
        <v>#VALUE!</v>
      </c>
      <c r="B8647" s="1">
        <v>6995119</v>
      </c>
      <c r="C8647" t="s">
        <v>366</v>
      </c>
      <c r="D8647" t="s">
        <v>8835</v>
      </c>
      <c r="E8647" t="s">
        <v>23</v>
      </c>
    </row>
    <row r="8648" spans="1:5" hidden="1" outlineLevel="2">
      <c r="A8648" s="3" t="e">
        <f>(HYPERLINK("http://www.autodoc.ru/Web/price/art/8034BGNHW?analog=on","8034BGNHW"))*1</f>
        <v>#VALUE!</v>
      </c>
      <c r="B8648" s="1">
        <v>6995120</v>
      </c>
      <c r="C8648" t="s">
        <v>366</v>
      </c>
      <c r="D8648" t="s">
        <v>8836</v>
      </c>
      <c r="E8648" t="s">
        <v>23</v>
      </c>
    </row>
    <row r="8649" spans="1:5" hidden="1" outlineLevel="1">
      <c r="A8649" s="2">
        <v>0</v>
      </c>
      <c r="B8649" s="26" t="s">
        <v>8837</v>
      </c>
      <c r="C8649" s="27">
        <v>0</v>
      </c>
      <c r="D8649" s="27">
        <v>0</v>
      </c>
      <c r="E8649" s="27">
        <v>0</v>
      </c>
    </row>
    <row r="8650" spans="1:5" hidden="1" outlineLevel="2">
      <c r="A8650" s="3" t="e">
        <f>(HYPERLINK("http://www.autodoc.ru/Web/price/art/8007ABL?analog=on","8007ABL"))*1</f>
        <v>#VALUE!</v>
      </c>
      <c r="B8650" s="1">
        <v>6963670</v>
      </c>
      <c r="C8650" t="s">
        <v>449</v>
      </c>
      <c r="D8650" t="s">
        <v>8838</v>
      </c>
      <c r="E8650" t="s">
        <v>8</v>
      </c>
    </row>
    <row r="8651" spans="1:5" hidden="1" outlineLevel="2">
      <c r="A8651" s="3" t="e">
        <f>(HYPERLINK("http://www.autodoc.ru/Web/price/art/8007ACL?analog=on","8007ACL"))*1</f>
        <v>#VALUE!</v>
      </c>
      <c r="B8651" s="1">
        <v>6963671</v>
      </c>
      <c r="C8651" t="s">
        <v>449</v>
      </c>
      <c r="D8651" t="s">
        <v>8839</v>
      </c>
      <c r="E8651" t="s">
        <v>8</v>
      </c>
    </row>
    <row r="8652" spans="1:5" hidden="1" outlineLevel="2">
      <c r="A8652" s="3" t="e">
        <f>(HYPERLINK("http://www.autodoc.ru/Web/price/art/8007AKMH?analog=on","8007AKMH"))*1</f>
        <v>#VALUE!</v>
      </c>
      <c r="B8652" s="1">
        <v>6101465</v>
      </c>
      <c r="C8652" t="s">
        <v>19</v>
      </c>
      <c r="D8652" t="s">
        <v>8840</v>
      </c>
      <c r="E8652" t="s">
        <v>21</v>
      </c>
    </row>
    <row r="8653" spans="1:5" hidden="1" outlineLevel="1">
      <c r="A8653" s="2">
        <v>0</v>
      </c>
      <c r="B8653" s="26" t="s">
        <v>8841</v>
      </c>
      <c r="C8653" s="27">
        <v>0</v>
      </c>
      <c r="D8653" s="27">
        <v>0</v>
      </c>
      <c r="E8653" s="27">
        <v>0</v>
      </c>
    </row>
    <row r="8654" spans="1:5" hidden="1" outlineLevel="2">
      <c r="A8654" s="3" t="e">
        <f>(HYPERLINK("http://www.autodoc.ru/Web/price/art/8011ABL?analog=on","8011ABL"))*1</f>
        <v>#VALUE!</v>
      </c>
      <c r="B8654" s="1">
        <v>6969318</v>
      </c>
      <c r="C8654" t="s">
        <v>8842</v>
      </c>
      <c r="D8654" t="s">
        <v>8843</v>
      </c>
      <c r="E8654" t="s">
        <v>8</v>
      </c>
    </row>
    <row r="8655" spans="1:5" hidden="1" outlineLevel="2">
      <c r="A8655" s="3" t="e">
        <f>(HYPERLINK("http://www.autodoc.ru/Web/price/art/8011ABLBL?analog=on","8011ABLBL"))*1</f>
        <v>#VALUE!</v>
      </c>
      <c r="B8655" s="1">
        <v>6969319</v>
      </c>
      <c r="C8655" t="s">
        <v>8842</v>
      </c>
      <c r="D8655" t="s">
        <v>8844</v>
      </c>
      <c r="E8655" t="s">
        <v>8</v>
      </c>
    </row>
    <row r="8656" spans="1:5" hidden="1" outlineLevel="2">
      <c r="A8656" s="3" t="e">
        <f>(HYPERLINK("http://www.autodoc.ru/Web/price/art/8011ACL?analog=on","8011ACL"))*1</f>
        <v>#VALUE!</v>
      </c>
      <c r="B8656" s="1">
        <v>6969317</v>
      </c>
      <c r="C8656" t="s">
        <v>8842</v>
      </c>
      <c r="D8656" t="s">
        <v>8845</v>
      </c>
      <c r="E8656" t="s">
        <v>8</v>
      </c>
    </row>
    <row r="8657" spans="1:5" hidden="1" outlineLevel="2">
      <c r="A8657" s="3" t="e">
        <f>(HYPERLINK("http://www.autodoc.ru/Web/price/art/8011ASMH?analog=on","8011ASMH"))*1</f>
        <v>#VALUE!</v>
      </c>
      <c r="B8657" s="1">
        <v>6100216</v>
      </c>
      <c r="C8657" t="s">
        <v>19</v>
      </c>
      <c r="D8657" t="s">
        <v>8846</v>
      </c>
      <c r="E8657" t="s">
        <v>21</v>
      </c>
    </row>
    <row r="8658" spans="1:5" hidden="1" outlineLevel="2">
      <c r="A8658" s="3" t="e">
        <f>(HYPERLINK("http://www.autodoc.ru/Web/price/art/8011BBLH?analog=on","8011BBLH"))*1</f>
        <v>#VALUE!</v>
      </c>
      <c r="B8658" s="1">
        <v>6998866</v>
      </c>
      <c r="C8658" t="s">
        <v>8842</v>
      </c>
      <c r="D8658" t="s">
        <v>8847</v>
      </c>
      <c r="E8658" t="s">
        <v>23</v>
      </c>
    </row>
    <row r="8659" spans="1:5" hidden="1" outlineLevel="2">
      <c r="A8659" s="3" t="e">
        <f>(HYPERLINK("http://www.autodoc.ru/Web/price/art/8011BCLH?analog=on","8011BCLH"))*1</f>
        <v>#VALUE!</v>
      </c>
      <c r="B8659" s="1">
        <v>6998867</v>
      </c>
      <c r="C8659" t="s">
        <v>8842</v>
      </c>
      <c r="D8659" t="s">
        <v>8848</v>
      </c>
      <c r="E8659" t="s">
        <v>23</v>
      </c>
    </row>
    <row r="8660" spans="1:5" hidden="1" outlineLevel="2">
      <c r="A8660" s="3" t="e">
        <f>(HYPERLINK("http://www.autodoc.ru/Web/price/art/8011LBLH3FD?analog=on","8011LBLH3FD"))*1</f>
        <v>#VALUE!</v>
      </c>
      <c r="B8660" s="1">
        <v>6995845</v>
      </c>
      <c r="C8660" t="s">
        <v>8842</v>
      </c>
      <c r="D8660" t="s">
        <v>8849</v>
      </c>
      <c r="E8660" t="s">
        <v>10</v>
      </c>
    </row>
    <row r="8661" spans="1:5" hidden="1" outlineLevel="2">
      <c r="A8661" s="3" t="e">
        <f>(HYPERLINK("http://www.autodoc.ru/Web/price/art/8011LBLH3RQO?analog=on","8011LBLH3RQO"))*1</f>
        <v>#VALUE!</v>
      </c>
      <c r="B8661" s="1">
        <v>6999445</v>
      </c>
      <c r="C8661" t="s">
        <v>8842</v>
      </c>
      <c r="D8661" t="s">
        <v>8850</v>
      </c>
      <c r="E8661" t="s">
        <v>10</v>
      </c>
    </row>
    <row r="8662" spans="1:5" hidden="1" outlineLevel="2">
      <c r="A8662" s="3" t="e">
        <f>(HYPERLINK("http://www.autodoc.ru/Web/price/art/8011LCLH3FD?analog=on","8011LCLH3FD"))*1</f>
        <v>#VALUE!</v>
      </c>
      <c r="B8662" s="1">
        <v>6995847</v>
      </c>
      <c r="C8662" t="s">
        <v>8842</v>
      </c>
      <c r="D8662" t="s">
        <v>8851</v>
      </c>
      <c r="E8662" t="s">
        <v>10</v>
      </c>
    </row>
    <row r="8663" spans="1:5" hidden="1" outlineLevel="2">
      <c r="A8663" s="3" t="e">
        <f>(HYPERLINK("http://www.autodoc.ru/Web/price/art/8011RBLH3FD?analog=on","8011RBLH3FD"))*1</f>
        <v>#VALUE!</v>
      </c>
      <c r="B8663" s="1">
        <v>6995846</v>
      </c>
      <c r="C8663" t="s">
        <v>8842</v>
      </c>
      <c r="D8663" t="s">
        <v>8852</v>
      </c>
      <c r="E8663" t="s">
        <v>10</v>
      </c>
    </row>
    <row r="8664" spans="1:5" hidden="1" outlineLevel="2">
      <c r="A8664" s="3" t="e">
        <f>(HYPERLINK("http://www.autodoc.ru/Web/price/art/8011RBLH3RQO?analog=on","8011RBLH3RQO"))*1</f>
        <v>#VALUE!</v>
      </c>
      <c r="B8664" s="1">
        <v>6999446</v>
      </c>
      <c r="C8664" t="s">
        <v>8842</v>
      </c>
      <c r="D8664" t="s">
        <v>8853</v>
      </c>
      <c r="E8664" t="s">
        <v>10</v>
      </c>
    </row>
    <row r="8665" spans="1:5" hidden="1" outlineLevel="2">
      <c r="A8665" s="3" t="e">
        <f>(HYPERLINK("http://www.autodoc.ru/Web/price/art/8011RCLH3FD?analog=on","8011RCLH3FD"))*1</f>
        <v>#VALUE!</v>
      </c>
      <c r="B8665" s="1">
        <v>6995848</v>
      </c>
      <c r="C8665" t="s">
        <v>8842</v>
      </c>
      <c r="D8665" t="s">
        <v>8854</v>
      </c>
      <c r="E8665" t="s">
        <v>10</v>
      </c>
    </row>
    <row r="8666" spans="1:5" hidden="1" outlineLevel="1">
      <c r="A8666" s="2">
        <v>0</v>
      </c>
      <c r="B8666" s="26" t="s">
        <v>8855</v>
      </c>
      <c r="C8666" s="27">
        <v>0</v>
      </c>
      <c r="D8666" s="27">
        <v>0</v>
      </c>
      <c r="E8666" s="27">
        <v>0</v>
      </c>
    </row>
    <row r="8667" spans="1:5" hidden="1" outlineLevel="2">
      <c r="A8667" s="3" t="e">
        <f>(HYPERLINK("http://www.autodoc.ru/Web/price/art/8012ABL?analog=on","8012ABL"))*1</f>
        <v>#VALUE!</v>
      </c>
      <c r="B8667" s="1">
        <v>6969330</v>
      </c>
      <c r="C8667" t="s">
        <v>8856</v>
      </c>
      <c r="D8667" t="s">
        <v>8857</v>
      </c>
      <c r="E8667" t="s">
        <v>8</v>
      </c>
    </row>
    <row r="8668" spans="1:5" hidden="1" outlineLevel="2">
      <c r="A8668" s="3" t="e">
        <f>(HYPERLINK("http://www.autodoc.ru/Web/price/art/8012ACL?analog=on","8012ACL"))*1</f>
        <v>#VALUE!</v>
      </c>
      <c r="B8668" s="1">
        <v>6969329</v>
      </c>
      <c r="C8668" t="s">
        <v>8856</v>
      </c>
      <c r="D8668" t="s">
        <v>8858</v>
      </c>
      <c r="E8668" t="s">
        <v>8</v>
      </c>
    </row>
    <row r="8669" spans="1:5" hidden="1" outlineLevel="2">
      <c r="A8669" s="3" t="e">
        <f>(HYPERLINK("http://www.autodoc.ru/Web/price/art/8012ASMH?analog=on","8012ASMH"))*1</f>
        <v>#VALUE!</v>
      </c>
      <c r="B8669" s="1">
        <v>6100217</v>
      </c>
      <c r="C8669" t="s">
        <v>19</v>
      </c>
      <c r="D8669" t="s">
        <v>8859</v>
      </c>
      <c r="E8669" t="s">
        <v>21</v>
      </c>
    </row>
    <row r="8670" spans="1:5" hidden="1" outlineLevel="2">
      <c r="A8670" s="3" t="e">
        <f>(HYPERLINK("http://www.autodoc.ru/Web/price/art/8012BBLH?analog=on","8012BBLH"))*1</f>
        <v>#VALUE!</v>
      </c>
      <c r="B8670" s="1">
        <v>6997308</v>
      </c>
      <c r="C8670" t="s">
        <v>8856</v>
      </c>
      <c r="D8670" t="s">
        <v>8860</v>
      </c>
      <c r="E8670" t="s">
        <v>23</v>
      </c>
    </row>
    <row r="8671" spans="1:5" hidden="1" outlineLevel="2">
      <c r="A8671" s="3" t="e">
        <f>(HYPERLINK("http://www.autodoc.ru/Web/price/art/8012LBLH5FD?analog=on","8012LBLH5FD"))*1</f>
        <v>#VALUE!</v>
      </c>
      <c r="B8671" s="1">
        <v>6999195</v>
      </c>
      <c r="C8671" t="s">
        <v>8856</v>
      </c>
      <c r="D8671" t="s">
        <v>8861</v>
      </c>
      <c r="E8671" t="s">
        <v>10</v>
      </c>
    </row>
    <row r="8672" spans="1:5" hidden="1" outlineLevel="2">
      <c r="A8672" s="3" t="e">
        <f>(HYPERLINK("http://www.autodoc.ru/Web/price/art/8012LBLH5RQ?analog=on","8012LBLH5RQ"))*1</f>
        <v>#VALUE!</v>
      </c>
      <c r="B8672" s="1">
        <v>6999447</v>
      </c>
      <c r="C8672" t="s">
        <v>8856</v>
      </c>
      <c r="D8672" t="s">
        <v>8862</v>
      </c>
      <c r="E8672" t="s">
        <v>10</v>
      </c>
    </row>
    <row r="8673" spans="1:5" hidden="1" outlineLevel="2">
      <c r="A8673" s="3" t="e">
        <f>(HYPERLINK("http://www.autodoc.ru/Web/price/art/8012RBLH5RQ?analog=on","8012RBLH5RQ"))*1</f>
        <v>#VALUE!</v>
      </c>
      <c r="B8673" s="1">
        <v>6999448</v>
      </c>
      <c r="C8673" t="s">
        <v>8856</v>
      </c>
      <c r="D8673" t="s">
        <v>8863</v>
      </c>
      <c r="E8673" t="s">
        <v>10</v>
      </c>
    </row>
    <row r="8674" spans="1:5" hidden="1" outlineLevel="2">
      <c r="A8674" s="3" t="e">
        <f>(HYPERLINK("http://www.autodoc.ru/Web/price/art/8012RCLH5FD?analog=on","8012RCLH5FD"))*1</f>
        <v>#VALUE!</v>
      </c>
      <c r="B8674" s="1">
        <v>6998456</v>
      </c>
      <c r="C8674" t="s">
        <v>8856</v>
      </c>
      <c r="D8674" t="s">
        <v>8864</v>
      </c>
      <c r="E8674" t="s">
        <v>10</v>
      </c>
    </row>
    <row r="8675" spans="1:5" hidden="1" outlineLevel="1">
      <c r="A8675" s="2">
        <v>0</v>
      </c>
      <c r="B8675" s="26" t="s">
        <v>8865</v>
      </c>
      <c r="C8675" s="27">
        <v>0</v>
      </c>
      <c r="D8675" s="27">
        <v>0</v>
      </c>
      <c r="E8675" s="27">
        <v>0</v>
      </c>
    </row>
    <row r="8676" spans="1:5" hidden="1" outlineLevel="2">
      <c r="A8676" s="3" t="e">
        <f>(HYPERLINK("http://www.autodoc.ru/Web/price/art/8031AGN?analog=on","8031AGN"))*1</f>
        <v>#VALUE!</v>
      </c>
      <c r="B8676" s="1">
        <v>6961320</v>
      </c>
      <c r="C8676" t="s">
        <v>904</v>
      </c>
      <c r="D8676" t="s">
        <v>8866</v>
      </c>
      <c r="E8676" t="s">
        <v>8</v>
      </c>
    </row>
    <row r="8677" spans="1:5" hidden="1" outlineLevel="2">
      <c r="A8677" s="3" t="e">
        <f>(HYPERLINK("http://www.autodoc.ru/Web/price/art/8031BGNHW?analog=on","8031BGNHW"))*1</f>
        <v>#VALUE!</v>
      </c>
      <c r="B8677" s="1">
        <v>6996339</v>
      </c>
      <c r="C8677" t="s">
        <v>904</v>
      </c>
      <c r="D8677" t="s">
        <v>8867</v>
      </c>
      <c r="E8677" t="s">
        <v>23</v>
      </c>
    </row>
    <row r="8678" spans="1:5" hidden="1" outlineLevel="2">
      <c r="A8678" s="3" t="e">
        <f>(HYPERLINK("http://www.autodoc.ru/Web/price/art/8031LGNH5FD?analog=on","8031LGNH5FD"))*1</f>
        <v>#VALUE!</v>
      </c>
      <c r="B8678" s="1">
        <v>6900628</v>
      </c>
      <c r="C8678" t="s">
        <v>904</v>
      </c>
      <c r="D8678" t="s">
        <v>8868</v>
      </c>
      <c r="E8678" t="s">
        <v>10</v>
      </c>
    </row>
    <row r="8679" spans="1:5" hidden="1" outlineLevel="2">
      <c r="A8679" s="3" t="e">
        <f>(HYPERLINK("http://www.autodoc.ru/Web/price/art/8031LGNH5RD?analog=on","8031LGNH5RD"))*1</f>
        <v>#VALUE!</v>
      </c>
      <c r="B8679" s="1">
        <v>6900789</v>
      </c>
      <c r="C8679" t="s">
        <v>904</v>
      </c>
      <c r="D8679" t="s">
        <v>8869</v>
      </c>
      <c r="E8679" t="s">
        <v>10</v>
      </c>
    </row>
    <row r="8680" spans="1:5" hidden="1" outlineLevel="2">
      <c r="A8680" s="3" t="e">
        <f>(HYPERLINK("http://www.autodoc.ru/Web/price/art/8031RGNH5FD?analog=on","8031RGNH5FD"))*1</f>
        <v>#VALUE!</v>
      </c>
      <c r="B8680" s="1">
        <v>6900627</v>
      </c>
      <c r="C8680" t="s">
        <v>904</v>
      </c>
      <c r="D8680" t="s">
        <v>8870</v>
      </c>
      <c r="E8680" t="s">
        <v>10</v>
      </c>
    </row>
    <row r="8681" spans="1:5" hidden="1" outlineLevel="2">
      <c r="A8681" s="3" t="e">
        <f>(HYPERLINK("http://www.autodoc.ru/Web/price/art/8031RGNH5RD?analog=on","8031RGNH5RD"))*1</f>
        <v>#VALUE!</v>
      </c>
      <c r="B8681" s="1">
        <v>6900629</v>
      </c>
      <c r="C8681" t="s">
        <v>904</v>
      </c>
      <c r="D8681" t="s">
        <v>8871</v>
      </c>
      <c r="E8681" t="s">
        <v>10</v>
      </c>
    </row>
    <row r="8682" spans="1:5" hidden="1" outlineLevel="2">
      <c r="A8682" s="3" t="e">
        <f>(HYPERLINK("http://www.autodoc.ru/Web/price/art/8031RGNH5RV?analog=on","8031RGNH5RV"))*1</f>
        <v>#VALUE!</v>
      </c>
      <c r="B8682" s="1">
        <v>6900630</v>
      </c>
      <c r="C8682" t="s">
        <v>904</v>
      </c>
      <c r="D8682" t="s">
        <v>8872</v>
      </c>
      <c r="E8682" t="s">
        <v>10</v>
      </c>
    </row>
    <row r="8683" spans="1:5" hidden="1" outlineLevel="1">
      <c r="A8683" s="2">
        <v>0</v>
      </c>
      <c r="B8683" s="26" t="s">
        <v>8873</v>
      </c>
      <c r="C8683" s="27">
        <v>0</v>
      </c>
      <c r="D8683" s="27">
        <v>0</v>
      </c>
      <c r="E8683" s="27">
        <v>0</v>
      </c>
    </row>
    <row r="8684" spans="1:5" hidden="1" outlineLevel="2">
      <c r="A8684" s="3" t="e">
        <f>(HYPERLINK("http://www.autodoc.ru/Web/price/art/8037AGSZ?analog=on","8037AGSZ"))*1</f>
        <v>#VALUE!</v>
      </c>
      <c r="B8684" s="1">
        <v>6964767</v>
      </c>
      <c r="C8684" t="s">
        <v>341</v>
      </c>
      <c r="D8684" t="s">
        <v>8874</v>
      </c>
      <c r="E8684" t="s">
        <v>8</v>
      </c>
    </row>
    <row r="8685" spans="1:5" hidden="1" outlineLevel="2">
      <c r="A8685" s="3" t="e">
        <f>(HYPERLINK("http://www.autodoc.ru/Web/price/art/8037LGNH5FDW?analog=on","8037LGNH5FDW"))*1</f>
        <v>#VALUE!</v>
      </c>
      <c r="B8685" s="1">
        <v>6900758</v>
      </c>
      <c r="C8685" t="s">
        <v>341</v>
      </c>
      <c r="D8685" t="s">
        <v>8875</v>
      </c>
      <c r="E8685" t="s">
        <v>10</v>
      </c>
    </row>
    <row r="8686" spans="1:5" hidden="1" outlineLevel="2">
      <c r="A8686" s="3" t="e">
        <f>(HYPERLINK("http://www.autodoc.ru/Web/price/art/8037LGNH5RDW?analog=on","8037LGNH5RDW"))*1</f>
        <v>#VALUE!</v>
      </c>
      <c r="B8686" s="1">
        <v>6901004</v>
      </c>
      <c r="C8686" t="s">
        <v>341</v>
      </c>
      <c r="D8686" t="s">
        <v>8876</v>
      </c>
      <c r="E8686" t="s">
        <v>10</v>
      </c>
    </row>
    <row r="8687" spans="1:5" hidden="1" outlineLevel="2">
      <c r="A8687" s="3" t="e">
        <f>(HYPERLINK("http://www.autodoc.ru/Web/price/art/8037LGNH5RV?analog=on","8037LGNH5RV"))*1</f>
        <v>#VALUE!</v>
      </c>
      <c r="B8687" s="1">
        <v>6900987</v>
      </c>
      <c r="C8687" t="s">
        <v>341</v>
      </c>
      <c r="D8687" t="s">
        <v>8877</v>
      </c>
      <c r="E8687" t="s">
        <v>10</v>
      </c>
    </row>
    <row r="8688" spans="1:5" hidden="1" outlineLevel="2">
      <c r="A8688" s="3" t="e">
        <f>(HYPERLINK("http://www.autodoc.ru/Web/price/art/8037LYPH5RDW?analog=on","8037LYPH5RDW"))*1</f>
        <v>#VALUE!</v>
      </c>
      <c r="B8688" s="1">
        <v>6901006</v>
      </c>
      <c r="C8688" t="s">
        <v>341</v>
      </c>
      <c r="D8688" t="s">
        <v>8878</v>
      </c>
      <c r="E8688" t="s">
        <v>10</v>
      </c>
    </row>
    <row r="8689" spans="1:5" hidden="1" outlineLevel="2">
      <c r="A8689" s="3" t="e">
        <f>(HYPERLINK("http://www.autodoc.ru/Web/price/art/8037LYPH5RV?analog=on","8037LYPH5RV"))*1</f>
        <v>#VALUE!</v>
      </c>
      <c r="B8689" s="1">
        <v>6900989</v>
      </c>
      <c r="C8689" t="s">
        <v>341</v>
      </c>
      <c r="D8689" t="s">
        <v>8879</v>
      </c>
      <c r="E8689" t="s">
        <v>10</v>
      </c>
    </row>
    <row r="8690" spans="1:5" hidden="1" outlineLevel="2">
      <c r="A8690" s="3" t="e">
        <f>(HYPERLINK("http://www.autodoc.ru/Web/price/art/8037RGNH5FDW?analog=on","8037RGNH5FDW"))*1</f>
        <v>#VALUE!</v>
      </c>
      <c r="B8690" s="1">
        <v>6900666</v>
      </c>
      <c r="C8690" t="s">
        <v>341</v>
      </c>
      <c r="D8690" t="s">
        <v>8880</v>
      </c>
      <c r="E8690" t="s">
        <v>10</v>
      </c>
    </row>
    <row r="8691" spans="1:5" hidden="1" outlineLevel="2">
      <c r="A8691" s="3" t="e">
        <f>(HYPERLINK("http://www.autodoc.ru/Web/price/art/8037RGNH5RDW?analog=on","8037RGNH5RDW"))*1</f>
        <v>#VALUE!</v>
      </c>
      <c r="B8691" s="1">
        <v>6901003</v>
      </c>
      <c r="C8691" t="s">
        <v>341</v>
      </c>
      <c r="D8691" t="s">
        <v>8881</v>
      </c>
      <c r="E8691" t="s">
        <v>10</v>
      </c>
    </row>
    <row r="8692" spans="1:5" hidden="1" outlineLevel="2">
      <c r="A8692" s="3" t="e">
        <f>(HYPERLINK("http://www.autodoc.ru/Web/price/art/8037RGNH5RV?analog=on","8037RGNH5RV"))*1</f>
        <v>#VALUE!</v>
      </c>
      <c r="B8692" s="1">
        <v>6900986</v>
      </c>
      <c r="C8692" t="s">
        <v>341</v>
      </c>
      <c r="D8692" t="s">
        <v>8882</v>
      </c>
      <c r="E8692" t="s">
        <v>10</v>
      </c>
    </row>
    <row r="8693" spans="1:5" hidden="1" outlineLevel="2">
      <c r="A8693" s="3" t="e">
        <f>(HYPERLINK("http://www.autodoc.ru/Web/price/art/8037RYPH5RDW?analog=on","8037RYPH5RDW"))*1</f>
        <v>#VALUE!</v>
      </c>
      <c r="B8693" s="1">
        <v>6901005</v>
      </c>
      <c r="C8693" t="s">
        <v>341</v>
      </c>
      <c r="D8693" t="s">
        <v>8883</v>
      </c>
      <c r="E8693" t="s">
        <v>10</v>
      </c>
    </row>
    <row r="8694" spans="1:5" hidden="1" outlineLevel="2">
      <c r="A8694" s="3" t="e">
        <f>(HYPERLINK("http://www.autodoc.ru/Web/price/art/8037RYPH5RV?analog=on","8037RYPH5RV"))*1</f>
        <v>#VALUE!</v>
      </c>
      <c r="B8694" s="1">
        <v>6900988</v>
      </c>
      <c r="C8694" t="s">
        <v>341</v>
      </c>
      <c r="D8694" t="s">
        <v>8884</v>
      </c>
      <c r="E8694" t="s">
        <v>10</v>
      </c>
    </row>
    <row r="8695" spans="1:5" hidden="1" outlineLevel="1">
      <c r="A8695" s="2">
        <v>0</v>
      </c>
      <c r="B8695" s="26" t="s">
        <v>8885</v>
      </c>
      <c r="C8695" s="27">
        <v>0</v>
      </c>
      <c r="D8695" s="27">
        <v>0</v>
      </c>
      <c r="E8695" s="27">
        <v>0</v>
      </c>
    </row>
    <row r="8696" spans="1:5" hidden="1" outlineLevel="2">
      <c r="A8696" s="3" t="e">
        <f>(HYPERLINK("http://www.autodoc.ru/Web/price/art/8033AGS?analog=on","8033AGS"))*1</f>
        <v>#VALUE!</v>
      </c>
      <c r="B8696" s="1">
        <v>6190113</v>
      </c>
      <c r="C8696" t="s">
        <v>389</v>
      </c>
      <c r="D8696" t="s">
        <v>8886</v>
      </c>
      <c r="E8696" t="s">
        <v>8</v>
      </c>
    </row>
    <row r="8697" spans="1:5" hidden="1" outlineLevel="2">
      <c r="A8697" s="3" t="e">
        <f>(HYPERLINK("http://www.autodoc.ru/Web/price/art/3363ASMR?analog=on","3363ASMR"))*1</f>
        <v>#VALUE!</v>
      </c>
      <c r="B8697" s="1">
        <v>6102023</v>
      </c>
      <c r="C8697" t="s">
        <v>19</v>
      </c>
      <c r="D8697" t="s">
        <v>8887</v>
      </c>
      <c r="E8697" t="s">
        <v>21</v>
      </c>
    </row>
    <row r="8698" spans="1:5" hidden="1" outlineLevel="2">
      <c r="A8698" s="3" t="e">
        <f>(HYPERLINK("http://www.autodoc.ru/Web/price/art/8033LGSR5FD?analog=on","8033LGSR5FD"))*1</f>
        <v>#VALUE!</v>
      </c>
      <c r="B8698" s="1">
        <v>6190885</v>
      </c>
      <c r="C8698" t="s">
        <v>389</v>
      </c>
      <c r="D8698" t="s">
        <v>8888</v>
      </c>
      <c r="E8698" t="s">
        <v>10</v>
      </c>
    </row>
    <row r="8699" spans="1:5" hidden="1" outlineLevel="2">
      <c r="A8699" s="3" t="e">
        <f>(HYPERLINK("http://www.autodoc.ru/Web/price/art/8033LGSR5FQZ?analog=on","8033LGSR5FQZ"))*1</f>
        <v>#VALUE!</v>
      </c>
      <c r="B8699" s="1">
        <v>6993957</v>
      </c>
      <c r="C8699" t="s">
        <v>389</v>
      </c>
      <c r="D8699" t="s">
        <v>8889</v>
      </c>
      <c r="E8699" t="s">
        <v>10</v>
      </c>
    </row>
    <row r="8700" spans="1:5" hidden="1" outlineLevel="2">
      <c r="A8700" s="3" t="e">
        <f>(HYPERLINK("http://www.autodoc.ru/Web/price/art/8033LGSR5RD?analog=on","8033LGSR5RD"))*1</f>
        <v>#VALUE!</v>
      </c>
      <c r="B8700" s="1">
        <v>6190886</v>
      </c>
      <c r="C8700" t="s">
        <v>389</v>
      </c>
      <c r="D8700" t="s">
        <v>8890</v>
      </c>
      <c r="E8700" t="s">
        <v>10</v>
      </c>
    </row>
    <row r="8701" spans="1:5" hidden="1" outlineLevel="2">
      <c r="A8701" s="3" t="e">
        <f>(HYPERLINK("http://www.autodoc.ru/Web/price/art/8033RGSR5FD?analog=on","8033RGSR5FD"))*1</f>
        <v>#VALUE!</v>
      </c>
      <c r="B8701" s="1">
        <v>6190887</v>
      </c>
      <c r="C8701" t="s">
        <v>389</v>
      </c>
      <c r="D8701" t="s">
        <v>8891</v>
      </c>
      <c r="E8701" t="s">
        <v>10</v>
      </c>
    </row>
    <row r="8702" spans="1:5" hidden="1" outlineLevel="2">
      <c r="A8702" s="3" t="e">
        <f>(HYPERLINK("http://www.autodoc.ru/Web/price/art/8033RGSR5FQZ?analog=on","8033RGSR5FQZ"))*1</f>
        <v>#VALUE!</v>
      </c>
      <c r="B8702" s="1">
        <v>6993956</v>
      </c>
      <c r="C8702" t="s">
        <v>389</v>
      </c>
      <c r="D8702" t="s">
        <v>8892</v>
      </c>
      <c r="E8702" t="s">
        <v>10</v>
      </c>
    </row>
    <row r="8703" spans="1:5" hidden="1" outlineLevel="2">
      <c r="A8703" s="3" t="e">
        <f>(HYPERLINK("http://www.autodoc.ru/Web/price/art/8033RGSR5RD?analog=on","8033RGSR5RD"))*1</f>
        <v>#VALUE!</v>
      </c>
      <c r="B8703" s="1">
        <v>6190888</v>
      </c>
      <c r="C8703" t="s">
        <v>389</v>
      </c>
      <c r="D8703" t="s">
        <v>8893</v>
      </c>
      <c r="E8703" t="s">
        <v>10</v>
      </c>
    </row>
    <row r="8704" spans="1:5" hidden="1" outlineLevel="1">
      <c r="A8704" s="2">
        <v>0</v>
      </c>
      <c r="B8704" s="26" t="s">
        <v>8894</v>
      </c>
      <c r="C8704" s="27">
        <v>0</v>
      </c>
      <c r="D8704" s="27">
        <v>0</v>
      </c>
      <c r="E8704" s="27">
        <v>0</v>
      </c>
    </row>
    <row r="8705" spans="1:5" hidden="1" outlineLevel="2">
      <c r="A8705" s="3" t="e">
        <f>(HYPERLINK("http://www.autodoc.ru/Web/price/art/3363AGS?analog=on","3363AGS"))*1</f>
        <v>#VALUE!</v>
      </c>
      <c r="B8705" s="1">
        <v>6961777</v>
      </c>
      <c r="C8705" t="s">
        <v>389</v>
      </c>
      <c r="D8705" t="s">
        <v>8895</v>
      </c>
      <c r="E8705" t="s">
        <v>8</v>
      </c>
    </row>
    <row r="8706" spans="1:5" hidden="1" outlineLevel="2">
      <c r="A8706" s="3" t="e">
        <f>(HYPERLINK("http://www.autodoc.ru/Web/price/art/3363ASMR?analog=on","3363ASMR"))*1</f>
        <v>#VALUE!</v>
      </c>
      <c r="B8706" s="1">
        <v>6102023</v>
      </c>
      <c r="C8706" t="s">
        <v>19</v>
      </c>
      <c r="D8706" t="s">
        <v>8887</v>
      </c>
      <c r="E8706" t="s">
        <v>21</v>
      </c>
    </row>
    <row r="8707" spans="1:5" hidden="1" outlineLevel="2">
      <c r="A8707" s="3" t="e">
        <f>(HYPERLINK("http://www.autodoc.ru/Web/price/art/3363BGSR?analog=on","3363BGSR"))*1</f>
        <v>#VALUE!</v>
      </c>
      <c r="B8707" s="1">
        <v>6900853</v>
      </c>
      <c r="C8707" t="s">
        <v>389</v>
      </c>
      <c r="D8707" t="s">
        <v>8896</v>
      </c>
      <c r="E8707" t="s">
        <v>23</v>
      </c>
    </row>
    <row r="8708" spans="1:5" hidden="1" outlineLevel="2">
      <c r="A8708" s="3" t="e">
        <f>(HYPERLINK("http://www.autodoc.ru/Web/price/art/3363LGSR5FD?analog=on","3363LGSR5FD"))*1</f>
        <v>#VALUE!</v>
      </c>
      <c r="B8708" s="1">
        <v>6999941</v>
      </c>
      <c r="C8708" t="s">
        <v>389</v>
      </c>
      <c r="D8708" t="s">
        <v>8897</v>
      </c>
      <c r="E8708" t="s">
        <v>10</v>
      </c>
    </row>
    <row r="8709" spans="1:5" hidden="1" outlineLevel="2">
      <c r="A8709" s="3" t="e">
        <f>(HYPERLINK("http://www.autodoc.ru/Web/price/art/3363LGSR5FQZ?analog=on","3363LGSR5FQZ"))*1</f>
        <v>#VALUE!</v>
      </c>
      <c r="B8709" s="1">
        <v>6190556</v>
      </c>
      <c r="C8709" t="s">
        <v>389</v>
      </c>
      <c r="D8709" t="s">
        <v>8898</v>
      </c>
      <c r="E8709" t="s">
        <v>10</v>
      </c>
    </row>
    <row r="8710" spans="1:5" hidden="1" outlineLevel="2">
      <c r="A8710" s="3" t="e">
        <f>(HYPERLINK("http://www.autodoc.ru/Web/price/art/3363LGSR5RD?analog=on","3363LGSR5RD"))*1</f>
        <v>#VALUE!</v>
      </c>
      <c r="B8710" s="1">
        <v>6900137</v>
      </c>
      <c r="C8710" t="s">
        <v>389</v>
      </c>
      <c r="D8710" t="s">
        <v>8899</v>
      </c>
      <c r="E8710" t="s">
        <v>10</v>
      </c>
    </row>
    <row r="8711" spans="1:5" hidden="1" outlineLevel="2">
      <c r="A8711" s="3" t="e">
        <f>(HYPERLINK("http://www.autodoc.ru/Web/price/art/3363RGSR5FD?analog=on","3363RGSR5FD"))*1</f>
        <v>#VALUE!</v>
      </c>
      <c r="B8711" s="1">
        <v>6900033</v>
      </c>
      <c r="C8711" t="s">
        <v>389</v>
      </c>
      <c r="D8711" t="s">
        <v>8900</v>
      </c>
      <c r="E8711" t="s">
        <v>10</v>
      </c>
    </row>
    <row r="8712" spans="1:5" hidden="1" outlineLevel="2">
      <c r="A8712" s="3" t="e">
        <f>(HYPERLINK("http://www.autodoc.ru/Web/price/art/3363RGSR5FQZ?analog=on","3363RGSR5FQZ"))*1</f>
        <v>#VALUE!</v>
      </c>
      <c r="B8712" s="1">
        <v>6190557</v>
      </c>
      <c r="C8712" t="s">
        <v>389</v>
      </c>
      <c r="D8712" t="s">
        <v>8901</v>
      </c>
      <c r="E8712" t="s">
        <v>10</v>
      </c>
    </row>
    <row r="8713" spans="1:5" hidden="1" outlineLevel="2">
      <c r="A8713" s="3" t="e">
        <f>(HYPERLINK("http://www.autodoc.ru/Web/price/art/3363RGSR5RD?analog=on","3363RGSR5RD"))*1</f>
        <v>#VALUE!</v>
      </c>
      <c r="B8713" s="1">
        <v>6900218</v>
      </c>
      <c r="C8713" t="s">
        <v>389</v>
      </c>
      <c r="D8713" t="s">
        <v>8902</v>
      </c>
      <c r="E8713" t="s">
        <v>10</v>
      </c>
    </row>
    <row r="8714" spans="1:5" hidden="1" outlineLevel="1">
      <c r="A8714" s="2">
        <v>0</v>
      </c>
      <c r="B8714" s="26" t="s">
        <v>8903</v>
      </c>
      <c r="C8714" s="27">
        <v>0</v>
      </c>
      <c r="D8714" s="27">
        <v>0</v>
      </c>
      <c r="E8714" s="27">
        <v>0</v>
      </c>
    </row>
    <row r="8715" spans="1:5" hidden="1" outlineLevel="2">
      <c r="A8715" s="3" t="e">
        <f>(HYPERLINK("http://www.autodoc.ru/Web/price/art/8010ABL?analog=on","8010ABL"))*1</f>
        <v>#VALUE!</v>
      </c>
      <c r="B8715" s="1">
        <v>6969323</v>
      </c>
      <c r="C8715" t="s">
        <v>8904</v>
      </c>
      <c r="D8715" t="s">
        <v>8905</v>
      </c>
      <c r="E8715" t="s">
        <v>8</v>
      </c>
    </row>
    <row r="8716" spans="1:5" hidden="1" outlineLevel="2">
      <c r="A8716" s="3" t="e">
        <f>(HYPERLINK("http://www.autodoc.ru/Web/price/art/8010ABLBL?analog=on","8010ABLBL"))*1</f>
        <v>#VALUE!</v>
      </c>
      <c r="B8716" s="1">
        <v>6969328</v>
      </c>
      <c r="C8716" t="s">
        <v>8904</v>
      </c>
      <c r="D8716" t="s">
        <v>8906</v>
      </c>
      <c r="E8716" t="s">
        <v>8</v>
      </c>
    </row>
    <row r="8717" spans="1:5" hidden="1" outlineLevel="2">
      <c r="A8717" s="3" t="e">
        <f>(HYPERLINK("http://www.autodoc.ru/Web/price/art/8010ABZ?analog=on","8010ABZ"))*1</f>
        <v>#VALUE!</v>
      </c>
      <c r="B8717" s="1">
        <v>6969321</v>
      </c>
      <c r="C8717" t="s">
        <v>8904</v>
      </c>
      <c r="D8717" t="s">
        <v>8907</v>
      </c>
      <c r="E8717" t="s">
        <v>8</v>
      </c>
    </row>
    <row r="8718" spans="1:5" hidden="1" outlineLevel="2">
      <c r="A8718" s="3" t="e">
        <f>(HYPERLINK("http://www.autodoc.ru/Web/price/art/8010ABZBL?analog=on","8010ABZBL"))*1</f>
        <v>#VALUE!</v>
      </c>
      <c r="B8718" s="1">
        <v>6969327</v>
      </c>
      <c r="C8718" t="s">
        <v>8904</v>
      </c>
      <c r="D8718" t="s">
        <v>8908</v>
      </c>
      <c r="E8718" t="s">
        <v>8</v>
      </c>
    </row>
    <row r="8719" spans="1:5" hidden="1" outlineLevel="2">
      <c r="A8719" s="3" t="e">
        <f>(HYPERLINK("http://www.autodoc.ru/Web/price/art/8010ACL?analog=on","8010ACL"))*1</f>
        <v>#VALUE!</v>
      </c>
      <c r="B8719" s="1">
        <v>6963218</v>
      </c>
      <c r="C8719" t="s">
        <v>8904</v>
      </c>
      <c r="D8719" t="s">
        <v>8909</v>
      </c>
      <c r="E8719" t="s">
        <v>8</v>
      </c>
    </row>
    <row r="8720" spans="1:5" hidden="1" outlineLevel="2">
      <c r="A8720" s="3" t="e">
        <f>(HYPERLINK("http://www.autodoc.ru/Web/price/art/8010AGN?analog=on","8010AGN"))*1</f>
        <v>#VALUE!</v>
      </c>
      <c r="B8720" s="1">
        <v>6969322</v>
      </c>
      <c r="C8720" t="s">
        <v>8904</v>
      </c>
      <c r="D8720" t="s">
        <v>8910</v>
      </c>
      <c r="E8720" t="s">
        <v>8</v>
      </c>
    </row>
    <row r="8721" spans="1:5" hidden="1" outlineLevel="2">
      <c r="A8721" s="3" t="e">
        <f>(HYPERLINK("http://www.autodoc.ru/Web/price/art/8010AKMR?analog=on","8010AKMR"))*1</f>
        <v>#VALUE!</v>
      </c>
      <c r="B8721" s="1">
        <v>6100215</v>
      </c>
      <c r="C8721" t="s">
        <v>19</v>
      </c>
      <c r="D8721" t="s">
        <v>8911</v>
      </c>
      <c r="E8721" t="s">
        <v>21</v>
      </c>
    </row>
    <row r="8722" spans="1:5" hidden="1" outlineLevel="2">
      <c r="A8722" s="3" t="e">
        <f>(HYPERLINK("http://www.autodoc.ru/Web/price/art/8010ASMR?analog=on","8010ASMR"))*1</f>
        <v>#VALUE!</v>
      </c>
      <c r="B8722" s="1">
        <v>6100962</v>
      </c>
      <c r="C8722" t="s">
        <v>19</v>
      </c>
      <c r="D8722" t="s">
        <v>8912</v>
      </c>
      <c r="E8722" t="s">
        <v>21</v>
      </c>
    </row>
    <row r="8723" spans="1:5" hidden="1" outlineLevel="2">
      <c r="A8723" s="3" t="e">
        <f>(HYPERLINK("http://www.autodoc.ru/Web/price/art/8010BBLR?analog=on","8010BBLR"))*1</f>
        <v>#VALUE!</v>
      </c>
      <c r="B8723" s="1">
        <v>6998978</v>
      </c>
      <c r="C8723" t="s">
        <v>8904</v>
      </c>
      <c r="D8723" t="s">
        <v>8913</v>
      </c>
      <c r="E8723" t="s">
        <v>23</v>
      </c>
    </row>
    <row r="8724" spans="1:5" hidden="1" outlineLevel="2">
      <c r="A8724" s="3" t="e">
        <f>(HYPERLINK("http://www.autodoc.ru/Web/price/art/8010BGNR?analog=on","8010BGNR"))*1</f>
        <v>#VALUE!</v>
      </c>
      <c r="B8724" s="1">
        <v>6980031</v>
      </c>
      <c r="C8724" t="s">
        <v>8904</v>
      </c>
      <c r="D8724" t="s">
        <v>8914</v>
      </c>
      <c r="E8724" t="s">
        <v>23</v>
      </c>
    </row>
    <row r="8725" spans="1:5" hidden="1" outlineLevel="2">
      <c r="A8725" s="3" t="e">
        <f>(HYPERLINK("http://www.autodoc.ru/Web/price/art/8010LBLR3FD?analog=on","8010LBLR3FD"))*1</f>
        <v>#VALUE!</v>
      </c>
      <c r="B8725" s="1">
        <v>6995843</v>
      </c>
      <c r="C8725" t="s">
        <v>8904</v>
      </c>
      <c r="D8725" t="s">
        <v>8915</v>
      </c>
      <c r="E8725" t="s">
        <v>10</v>
      </c>
    </row>
    <row r="8726" spans="1:5" hidden="1" outlineLevel="2">
      <c r="A8726" s="3" t="e">
        <f>(HYPERLINK("http://www.autodoc.ru/Web/price/art/8010LBLR5FDW?analog=on","8010LBLR5FDW"))*1</f>
        <v>#VALUE!</v>
      </c>
      <c r="B8726" s="1">
        <v>6999432</v>
      </c>
      <c r="C8726" t="s">
        <v>8904</v>
      </c>
      <c r="D8726" t="s">
        <v>8916</v>
      </c>
      <c r="E8726" t="s">
        <v>10</v>
      </c>
    </row>
    <row r="8727" spans="1:5" hidden="1" outlineLevel="2">
      <c r="A8727" s="3" t="e">
        <f>(HYPERLINK("http://www.autodoc.ru/Web/price/art/8010LBLR5RV?analog=on","8010LBLR5RV"))*1</f>
        <v>#VALUE!</v>
      </c>
      <c r="B8727" s="1">
        <v>6999435</v>
      </c>
      <c r="C8727" t="s">
        <v>8904</v>
      </c>
      <c r="D8727" t="s">
        <v>8917</v>
      </c>
      <c r="E8727" t="s">
        <v>10</v>
      </c>
    </row>
    <row r="8728" spans="1:5" hidden="1" outlineLevel="2">
      <c r="A8728" s="3" t="e">
        <f>(HYPERLINK("http://www.autodoc.ru/Web/price/art/8010LGNR3FD?analog=on","8010LGNR3FD"))*1</f>
        <v>#VALUE!</v>
      </c>
      <c r="B8728" s="1">
        <v>6995853</v>
      </c>
      <c r="C8728" t="s">
        <v>8904</v>
      </c>
      <c r="D8728" t="s">
        <v>8918</v>
      </c>
      <c r="E8728" t="s">
        <v>10</v>
      </c>
    </row>
    <row r="8729" spans="1:5" hidden="1" outlineLevel="2">
      <c r="A8729" s="3" t="e">
        <f>(HYPERLINK("http://www.autodoc.ru/Web/price/art/8010LGNR5FD?analog=on","8010LGNR5FD"))*1</f>
        <v>#VALUE!</v>
      </c>
      <c r="B8729" s="1">
        <v>6992997</v>
      </c>
      <c r="C8729" t="s">
        <v>8904</v>
      </c>
      <c r="D8729" t="s">
        <v>8919</v>
      </c>
      <c r="E8729" t="s">
        <v>10</v>
      </c>
    </row>
    <row r="8730" spans="1:5" hidden="1" outlineLevel="2">
      <c r="A8730" s="3" t="e">
        <f>(HYPERLINK("http://www.autodoc.ru/Web/price/art/8010RBLR3FD?analog=on","8010RBLR3FD"))*1</f>
        <v>#VALUE!</v>
      </c>
      <c r="B8730" s="1">
        <v>6995844</v>
      </c>
      <c r="C8730" t="s">
        <v>8904</v>
      </c>
      <c r="D8730" t="s">
        <v>8920</v>
      </c>
      <c r="E8730" t="s">
        <v>10</v>
      </c>
    </row>
    <row r="8731" spans="1:5" hidden="1" outlineLevel="2">
      <c r="A8731" s="3" t="e">
        <f>(HYPERLINK("http://www.autodoc.ru/Web/price/art/8010RBLR5FDW?analog=on","8010RBLR5FDW"))*1</f>
        <v>#VALUE!</v>
      </c>
      <c r="B8731" s="1">
        <v>6999437</v>
      </c>
      <c r="C8731" t="s">
        <v>8904</v>
      </c>
      <c r="D8731" t="s">
        <v>8921</v>
      </c>
      <c r="E8731" t="s">
        <v>10</v>
      </c>
    </row>
    <row r="8732" spans="1:5" hidden="1" outlineLevel="2">
      <c r="A8732" s="3" t="e">
        <f>(HYPERLINK("http://www.autodoc.ru/Web/price/art/8010RBLR5RDW?analog=on","8010RBLR5RDW"))*1</f>
        <v>#VALUE!</v>
      </c>
      <c r="B8732" s="1">
        <v>6999438</v>
      </c>
      <c r="C8732" t="s">
        <v>8904</v>
      </c>
      <c r="D8732" t="s">
        <v>8922</v>
      </c>
      <c r="E8732" t="s">
        <v>10</v>
      </c>
    </row>
    <row r="8733" spans="1:5" hidden="1" outlineLevel="2">
      <c r="A8733" s="3" t="e">
        <f>(HYPERLINK("http://www.autodoc.ru/Web/price/art/8010RBLR5RV?analog=on","8010RBLR5RV"))*1</f>
        <v>#VALUE!</v>
      </c>
      <c r="B8733" s="1">
        <v>6999440</v>
      </c>
      <c r="C8733" t="s">
        <v>8904</v>
      </c>
      <c r="D8733" t="s">
        <v>8923</v>
      </c>
      <c r="E8733" t="s">
        <v>10</v>
      </c>
    </row>
    <row r="8734" spans="1:5" hidden="1" outlineLevel="2">
      <c r="A8734" s="3" t="e">
        <f>(HYPERLINK("http://www.autodoc.ru/Web/price/art/8010RBZR3FD?analog=on","8010RBZR3FD"))*1</f>
        <v>#VALUE!</v>
      </c>
      <c r="B8734" s="1">
        <v>6999443</v>
      </c>
      <c r="C8734" t="s">
        <v>8904</v>
      </c>
      <c r="D8734" t="s">
        <v>8924</v>
      </c>
      <c r="E8734" t="s">
        <v>10</v>
      </c>
    </row>
    <row r="8735" spans="1:5" hidden="1" outlineLevel="2">
      <c r="A8735" s="3" t="e">
        <f>(HYPERLINK("http://www.autodoc.ru/Web/price/art/8010RGNR3FD?analog=on","8010RGNR3FD"))*1</f>
        <v>#VALUE!</v>
      </c>
      <c r="B8735" s="1">
        <v>6995854</v>
      </c>
      <c r="C8735" t="s">
        <v>8904</v>
      </c>
      <c r="D8735" t="s">
        <v>8925</v>
      </c>
      <c r="E8735" t="s">
        <v>10</v>
      </c>
    </row>
    <row r="8736" spans="1:5" hidden="1" outlineLevel="2">
      <c r="A8736" s="3" t="e">
        <f>(HYPERLINK("http://www.autodoc.ru/Web/price/art/8010RGNR5FD?analog=on","8010RGNR5FD"))*1</f>
        <v>#VALUE!</v>
      </c>
      <c r="B8736" s="1">
        <v>6992998</v>
      </c>
      <c r="C8736" t="s">
        <v>8904</v>
      </c>
      <c r="D8736" t="s">
        <v>8926</v>
      </c>
      <c r="E8736" t="s">
        <v>10</v>
      </c>
    </row>
    <row r="8737" spans="1:5" hidden="1" outlineLevel="1">
      <c r="A8737" s="2">
        <v>0</v>
      </c>
      <c r="B8737" s="26" t="s">
        <v>8927</v>
      </c>
      <c r="C8737" s="27">
        <v>0</v>
      </c>
      <c r="D8737" s="27">
        <v>0</v>
      </c>
      <c r="E8737" s="27">
        <v>0</v>
      </c>
    </row>
    <row r="8738" spans="1:5" hidden="1" outlineLevel="2">
      <c r="A8738" s="3" t="e">
        <f>(HYPERLINK("http://www.autodoc.ru/Web/price/art/8021RCLR3FD?analog=on","8021RCLR3FD"))*1</f>
        <v>#VALUE!</v>
      </c>
      <c r="B8738" s="1">
        <v>6998458</v>
      </c>
      <c r="C8738" t="s">
        <v>8904</v>
      </c>
      <c r="D8738" t="s">
        <v>8928</v>
      </c>
      <c r="E8738" t="s">
        <v>10</v>
      </c>
    </row>
    <row r="8739" spans="1:5" hidden="1" outlineLevel="1">
      <c r="A8739" s="2">
        <v>0</v>
      </c>
      <c r="B8739" s="26" t="s">
        <v>8929</v>
      </c>
      <c r="C8739" s="27">
        <v>0</v>
      </c>
      <c r="D8739" s="27">
        <v>0</v>
      </c>
      <c r="E8739" s="27">
        <v>0</v>
      </c>
    </row>
    <row r="8740" spans="1:5" hidden="1" outlineLevel="2">
      <c r="A8740" s="3" t="e">
        <f>(HYPERLINK("http://www.autodoc.ru/Web/price/art/8017AGN?analog=on","8017AGN"))*1</f>
        <v>#VALUE!</v>
      </c>
      <c r="B8740" s="1">
        <v>6963768</v>
      </c>
      <c r="C8740" t="s">
        <v>8930</v>
      </c>
      <c r="D8740" t="s">
        <v>8931</v>
      </c>
      <c r="E8740" t="s">
        <v>8</v>
      </c>
    </row>
    <row r="8741" spans="1:5" hidden="1" outlineLevel="2">
      <c r="A8741" s="3" t="e">
        <f>(HYPERLINK("http://www.autodoc.ru/Web/price/art/8017LGNR3FD?analog=on","8017LGNR3FD"))*1</f>
        <v>#VALUE!</v>
      </c>
      <c r="B8741" s="1">
        <v>6995849</v>
      </c>
      <c r="C8741" t="s">
        <v>8930</v>
      </c>
      <c r="D8741" t="s">
        <v>8932</v>
      </c>
      <c r="E8741" t="s">
        <v>10</v>
      </c>
    </row>
    <row r="8742" spans="1:5" hidden="1" outlineLevel="2">
      <c r="A8742" s="3" t="e">
        <f>(HYPERLINK("http://www.autodoc.ru/Web/price/art/8017LGNR3FV?analog=on","8017LGNR3FV"))*1</f>
        <v>#VALUE!</v>
      </c>
      <c r="B8742" s="1">
        <v>6995850</v>
      </c>
      <c r="C8742" t="s">
        <v>8930</v>
      </c>
      <c r="D8742" t="s">
        <v>8933</v>
      </c>
      <c r="E8742" t="s">
        <v>10</v>
      </c>
    </row>
    <row r="8743" spans="1:5" hidden="1" outlineLevel="2">
      <c r="A8743" s="3" t="e">
        <f>(HYPERLINK("http://www.autodoc.ru/Web/price/art/8017RGNR3FV?analog=on","8017RGNR3FV"))*1</f>
        <v>#VALUE!</v>
      </c>
      <c r="B8743" s="1">
        <v>6995852</v>
      </c>
      <c r="C8743" t="s">
        <v>8930</v>
      </c>
      <c r="D8743" t="s">
        <v>8934</v>
      </c>
      <c r="E8743" t="s">
        <v>10</v>
      </c>
    </row>
    <row r="8744" spans="1:5" hidden="1" outlineLevel="1">
      <c r="A8744" s="2">
        <v>0</v>
      </c>
      <c r="B8744" s="26" t="s">
        <v>8935</v>
      </c>
      <c r="C8744" s="27">
        <v>0</v>
      </c>
      <c r="D8744" s="27">
        <v>0</v>
      </c>
      <c r="E8744" s="27">
        <v>0</v>
      </c>
    </row>
    <row r="8745" spans="1:5" hidden="1" outlineLevel="2">
      <c r="A8745" s="3" t="e">
        <f>(HYPERLINK("http://www.autodoc.ru/Web/price/art/8020ALG?analog=on","8020ALG"))*1</f>
        <v>#VALUE!</v>
      </c>
      <c r="B8745" s="1">
        <v>6960687</v>
      </c>
      <c r="C8745" t="s">
        <v>552</v>
      </c>
      <c r="D8745" t="s">
        <v>8936</v>
      </c>
      <c r="E8745" t="s">
        <v>8</v>
      </c>
    </row>
    <row r="8746" spans="1:5" hidden="1" outlineLevel="2">
      <c r="A8746" s="3" t="e">
        <f>(HYPERLINK("http://www.autodoc.ru/Web/price/art/8020ALG1B?analog=on","8020ALG1B"))*1</f>
        <v>#VALUE!</v>
      </c>
      <c r="B8746" s="1">
        <v>6961796</v>
      </c>
      <c r="C8746" t="s">
        <v>552</v>
      </c>
      <c r="D8746" t="s">
        <v>8937</v>
      </c>
      <c r="E8746" t="s">
        <v>8</v>
      </c>
    </row>
    <row r="8747" spans="1:5" hidden="1" outlineLevel="2">
      <c r="A8747" s="3" t="e">
        <f>(HYPERLINK("http://www.autodoc.ru/Web/price/art/8020ALGBL?analog=on","8020ALGBL"))*1</f>
        <v>#VALUE!</v>
      </c>
      <c r="B8747" s="1">
        <v>6962038</v>
      </c>
      <c r="C8747" t="s">
        <v>552</v>
      </c>
      <c r="D8747" t="s">
        <v>8938</v>
      </c>
      <c r="E8747" t="s">
        <v>8</v>
      </c>
    </row>
    <row r="8748" spans="1:5" hidden="1" outlineLevel="2">
      <c r="A8748" s="3" t="e">
        <f>(HYPERLINK("http://www.autodoc.ru/Web/price/art/8020ALGBL1B?analog=on","8020ALGBL1B"))*1</f>
        <v>#VALUE!</v>
      </c>
      <c r="B8748" s="1">
        <v>6962171</v>
      </c>
      <c r="C8748" t="s">
        <v>552</v>
      </c>
      <c r="D8748" t="s">
        <v>8939</v>
      </c>
      <c r="E8748" t="s">
        <v>8</v>
      </c>
    </row>
    <row r="8749" spans="1:5" hidden="1" outlineLevel="2">
      <c r="A8749" s="3" t="e">
        <f>(HYPERLINK("http://www.autodoc.ru/Web/price/art/8020ALGW1B?analog=on","8020ALGW1B"))*1</f>
        <v>#VALUE!</v>
      </c>
      <c r="B8749" s="1">
        <v>6962255</v>
      </c>
      <c r="C8749" t="s">
        <v>552</v>
      </c>
      <c r="D8749" t="s">
        <v>8940</v>
      </c>
      <c r="E8749" t="s">
        <v>8</v>
      </c>
    </row>
    <row r="8750" spans="1:5" hidden="1" outlineLevel="2">
      <c r="A8750" s="3" t="e">
        <f>(HYPERLINK("http://www.autodoc.ru/Web/price/art/8020ASMR?analog=on","8020ASMR"))*1</f>
        <v>#VALUE!</v>
      </c>
      <c r="B8750" s="1">
        <v>6100606</v>
      </c>
      <c r="C8750" t="s">
        <v>19</v>
      </c>
      <c r="D8750" t="s">
        <v>8941</v>
      </c>
      <c r="E8750" t="s">
        <v>21</v>
      </c>
    </row>
    <row r="8751" spans="1:5" hidden="1" outlineLevel="2">
      <c r="A8751" s="3" t="e">
        <f>(HYPERLINK("http://www.autodoc.ru/Web/price/art/8020BLGRW?analog=on","8020BLGRW"))*1</f>
        <v>#VALUE!</v>
      </c>
      <c r="B8751" s="1">
        <v>6992510</v>
      </c>
      <c r="C8751" t="s">
        <v>552</v>
      </c>
      <c r="D8751" t="s">
        <v>8942</v>
      </c>
      <c r="E8751" t="s">
        <v>23</v>
      </c>
    </row>
    <row r="8752" spans="1:5" hidden="1" outlineLevel="2">
      <c r="A8752" s="3" t="e">
        <f>(HYPERLINK("http://www.autodoc.ru/Web/price/art/8020LLGR3FD?analog=on","8020LLGR3FD"))*1</f>
        <v>#VALUE!</v>
      </c>
      <c r="B8752" s="1">
        <v>6992426</v>
      </c>
      <c r="C8752" t="s">
        <v>552</v>
      </c>
      <c r="D8752" t="s">
        <v>8943</v>
      </c>
      <c r="E8752" t="s">
        <v>10</v>
      </c>
    </row>
    <row r="8753" spans="1:5" hidden="1" outlineLevel="2">
      <c r="A8753" s="3" t="e">
        <f>(HYPERLINK("http://www.autodoc.ru/Web/price/art/8020LLGR5FD?analog=on","8020LLGR5FD"))*1</f>
        <v>#VALUE!</v>
      </c>
      <c r="B8753" s="1">
        <v>6993253</v>
      </c>
      <c r="C8753" t="s">
        <v>552</v>
      </c>
      <c r="D8753" t="s">
        <v>8944</v>
      </c>
      <c r="E8753" t="s">
        <v>10</v>
      </c>
    </row>
    <row r="8754" spans="1:5" hidden="1" outlineLevel="2">
      <c r="A8754" s="3" t="e">
        <f>(HYPERLINK("http://www.autodoc.ru/Web/price/art/8020LLGR5RD?analog=on","8020LLGR5RD"))*1</f>
        <v>#VALUE!</v>
      </c>
      <c r="B8754" s="1">
        <v>6992831</v>
      </c>
      <c r="C8754" t="s">
        <v>552</v>
      </c>
      <c r="D8754" t="s">
        <v>8945</v>
      </c>
      <c r="E8754" t="s">
        <v>10</v>
      </c>
    </row>
    <row r="8755" spans="1:5" hidden="1" outlineLevel="2">
      <c r="A8755" s="3" t="e">
        <f>(HYPERLINK("http://www.autodoc.ru/Web/price/art/8020LLGR5RD1J?analog=on","8020LLGR5RD1J"))*1</f>
        <v>#VALUE!</v>
      </c>
      <c r="B8755" s="1">
        <v>6900545</v>
      </c>
      <c r="C8755" t="s">
        <v>552</v>
      </c>
      <c r="D8755" t="s">
        <v>8945</v>
      </c>
      <c r="E8755" t="s">
        <v>10</v>
      </c>
    </row>
    <row r="8756" spans="1:5" hidden="1" outlineLevel="2">
      <c r="A8756" s="3" t="e">
        <f>(HYPERLINK("http://www.autodoc.ru/Web/price/art/8020LLGR5RV?analog=on","8020LLGR5RV"))*1</f>
        <v>#VALUE!</v>
      </c>
      <c r="B8756" s="1">
        <v>6992511</v>
      </c>
      <c r="C8756" t="s">
        <v>552</v>
      </c>
      <c r="D8756" t="s">
        <v>8946</v>
      </c>
      <c r="E8756" t="s">
        <v>10</v>
      </c>
    </row>
    <row r="8757" spans="1:5" hidden="1" outlineLevel="2">
      <c r="A8757" s="3" t="e">
        <f>(HYPERLINK("http://www.autodoc.ru/Web/price/art/8020RLGR3FD?analog=on","8020RLGR3FD"))*1</f>
        <v>#VALUE!</v>
      </c>
      <c r="B8757" s="1">
        <v>6992427</v>
      </c>
      <c r="C8757" t="s">
        <v>552</v>
      </c>
      <c r="D8757" t="s">
        <v>8947</v>
      </c>
      <c r="E8757" t="s">
        <v>10</v>
      </c>
    </row>
    <row r="8758" spans="1:5" hidden="1" outlineLevel="2">
      <c r="A8758" s="3" t="e">
        <f>(HYPERLINK("http://www.autodoc.ru/Web/price/art/8020RLGR5FD?analog=on","8020RLGR5FD"))*1</f>
        <v>#VALUE!</v>
      </c>
      <c r="B8758" s="1">
        <v>6992829</v>
      </c>
      <c r="C8758" t="s">
        <v>552</v>
      </c>
      <c r="D8758" t="s">
        <v>8947</v>
      </c>
      <c r="E8758" t="s">
        <v>10</v>
      </c>
    </row>
    <row r="8759" spans="1:5" hidden="1" outlineLevel="2">
      <c r="A8759" s="3" t="e">
        <f>(HYPERLINK("http://www.autodoc.ru/Web/price/art/8020RLGR5RD?analog=on","8020RLGR5RD"))*1</f>
        <v>#VALUE!</v>
      </c>
      <c r="B8759" s="1">
        <v>6992830</v>
      </c>
      <c r="C8759" t="s">
        <v>552</v>
      </c>
      <c r="D8759" t="s">
        <v>8948</v>
      </c>
      <c r="E8759" t="s">
        <v>10</v>
      </c>
    </row>
    <row r="8760" spans="1:5" hidden="1" outlineLevel="2">
      <c r="A8760" s="3" t="e">
        <f>(HYPERLINK("http://www.autodoc.ru/Web/price/art/8020RLGR5RD1J?analog=on","8020RLGR5RD1J"))*1</f>
        <v>#VALUE!</v>
      </c>
      <c r="B8760" s="1">
        <v>6900546</v>
      </c>
      <c r="C8760" t="s">
        <v>552</v>
      </c>
      <c r="D8760" t="s">
        <v>8949</v>
      </c>
      <c r="E8760" t="s">
        <v>10</v>
      </c>
    </row>
    <row r="8761" spans="1:5" hidden="1" outlineLevel="2">
      <c r="A8761" s="3" t="e">
        <f>(HYPERLINK("http://www.autodoc.ru/Web/price/art/8020RLGR5RV?analog=on","8020RLGR5RV"))*1</f>
        <v>#VALUE!</v>
      </c>
      <c r="B8761" s="1">
        <v>6992512</v>
      </c>
      <c r="C8761" t="s">
        <v>552</v>
      </c>
      <c r="D8761" t="s">
        <v>8950</v>
      </c>
      <c r="E8761" t="s">
        <v>10</v>
      </c>
    </row>
    <row r="8762" spans="1:5" hidden="1" outlineLevel="1">
      <c r="A8762" s="2">
        <v>0</v>
      </c>
      <c r="B8762" s="26" t="s">
        <v>8951</v>
      </c>
      <c r="C8762" s="27">
        <v>0</v>
      </c>
      <c r="D8762" s="27">
        <v>0</v>
      </c>
      <c r="E8762" s="27">
        <v>0</v>
      </c>
    </row>
    <row r="8763" spans="1:5" hidden="1" outlineLevel="2">
      <c r="A8763" s="3" t="e">
        <f>(HYPERLINK("http://www.autodoc.ru/Web/price/art/8032AGN?analog=on","8032AGN"))*1</f>
        <v>#VALUE!</v>
      </c>
      <c r="B8763" s="1">
        <v>6961599</v>
      </c>
      <c r="C8763" t="s">
        <v>890</v>
      </c>
      <c r="D8763" t="s">
        <v>8952</v>
      </c>
      <c r="E8763" t="s">
        <v>8</v>
      </c>
    </row>
    <row r="8764" spans="1:5" hidden="1" outlineLevel="2">
      <c r="A8764" s="3" t="e">
        <f>(HYPERLINK("http://www.autodoc.ru/Web/price/art/8032AGNGY?analog=on","8032AGNGY"))*1</f>
        <v>#VALUE!</v>
      </c>
      <c r="B8764" s="1">
        <v>6964672</v>
      </c>
      <c r="C8764" t="s">
        <v>890</v>
      </c>
      <c r="D8764" t="s">
        <v>8953</v>
      </c>
      <c r="E8764" t="s">
        <v>8</v>
      </c>
    </row>
    <row r="8765" spans="1:5" hidden="1" outlineLevel="2">
      <c r="A8765" s="3" t="e">
        <f>(HYPERLINK("http://www.autodoc.ru/Web/price/art/8032ASMR?analog=on","8032ASMR"))*1</f>
        <v>#VALUE!</v>
      </c>
      <c r="B8765" s="1">
        <v>6102147</v>
      </c>
      <c r="C8765" t="s">
        <v>19</v>
      </c>
      <c r="D8765" t="s">
        <v>8954</v>
      </c>
      <c r="E8765" t="s">
        <v>21</v>
      </c>
    </row>
    <row r="8766" spans="1:5" hidden="1" outlineLevel="2">
      <c r="A8766" s="3" t="e">
        <f>(HYPERLINK("http://www.autodoc.ru/Web/price/art/8032LGNR3FDW?analog=on","8032LGNR3FDW"))*1</f>
        <v>#VALUE!</v>
      </c>
      <c r="B8766" s="1">
        <v>6999997</v>
      </c>
      <c r="C8766" t="s">
        <v>890</v>
      </c>
      <c r="D8766" t="s">
        <v>8955</v>
      </c>
      <c r="E8766" t="s">
        <v>10</v>
      </c>
    </row>
    <row r="8767" spans="1:5" hidden="1" outlineLevel="2">
      <c r="A8767" s="3" t="e">
        <f>(HYPERLINK("http://www.autodoc.ru/Web/price/art/8032LGNR5FDW?analog=on","8032LGNR5FDW"))*1</f>
        <v>#VALUE!</v>
      </c>
      <c r="B8767" s="1">
        <v>6900249</v>
      </c>
      <c r="C8767" t="s">
        <v>890</v>
      </c>
      <c r="D8767" t="s">
        <v>8955</v>
      </c>
      <c r="E8767" t="s">
        <v>10</v>
      </c>
    </row>
    <row r="8768" spans="1:5" hidden="1" outlineLevel="2">
      <c r="A8768" s="3" t="e">
        <f>(HYPERLINK("http://www.autodoc.ru/Web/price/art/8032LGNR5RDW?analog=on","8032LGNR5RDW"))*1</f>
        <v>#VALUE!</v>
      </c>
      <c r="B8768" s="1">
        <v>6999078</v>
      </c>
      <c r="C8768" t="s">
        <v>890</v>
      </c>
      <c r="D8768" t="s">
        <v>8956</v>
      </c>
      <c r="E8768" t="s">
        <v>10</v>
      </c>
    </row>
    <row r="8769" spans="1:5" hidden="1" outlineLevel="2">
      <c r="A8769" s="3" t="e">
        <f>(HYPERLINK("http://www.autodoc.ru/Web/price/art/8032LGNR5RV?analog=on","8032LGNR5RV"))*1</f>
        <v>#VALUE!</v>
      </c>
      <c r="B8769" s="1">
        <v>6900303</v>
      </c>
      <c r="C8769" t="s">
        <v>890</v>
      </c>
      <c r="D8769" t="s">
        <v>8957</v>
      </c>
      <c r="E8769" t="s">
        <v>10</v>
      </c>
    </row>
    <row r="8770" spans="1:5" hidden="1" outlineLevel="2">
      <c r="A8770" s="3" t="e">
        <f>(HYPERLINK("http://www.autodoc.ru/Web/price/art/8032RGNR3FDW?analog=on","8032RGNR3FDW"))*1</f>
        <v>#VALUE!</v>
      </c>
      <c r="B8770" s="1">
        <v>6900086</v>
      </c>
      <c r="C8770" t="s">
        <v>890</v>
      </c>
      <c r="D8770" t="s">
        <v>8958</v>
      </c>
      <c r="E8770" t="s">
        <v>10</v>
      </c>
    </row>
    <row r="8771" spans="1:5" hidden="1" outlineLevel="2">
      <c r="A8771" s="3" t="e">
        <f>(HYPERLINK("http://www.autodoc.ru/Web/price/art/8032RGNR5FDW?analog=on","8032RGNR5FDW"))*1</f>
        <v>#VALUE!</v>
      </c>
      <c r="B8771" s="1">
        <v>6900375</v>
      </c>
      <c r="C8771" t="s">
        <v>890</v>
      </c>
      <c r="D8771" t="s">
        <v>8958</v>
      </c>
      <c r="E8771" t="s">
        <v>10</v>
      </c>
    </row>
    <row r="8772" spans="1:5" hidden="1" outlineLevel="2">
      <c r="A8772" s="3" t="e">
        <f>(HYPERLINK("http://www.autodoc.ru/Web/price/art/8032RGNR5RDW?analog=on","8032RGNR5RDW"))*1</f>
        <v>#VALUE!</v>
      </c>
      <c r="B8772" s="1">
        <v>6900273</v>
      </c>
      <c r="C8772" t="s">
        <v>890</v>
      </c>
      <c r="D8772" t="s">
        <v>8959</v>
      </c>
      <c r="E8772" t="s">
        <v>10</v>
      </c>
    </row>
    <row r="8773" spans="1:5" hidden="1" outlineLevel="2">
      <c r="A8773" s="3" t="e">
        <f>(HYPERLINK("http://www.autodoc.ru/Web/price/art/8032RGNR5RV?analog=on","8032RGNR5RV"))*1</f>
        <v>#VALUE!</v>
      </c>
      <c r="B8773" s="1">
        <v>6900322</v>
      </c>
      <c r="C8773" t="s">
        <v>890</v>
      </c>
      <c r="D8773" t="s">
        <v>8960</v>
      </c>
      <c r="E8773" t="s">
        <v>10</v>
      </c>
    </row>
    <row r="8774" spans="1:5" hidden="1" outlineLevel="2">
      <c r="A8774" s="3" t="e">
        <f>(HYPERLINK("http://www.autodoc.ru/Web/price/art/8032BGNRW?analog=on","8032BGNRW"))*1</f>
        <v>#VALUE!</v>
      </c>
      <c r="B8774" s="1">
        <v>6901850</v>
      </c>
      <c r="C8774" t="s">
        <v>890</v>
      </c>
      <c r="D8774" t="s">
        <v>8961</v>
      </c>
      <c r="E8774" t="s">
        <v>23</v>
      </c>
    </row>
    <row r="8775" spans="1:5" hidden="1" outlineLevel="1">
      <c r="A8775" s="2">
        <v>0</v>
      </c>
      <c r="B8775" s="26" t="s">
        <v>8962</v>
      </c>
      <c r="C8775" s="27">
        <v>0</v>
      </c>
      <c r="D8775" s="27">
        <v>0</v>
      </c>
      <c r="E8775" s="27">
        <v>0</v>
      </c>
    </row>
    <row r="8776" spans="1:5" hidden="1" outlineLevel="2">
      <c r="A8776" s="3" t="e">
        <f>(HYPERLINK("http://www.autodoc.ru/Web/price/art/8019AGN?analog=on","8019AGN"))*1</f>
        <v>#VALUE!</v>
      </c>
      <c r="B8776" s="1">
        <v>6963413</v>
      </c>
      <c r="C8776" t="s">
        <v>3612</v>
      </c>
      <c r="D8776" t="s">
        <v>8963</v>
      </c>
      <c r="E8776" t="s">
        <v>8</v>
      </c>
    </row>
    <row r="8777" spans="1:5" hidden="1" outlineLevel="2">
      <c r="A8777" s="3" t="e">
        <f>(HYPERLINK("http://www.autodoc.ru/Web/price/art/8019ASMV?analog=on","8019ASMV"))*1</f>
        <v>#VALUE!</v>
      </c>
      <c r="B8777" s="1">
        <v>6100350</v>
      </c>
      <c r="C8777" t="s">
        <v>19</v>
      </c>
      <c r="D8777" t="s">
        <v>8964</v>
      </c>
      <c r="E8777" t="s">
        <v>21</v>
      </c>
    </row>
    <row r="8778" spans="1:5" hidden="1" outlineLevel="2">
      <c r="A8778" s="3" t="e">
        <f>(HYPERLINK("http://www.autodoc.ru/Web/price/art/8019BGNV?analog=on","8019BGNV"))*1</f>
        <v>#VALUE!</v>
      </c>
      <c r="B8778" s="1">
        <v>6998868</v>
      </c>
      <c r="C8778" t="s">
        <v>3612</v>
      </c>
      <c r="D8778" t="s">
        <v>8965</v>
      </c>
      <c r="E8778" t="s">
        <v>23</v>
      </c>
    </row>
    <row r="8779" spans="1:5" hidden="1" outlineLevel="2">
      <c r="A8779" s="3" t="e">
        <f>(HYPERLINK("http://www.autodoc.ru/Web/price/art/8019RGNV5RQ?analog=on","8019RGNV5RQ"))*1</f>
        <v>#VALUE!</v>
      </c>
      <c r="B8779" s="1">
        <v>6995335</v>
      </c>
      <c r="C8779" t="s">
        <v>3612</v>
      </c>
      <c r="D8779" t="s">
        <v>8966</v>
      </c>
      <c r="E8779" t="s">
        <v>10</v>
      </c>
    </row>
    <row r="8780" spans="1:5" hidden="1" outlineLevel="1">
      <c r="A8780" s="2">
        <v>0</v>
      </c>
      <c r="B8780" s="26" t="s">
        <v>8967</v>
      </c>
      <c r="C8780" s="27">
        <v>0</v>
      </c>
      <c r="D8780" s="27">
        <v>0</v>
      </c>
      <c r="E8780" s="27">
        <v>0</v>
      </c>
    </row>
    <row r="8781" spans="1:5" hidden="1" outlineLevel="2">
      <c r="A8781" s="3" t="e">
        <f>(HYPERLINK("http://www.autodoc.ru/Web/price/art/8026ACL?analog=on","8026ACL"))*1</f>
        <v>#VALUE!</v>
      </c>
      <c r="B8781" s="1">
        <v>6190348</v>
      </c>
      <c r="C8781" t="s">
        <v>779</v>
      </c>
      <c r="D8781" t="s">
        <v>8968</v>
      </c>
      <c r="E8781" t="s">
        <v>8</v>
      </c>
    </row>
    <row r="8782" spans="1:5" hidden="1" outlineLevel="2">
      <c r="A8782" s="3" t="e">
        <f>(HYPERLINK("http://www.autodoc.ru/Web/price/art/8026AGS?analog=on","8026AGS"))*1</f>
        <v>#VALUE!</v>
      </c>
      <c r="B8782" s="1">
        <v>6190349</v>
      </c>
      <c r="C8782" t="s">
        <v>779</v>
      </c>
      <c r="D8782" t="s">
        <v>8969</v>
      </c>
      <c r="E8782" t="s">
        <v>8</v>
      </c>
    </row>
    <row r="8783" spans="1:5" hidden="1" outlineLevel="2">
      <c r="A8783" s="3" t="e">
        <f>(HYPERLINK("http://www.autodoc.ru/Web/price/art/8026ASMV?analog=on","8026ASMV"))*1</f>
        <v>#VALUE!</v>
      </c>
      <c r="B8783" s="1">
        <v>6190350</v>
      </c>
      <c r="C8783" t="s">
        <v>19</v>
      </c>
      <c r="D8783" t="s">
        <v>8970</v>
      </c>
      <c r="E8783" t="s">
        <v>21</v>
      </c>
    </row>
    <row r="8784" spans="1:5" hidden="1" outlineLevel="2">
      <c r="A8784" s="3" t="e">
        <f>(HYPERLINK("http://www.autodoc.ru/Web/price/art/8026BCLVW?analog=on","8026BCLVW"))*1</f>
        <v>#VALUE!</v>
      </c>
      <c r="B8784" s="1">
        <v>6190351</v>
      </c>
      <c r="C8784" t="s">
        <v>779</v>
      </c>
      <c r="D8784" t="s">
        <v>8971</v>
      </c>
      <c r="E8784" t="s">
        <v>23</v>
      </c>
    </row>
    <row r="8785" spans="1:5" hidden="1" outlineLevel="2">
      <c r="A8785" s="3" t="e">
        <f>(HYPERLINK("http://www.autodoc.ru/Web/price/art/8026BGSVW?analog=on","8026BGSVW"))*1</f>
        <v>#VALUE!</v>
      </c>
      <c r="B8785" s="1">
        <v>6190352</v>
      </c>
      <c r="C8785" t="s">
        <v>779</v>
      </c>
      <c r="D8785" t="s">
        <v>8972</v>
      </c>
      <c r="E8785" t="s">
        <v>23</v>
      </c>
    </row>
    <row r="8786" spans="1:5" hidden="1" outlineLevel="2">
      <c r="A8786" s="3" t="e">
        <f>(HYPERLINK("http://www.autodoc.ru/Web/price/art/8026LCLV5FDW?analog=on","8026LCLV5FDW"))*1</f>
        <v>#VALUE!</v>
      </c>
      <c r="B8786" s="1">
        <v>6190353</v>
      </c>
      <c r="C8786" t="s">
        <v>779</v>
      </c>
      <c r="D8786" t="s">
        <v>8973</v>
      </c>
      <c r="E8786" t="s">
        <v>10</v>
      </c>
    </row>
    <row r="8787" spans="1:5" hidden="1" outlineLevel="2">
      <c r="A8787" s="3" t="e">
        <f>(HYPERLINK("http://www.autodoc.ru/Web/price/art/8026LCLV5FV?analog=on","8026LCLV5FV"))*1</f>
        <v>#VALUE!</v>
      </c>
      <c r="B8787" s="1">
        <v>6190354</v>
      </c>
      <c r="C8787" t="s">
        <v>779</v>
      </c>
      <c r="D8787" t="s">
        <v>8974</v>
      </c>
      <c r="E8787" t="s">
        <v>10</v>
      </c>
    </row>
    <row r="8788" spans="1:5" hidden="1" outlineLevel="2">
      <c r="A8788" s="3" t="e">
        <f>(HYPERLINK("http://www.autodoc.ru/Web/price/art/8026LCLV5RDW?analog=on","8026LCLV5RDW"))*1</f>
        <v>#VALUE!</v>
      </c>
      <c r="B8788" s="1">
        <v>6190355</v>
      </c>
      <c r="C8788" t="s">
        <v>779</v>
      </c>
      <c r="D8788" t="s">
        <v>8975</v>
      </c>
      <c r="E8788" t="s">
        <v>10</v>
      </c>
    </row>
    <row r="8789" spans="1:5" hidden="1" outlineLevel="2">
      <c r="A8789" s="3" t="e">
        <f>(HYPERLINK("http://www.autodoc.ru/Web/price/art/8026LCLV5RQZ?analog=on","8026LCLV5RQZ"))*1</f>
        <v>#VALUE!</v>
      </c>
      <c r="B8789" s="1">
        <v>6190356</v>
      </c>
      <c r="C8789" t="s">
        <v>779</v>
      </c>
      <c r="D8789" t="s">
        <v>8976</v>
      </c>
      <c r="E8789" t="s">
        <v>10</v>
      </c>
    </row>
    <row r="8790" spans="1:5" hidden="1" outlineLevel="2">
      <c r="A8790" s="3" t="e">
        <f>(HYPERLINK("http://www.autodoc.ru/Web/price/art/8026LGSV5FDW?analog=on","8026LGSV5FDW"))*1</f>
        <v>#VALUE!</v>
      </c>
      <c r="B8790" s="1">
        <v>6190357</v>
      </c>
      <c r="C8790" t="s">
        <v>779</v>
      </c>
      <c r="D8790" t="s">
        <v>8977</v>
      </c>
      <c r="E8790" t="s">
        <v>10</v>
      </c>
    </row>
    <row r="8791" spans="1:5" hidden="1" outlineLevel="2">
      <c r="A8791" s="3" t="e">
        <f>(HYPERLINK("http://www.autodoc.ru/Web/price/art/8026LGSV5FV?analog=on","8026LGSV5FV"))*1</f>
        <v>#VALUE!</v>
      </c>
      <c r="B8791" s="1">
        <v>6190358</v>
      </c>
      <c r="C8791" t="s">
        <v>779</v>
      </c>
      <c r="D8791" t="s">
        <v>8978</v>
      </c>
      <c r="E8791" t="s">
        <v>10</v>
      </c>
    </row>
    <row r="8792" spans="1:5" hidden="1" outlineLevel="2">
      <c r="A8792" s="3" t="e">
        <f>(HYPERLINK("http://www.autodoc.ru/Web/price/art/8026LGSV5RDW?analog=on","8026LGSV5RDW"))*1</f>
        <v>#VALUE!</v>
      </c>
      <c r="B8792" s="1">
        <v>6190359</v>
      </c>
      <c r="C8792" t="s">
        <v>779</v>
      </c>
      <c r="D8792" t="s">
        <v>8979</v>
      </c>
      <c r="E8792" t="s">
        <v>10</v>
      </c>
    </row>
    <row r="8793" spans="1:5" hidden="1" outlineLevel="2">
      <c r="A8793" s="3" t="e">
        <f>(HYPERLINK("http://www.autodoc.ru/Web/price/art/8026LGSV5RQZ?analog=on","8026LGSV5RQZ"))*1</f>
        <v>#VALUE!</v>
      </c>
      <c r="B8793" s="1">
        <v>6190764</v>
      </c>
      <c r="C8793" t="s">
        <v>779</v>
      </c>
      <c r="D8793" t="s">
        <v>8980</v>
      </c>
      <c r="E8793" t="s">
        <v>10</v>
      </c>
    </row>
    <row r="8794" spans="1:5" hidden="1" outlineLevel="2">
      <c r="A8794" s="3" t="e">
        <f>(HYPERLINK("http://www.autodoc.ru/Web/price/art/8026RCLV5FDW?analog=on","8026RCLV5FDW"))*1</f>
        <v>#VALUE!</v>
      </c>
      <c r="B8794" s="1">
        <v>6190360</v>
      </c>
      <c r="C8794" t="s">
        <v>779</v>
      </c>
      <c r="D8794" t="s">
        <v>8981</v>
      </c>
      <c r="E8794" t="s">
        <v>10</v>
      </c>
    </row>
    <row r="8795" spans="1:5" hidden="1" outlineLevel="2">
      <c r="A8795" s="3" t="e">
        <f>(HYPERLINK("http://www.autodoc.ru/Web/price/art/8026RCLV5FV?analog=on","8026RCLV5FV"))*1</f>
        <v>#VALUE!</v>
      </c>
      <c r="B8795" s="1">
        <v>6190361</v>
      </c>
      <c r="C8795" t="s">
        <v>779</v>
      </c>
      <c r="D8795" t="s">
        <v>8982</v>
      </c>
      <c r="E8795" t="s">
        <v>10</v>
      </c>
    </row>
    <row r="8796" spans="1:5" hidden="1" outlineLevel="2">
      <c r="A8796" s="3" t="e">
        <f>(HYPERLINK("http://www.autodoc.ru/Web/price/art/8026RCLV5RDW?analog=on","8026RCLV5RDW"))*1</f>
        <v>#VALUE!</v>
      </c>
      <c r="B8796" s="1">
        <v>6190362</v>
      </c>
      <c r="C8796" t="s">
        <v>779</v>
      </c>
      <c r="D8796" t="s">
        <v>8983</v>
      </c>
      <c r="E8796" t="s">
        <v>10</v>
      </c>
    </row>
    <row r="8797" spans="1:5" hidden="1" outlineLevel="2">
      <c r="A8797" s="3" t="e">
        <f>(HYPERLINK("http://www.autodoc.ru/Web/price/art/8026RCLV5RQZ?analog=on","8026RCLV5RQZ"))*1</f>
        <v>#VALUE!</v>
      </c>
      <c r="B8797" s="1">
        <v>6190363</v>
      </c>
      <c r="C8797" t="s">
        <v>779</v>
      </c>
      <c r="D8797" t="s">
        <v>8984</v>
      </c>
      <c r="E8797" t="s">
        <v>10</v>
      </c>
    </row>
    <row r="8798" spans="1:5" hidden="1" outlineLevel="2">
      <c r="A8798" s="3" t="e">
        <f>(HYPERLINK("http://www.autodoc.ru/Web/price/art/8026RGSV5FDW?analog=on","8026RGSV5FDW"))*1</f>
        <v>#VALUE!</v>
      </c>
      <c r="B8798" s="1">
        <v>6190364</v>
      </c>
      <c r="C8798" t="s">
        <v>779</v>
      </c>
      <c r="D8798" t="s">
        <v>8985</v>
      </c>
      <c r="E8798" t="s">
        <v>10</v>
      </c>
    </row>
    <row r="8799" spans="1:5" hidden="1" outlineLevel="2">
      <c r="A8799" s="3" t="e">
        <f>(HYPERLINK("http://www.autodoc.ru/Web/price/art/8026RGSV5FV?analog=on","8026RGSV5FV"))*1</f>
        <v>#VALUE!</v>
      </c>
      <c r="B8799" s="1">
        <v>6190365</v>
      </c>
      <c r="C8799" t="s">
        <v>779</v>
      </c>
      <c r="D8799" t="s">
        <v>8986</v>
      </c>
      <c r="E8799" t="s">
        <v>10</v>
      </c>
    </row>
    <row r="8800" spans="1:5" hidden="1" outlineLevel="2">
      <c r="A8800" s="3" t="e">
        <f>(HYPERLINK("http://www.autodoc.ru/Web/price/art/8026RGSV5RDW?analog=on","8026RGSV5RDW"))*1</f>
        <v>#VALUE!</v>
      </c>
      <c r="B8800" s="1">
        <v>6190366</v>
      </c>
      <c r="C8800" t="s">
        <v>779</v>
      </c>
      <c r="D8800" t="s">
        <v>8987</v>
      </c>
      <c r="E8800" t="s">
        <v>10</v>
      </c>
    </row>
    <row r="8801" spans="1:5" hidden="1" outlineLevel="2">
      <c r="A8801" s="3" t="e">
        <f>(HYPERLINK("http://www.autodoc.ru/Web/price/art/8026RGSV5RQZ?analog=on","8026RGSV5RQZ"))*1</f>
        <v>#VALUE!</v>
      </c>
      <c r="B8801" s="1">
        <v>6190765</v>
      </c>
      <c r="C8801" t="s">
        <v>779</v>
      </c>
      <c r="D8801" t="s">
        <v>8988</v>
      </c>
      <c r="E8801" t="s">
        <v>10</v>
      </c>
    </row>
    <row r="8802" spans="1:5" collapsed="1">
      <c r="A8802" s="28" t="s">
        <v>4378</v>
      </c>
      <c r="B8802" s="28">
        <v>0</v>
      </c>
      <c r="C8802" s="28">
        <v>0</v>
      </c>
      <c r="D8802" s="28">
        <v>0</v>
      </c>
      <c r="E8802" s="28">
        <v>0</v>
      </c>
    </row>
    <row r="8803" spans="1:5" hidden="1" outlineLevel="1">
      <c r="A8803" s="2">
        <v>0</v>
      </c>
      <c r="B8803" s="26" t="s">
        <v>8989</v>
      </c>
      <c r="C8803" s="27">
        <v>0</v>
      </c>
      <c r="D8803" s="27">
        <v>0</v>
      </c>
      <c r="E8803" s="27">
        <v>0</v>
      </c>
    </row>
    <row r="8804" spans="1:5" hidden="1" outlineLevel="2">
      <c r="A8804" s="3" t="e">
        <f>(HYPERLINK("http://www.autodoc.ru/Web/price/art/8374AGABMVW1P?analog=on","8374AGABMVW1P"))*1</f>
        <v>#VALUE!</v>
      </c>
      <c r="B8804" s="1">
        <v>6961370</v>
      </c>
      <c r="C8804" t="s">
        <v>3378</v>
      </c>
      <c r="D8804" t="s">
        <v>8990</v>
      </c>
      <c r="E8804" t="s">
        <v>8</v>
      </c>
    </row>
    <row r="8805" spans="1:5" hidden="1" outlineLevel="2">
      <c r="A8805" s="3" t="e">
        <f>(HYPERLINK("http://www.autodoc.ru/Web/price/art/8374AGAMW1P?analog=on","8374AGAMW1P"))*1</f>
        <v>#VALUE!</v>
      </c>
      <c r="B8805" s="1">
        <v>6961369</v>
      </c>
      <c r="C8805" t="s">
        <v>3378</v>
      </c>
      <c r="D8805" t="s">
        <v>8991</v>
      </c>
      <c r="E8805" t="s">
        <v>8</v>
      </c>
    </row>
    <row r="8806" spans="1:5" hidden="1" outlineLevel="2">
      <c r="A8806" s="3" t="e">
        <f>(HYPERLINK("http://www.autodoc.ru/Web/price/art/8374AGAW?analog=on","8374AGAW"))*1</f>
        <v>#VALUE!</v>
      </c>
      <c r="B8806" s="1">
        <v>6961285</v>
      </c>
      <c r="C8806" t="s">
        <v>3378</v>
      </c>
      <c r="D8806" t="s">
        <v>8992</v>
      </c>
      <c r="E8806" t="s">
        <v>8</v>
      </c>
    </row>
    <row r="8807" spans="1:5" hidden="1" outlineLevel="2">
      <c r="A8807" s="3" t="e">
        <f>(HYPERLINK("http://www.autodoc.ru/Web/price/art/8374AGNMW1P?analog=on","8374AGNMW1P"))*1</f>
        <v>#VALUE!</v>
      </c>
      <c r="B8807" s="1">
        <v>6964822</v>
      </c>
      <c r="C8807" t="s">
        <v>3378</v>
      </c>
      <c r="D8807" t="s">
        <v>8993</v>
      </c>
      <c r="E8807" t="s">
        <v>8</v>
      </c>
    </row>
    <row r="8808" spans="1:5" hidden="1" outlineLevel="2">
      <c r="A8808" s="3" t="e">
        <f>(HYPERLINK("http://www.autodoc.ru/Web/price/art/8374AGNW?analog=on","8374AGNW"))*1</f>
        <v>#VALUE!</v>
      </c>
      <c r="B8808" s="1">
        <v>6964823</v>
      </c>
      <c r="C8808" t="s">
        <v>3378</v>
      </c>
      <c r="D8808" t="s">
        <v>8994</v>
      </c>
      <c r="E8808" t="s">
        <v>8</v>
      </c>
    </row>
    <row r="8809" spans="1:5" hidden="1" outlineLevel="2">
      <c r="A8809" s="3" t="e">
        <f>(HYPERLINK("http://www.autodoc.ru/Web/price/art/8374LGNH5FDW?analog=on","8374LGNH5FDW"))*1</f>
        <v>#VALUE!</v>
      </c>
      <c r="B8809" s="1">
        <v>6993740</v>
      </c>
      <c r="C8809" t="s">
        <v>3378</v>
      </c>
      <c r="D8809" t="s">
        <v>8995</v>
      </c>
      <c r="E8809" t="s">
        <v>10</v>
      </c>
    </row>
    <row r="8810" spans="1:5" hidden="1" outlineLevel="2">
      <c r="A8810" s="3" t="e">
        <f>(HYPERLINK("http://www.autodoc.ru/Web/price/art/8374LGSH5FQZ?analog=on","8374LGSH5FQZ"))*1</f>
        <v>#VALUE!</v>
      </c>
      <c r="B8810" s="1">
        <v>6993744</v>
      </c>
      <c r="C8810" t="s">
        <v>3378</v>
      </c>
      <c r="D8810" t="s">
        <v>8996</v>
      </c>
      <c r="E8810" t="s">
        <v>10</v>
      </c>
    </row>
    <row r="8811" spans="1:5" hidden="1" outlineLevel="2">
      <c r="A8811" s="3" t="e">
        <f>(HYPERLINK("http://www.autodoc.ru/Web/price/art/8374LGNH5RDW?analog=on","8374LGNH5RDW"))*1</f>
        <v>#VALUE!</v>
      </c>
      <c r="B8811" s="1">
        <v>6993742</v>
      </c>
      <c r="C8811" t="s">
        <v>3378</v>
      </c>
      <c r="D8811" t="s">
        <v>8997</v>
      </c>
      <c r="E8811" t="s">
        <v>10</v>
      </c>
    </row>
    <row r="8812" spans="1:5" hidden="1" outlineLevel="2">
      <c r="A8812" s="3" t="e">
        <f>(HYPERLINK("http://www.autodoc.ru/Web/price/art/8374LYPH5RDW?analog=on","8374LYPH5RDW"))*1</f>
        <v>#VALUE!</v>
      </c>
      <c r="B8812" s="1">
        <v>6900923</v>
      </c>
      <c r="C8812" t="s">
        <v>19</v>
      </c>
      <c r="D8812" t="s">
        <v>8998</v>
      </c>
      <c r="E8812" t="s">
        <v>10</v>
      </c>
    </row>
    <row r="8813" spans="1:5" hidden="1" outlineLevel="2">
      <c r="A8813" s="3" t="e">
        <f>(HYPERLINK("http://www.autodoc.ru/Web/price/art/8374LYPH5RV?analog=on","8374LYPH5RV"))*1</f>
        <v>#VALUE!</v>
      </c>
      <c r="B8813" s="1">
        <v>6900925</v>
      </c>
      <c r="C8813" t="s">
        <v>19</v>
      </c>
      <c r="D8813" t="s">
        <v>8999</v>
      </c>
      <c r="E8813" t="s">
        <v>10</v>
      </c>
    </row>
    <row r="8814" spans="1:5" hidden="1" outlineLevel="2">
      <c r="A8814" s="3" t="e">
        <f>(HYPERLINK("http://www.autodoc.ru/Web/price/art/8374LGSH5RV?analog=on","8374LGSH5RV"))*1</f>
        <v>#VALUE!</v>
      </c>
      <c r="B8814" s="1">
        <v>6993799</v>
      </c>
      <c r="C8814" t="s">
        <v>3378</v>
      </c>
      <c r="D8814" t="s">
        <v>9000</v>
      </c>
      <c r="E8814" t="s">
        <v>10</v>
      </c>
    </row>
    <row r="8815" spans="1:5" hidden="1" outlineLevel="2">
      <c r="A8815" s="3" t="e">
        <f>(HYPERLINK("http://www.autodoc.ru/Web/price/art/8374RGNH5FDW?analog=on","8374RGNH5FDW"))*1</f>
        <v>#VALUE!</v>
      </c>
      <c r="B8815" s="1">
        <v>6993739</v>
      </c>
      <c r="C8815" t="s">
        <v>3378</v>
      </c>
      <c r="D8815" t="s">
        <v>9001</v>
      </c>
      <c r="E8815" t="s">
        <v>10</v>
      </c>
    </row>
    <row r="8816" spans="1:5" hidden="1" outlineLevel="2">
      <c r="A8816" s="3" t="e">
        <f>(HYPERLINK("http://www.autodoc.ru/Web/price/art/8374RGSH5FQZ?analog=on","8374RGSH5FQZ"))*1</f>
        <v>#VALUE!</v>
      </c>
      <c r="B8816" s="1">
        <v>6993743</v>
      </c>
      <c r="C8816" t="s">
        <v>3378</v>
      </c>
      <c r="D8816" t="s">
        <v>9002</v>
      </c>
      <c r="E8816" t="s">
        <v>10</v>
      </c>
    </row>
    <row r="8817" spans="1:5" hidden="1" outlineLevel="2">
      <c r="A8817" s="3" t="e">
        <f>(HYPERLINK("http://www.autodoc.ru/Web/price/art/8374RGNH5RDW?analog=on","8374RGNH5RDW"))*1</f>
        <v>#VALUE!</v>
      </c>
      <c r="B8817" s="1">
        <v>6993741</v>
      </c>
      <c r="C8817" t="s">
        <v>3378</v>
      </c>
      <c r="D8817" t="s">
        <v>9003</v>
      </c>
      <c r="E8817" t="s">
        <v>10</v>
      </c>
    </row>
    <row r="8818" spans="1:5" hidden="1" outlineLevel="2">
      <c r="A8818" s="3" t="e">
        <f>(HYPERLINK("http://www.autodoc.ru/Web/price/art/8374RYPH5RDW?analog=on","8374RYPH5RDW"))*1</f>
        <v>#VALUE!</v>
      </c>
      <c r="B8818" s="1">
        <v>6900921</v>
      </c>
      <c r="C8818" t="s">
        <v>3378</v>
      </c>
      <c r="D8818" t="s">
        <v>9004</v>
      </c>
      <c r="E8818" t="s">
        <v>10</v>
      </c>
    </row>
    <row r="8819" spans="1:5" hidden="1" outlineLevel="2">
      <c r="A8819" s="3" t="e">
        <f>(HYPERLINK("http://www.autodoc.ru/Web/price/art/8374RYPH5RV?analog=on","8374RYPH5RV"))*1</f>
        <v>#VALUE!</v>
      </c>
      <c r="B8819" s="1">
        <v>6900924</v>
      </c>
      <c r="C8819" t="s">
        <v>3378</v>
      </c>
      <c r="D8819" t="s">
        <v>9005</v>
      </c>
      <c r="E8819" t="s">
        <v>10</v>
      </c>
    </row>
    <row r="8820" spans="1:5" hidden="1" outlineLevel="2">
      <c r="A8820" s="3" t="e">
        <f>(HYPERLINK("http://www.autodoc.ru/Web/price/art/8374RGSH5RV?analog=on","8374RGSH5RV"))*1</f>
        <v>#VALUE!</v>
      </c>
      <c r="B8820" s="1">
        <v>6993798</v>
      </c>
      <c r="C8820" t="s">
        <v>3378</v>
      </c>
      <c r="D8820" t="s">
        <v>9006</v>
      </c>
      <c r="E8820" t="s">
        <v>10</v>
      </c>
    </row>
    <row r="8821" spans="1:5" hidden="1" outlineLevel="1">
      <c r="A8821" s="2">
        <v>0</v>
      </c>
      <c r="B8821" s="26" t="s">
        <v>9007</v>
      </c>
      <c r="C8821" s="27">
        <v>0</v>
      </c>
      <c r="D8821" s="27">
        <v>0</v>
      </c>
      <c r="E8821" s="27">
        <v>0</v>
      </c>
    </row>
    <row r="8822" spans="1:5" hidden="1" outlineLevel="2">
      <c r="A8822" s="3" t="e">
        <f>(HYPERLINK("http://www.autodoc.ru/Web/price/art/8305AGN?analog=on","8305AGN"))*1</f>
        <v>#VALUE!</v>
      </c>
      <c r="B8822" s="1">
        <v>6963873</v>
      </c>
      <c r="C8822" t="s">
        <v>250</v>
      </c>
      <c r="D8822" t="s">
        <v>9008</v>
      </c>
      <c r="E8822" t="s">
        <v>8</v>
      </c>
    </row>
    <row r="8823" spans="1:5" hidden="1" outlineLevel="2">
      <c r="A8823" s="3" t="e">
        <f>(HYPERLINK("http://www.autodoc.ru/Web/price/art/8305AGNBL?analog=on","8305AGNBL"))*1</f>
        <v>#VALUE!</v>
      </c>
      <c r="B8823" s="1">
        <v>6960690</v>
      </c>
      <c r="C8823" t="s">
        <v>250</v>
      </c>
      <c r="D8823" t="s">
        <v>9009</v>
      </c>
      <c r="E8823" t="s">
        <v>8</v>
      </c>
    </row>
    <row r="8824" spans="1:5" hidden="1" outlineLevel="2">
      <c r="A8824" s="3" t="e">
        <f>(HYPERLINK("http://www.autodoc.ru/Web/price/art/8305AGNGN?analog=on","8305AGNGN"))*1</f>
        <v>#VALUE!</v>
      </c>
      <c r="B8824" s="1">
        <v>6969431</v>
      </c>
      <c r="C8824" t="s">
        <v>250</v>
      </c>
      <c r="D8824" t="s">
        <v>9010</v>
      </c>
      <c r="E8824" t="s">
        <v>8</v>
      </c>
    </row>
    <row r="8825" spans="1:5" hidden="1" outlineLevel="2">
      <c r="A8825" s="3" t="e">
        <f>(HYPERLINK("http://www.autodoc.ru/Web/price/art/8305AGNGNH?analog=on","8305AGNGNH"))*1</f>
        <v>#VALUE!</v>
      </c>
      <c r="B8825" s="1">
        <v>6962054</v>
      </c>
      <c r="C8825" t="s">
        <v>250</v>
      </c>
      <c r="D8825" t="s">
        <v>9011</v>
      </c>
      <c r="E8825" t="s">
        <v>8</v>
      </c>
    </row>
    <row r="8826" spans="1:5" hidden="1" outlineLevel="2">
      <c r="A8826" s="3" t="e">
        <f>(HYPERLINK("http://www.autodoc.ru/Web/price/art/8305AGNH?analog=on","8305AGNH"))*1</f>
        <v>#VALUE!</v>
      </c>
      <c r="B8826" s="1">
        <v>6963348</v>
      </c>
      <c r="C8826" t="s">
        <v>250</v>
      </c>
      <c r="D8826" t="s">
        <v>9012</v>
      </c>
      <c r="E8826" t="s">
        <v>8</v>
      </c>
    </row>
    <row r="8827" spans="1:5" hidden="1" outlineLevel="2">
      <c r="A8827" s="3" t="e">
        <f>(HYPERLINK("http://www.autodoc.ru/Web/price/art/8305ASMH?analog=on","8305ASMH"))*1</f>
        <v>#VALUE!</v>
      </c>
      <c r="B8827" s="1">
        <v>6100229</v>
      </c>
      <c r="C8827" t="s">
        <v>19</v>
      </c>
      <c r="D8827" t="s">
        <v>9013</v>
      </c>
      <c r="E8827" t="s">
        <v>21</v>
      </c>
    </row>
    <row r="8828" spans="1:5" hidden="1" outlineLevel="2">
      <c r="A8828" s="3" t="e">
        <f>(HYPERLINK("http://www.autodoc.ru/Web/price/art/8305BGNE?analog=on","8305BGNE"))*1</f>
        <v>#VALUE!</v>
      </c>
      <c r="B8828" s="1">
        <v>6994875</v>
      </c>
      <c r="C8828" t="s">
        <v>250</v>
      </c>
      <c r="D8828" t="s">
        <v>9014</v>
      </c>
      <c r="E8828" t="s">
        <v>23</v>
      </c>
    </row>
    <row r="8829" spans="1:5" hidden="1" outlineLevel="2">
      <c r="A8829" s="3" t="e">
        <f>(HYPERLINK("http://www.autodoc.ru/Web/price/art/8305BGNHB?analog=on","8305BGNHB"))*1</f>
        <v>#VALUE!</v>
      </c>
      <c r="B8829" s="1">
        <v>6994876</v>
      </c>
      <c r="C8829" t="s">
        <v>250</v>
      </c>
      <c r="D8829" t="s">
        <v>9015</v>
      </c>
      <c r="E8829" t="s">
        <v>23</v>
      </c>
    </row>
    <row r="8830" spans="1:5" hidden="1" outlineLevel="2">
      <c r="A8830" s="3" t="e">
        <f>(HYPERLINK("http://www.autodoc.ru/Web/price/art/8305BGNSW?analog=on","8305BGNSW"))*1</f>
        <v>#VALUE!</v>
      </c>
      <c r="B8830" s="1">
        <v>6998925</v>
      </c>
      <c r="C8830" t="s">
        <v>250</v>
      </c>
      <c r="D8830" t="s">
        <v>9016</v>
      </c>
      <c r="E8830" t="s">
        <v>23</v>
      </c>
    </row>
    <row r="8831" spans="1:5" hidden="1" outlineLevel="2">
      <c r="A8831" s="3" t="e">
        <f>(HYPERLINK("http://www.autodoc.ru/Web/price/art/8305LGNH5FDW?analog=on","8305LGNH5FDW"))*1</f>
        <v>#VALUE!</v>
      </c>
      <c r="B8831" s="1">
        <v>6994879</v>
      </c>
      <c r="C8831" t="s">
        <v>250</v>
      </c>
      <c r="D8831" t="s">
        <v>9017</v>
      </c>
      <c r="E8831" t="s">
        <v>10</v>
      </c>
    </row>
    <row r="8832" spans="1:5" hidden="1" outlineLevel="2">
      <c r="A8832" s="3" t="e">
        <f>(HYPERLINK("http://www.autodoc.ru/Web/price/art/8305LGNS4RDW?analog=on","8305LGNS4RDW"))*1</f>
        <v>#VALUE!</v>
      </c>
      <c r="B8832" s="1">
        <v>6994882</v>
      </c>
      <c r="C8832" t="s">
        <v>250</v>
      </c>
      <c r="D8832" t="s">
        <v>9018</v>
      </c>
      <c r="E8832" t="s">
        <v>10</v>
      </c>
    </row>
    <row r="8833" spans="1:5" hidden="1" outlineLevel="2">
      <c r="A8833" s="3" t="e">
        <f>(HYPERLINK("http://www.autodoc.ru/Web/price/art/8305LGNS4RV?analog=on","8305LGNS4RV"))*1</f>
        <v>#VALUE!</v>
      </c>
      <c r="B8833" s="1">
        <v>6995505</v>
      </c>
      <c r="C8833" t="s">
        <v>250</v>
      </c>
      <c r="D8833" t="s">
        <v>9019</v>
      </c>
      <c r="E8833" t="s">
        <v>10</v>
      </c>
    </row>
    <row r="8834" spans="1:5" hidden="1" outlineLevel="2">
      <c r="A8834" s="3" t="e">
        <f>(HYPERLINK("http://www.autodoc.ru/Web/price/art/8305RGNH5FDW?analog=on","8305RGNH5FDW"))*1</f>
        <v>#VALUE!</v>
      </c>
      <c r="B8834" s="1">
        <v>6994886</v>
      </c>
      <c r="C8834" t="s">
        <v>250</v>
      </c>
      <c r="D8834" t="s">
        <v>9020</v>
      </c>
      <c r="E8834" t="s">
        <v>10</v>
      </c>
    </row>
    <row r="8835" spans="1:5" hidden="1" outlineLevel="2">
      <c r="A8835" s="3" t="e">
        <f>(HYPERLINK("http://www.autodoc.ru/Web/price/art/8305RGNS4RDW?analog=on","8305RGNS4RDW"))*1</f>
        <v>#VALUE!</v>
      </c>
      <c r="B8835" s="1">
        <v>6994889</v>
      </c>
      <c r="C8835" t="s">
        <v>250</v>
      </c>
      <c r="D8835" t="s">
        <v>9021</v>
      </c>
      <c r="E8835" t="s">
        <v>10</v>
      </c>
    </row>
    <row r="8836" spans="1:5" hidden="1" outlineLevel="2">
      <c r="A8836" s="3" t="e">
        <f>(HYPERLINK("http://www.autodoc.ru/Web/price/art/8305RGNS4RV?analog=on","8305RGNS4RV"))*1</f>
        <v>#VALUE!</v>
      </c>
      <c r="B8836" s="1">
        <v>6995506</v>
      </c>
      <c r="C8836" t="s">
        <v>250</v>
      </c>
      <c r="D8836" t="s">
        <v>9022</v>
      </c>
      <c r="E8836" t="s">
        <v>10</v>
      </c>
    </row>
    <row r="8837" spans="1:5" hidden="1" outlineLevel="1">
      <c r="A8837" s="2">
        <v>0</v>
      </c>
      <c r="B8837" s="26" t="s">
        <v>9023</v>
      </c>
      <c r="C8837" s="27">
        <v>0</v>
      </c>
      <c r="D8837" s="27">
        <v>0</v>
      </c>
      <c r="E8837" s="27">
        <v>0</v>
      </c>
    </row>
    <row r="8838" spans="1:5" hidden="1" outlineLevel="2">
      <c r="A8838" s="3" t="e">
        <f>(HYPERLINK("http://www.autodoc.ru/Web/price/art/8333AGN?analog=on","8333AGN"))*1</f>
        <v>#VALUE!</v>
      </c>
      <c r="B8838" s="1">
        <v>6960775</v>
      </c>
      <c r="C8838" t="s">
        <v>641</v>
      </c>
      <c r="D8838" t="s">
        <v>9024</v>
      </c>
      <c r="E8838" t="s">
        <v>8</v>
      </c>
    </row>
    <row r="8839" spans="1:5" hidden="1" outlineLevel="2">
      <c r="A8839" s="3" t="e">
        <f>(HYPERLINK("http://www.autodoc.ru/Web/price/art/8333AGN1B?analog=on","8333AGN1B"))*1</f>
        <v>#VALUE!</v>
      </c>
      <c r="B8839" s="1">
        <v>6961372</v>
      </c>
      <c r="C8839" t="s">
        <v>641</v>
      </c>
      <c r="D8839" t="s">
        <v>9025</v>
      </c>
      <c r="E8839" t="s">
        <v>8</v>
      </c>
    </row>
    <row r="8840" spans="1:5" hidden="1" outlineLevel="2">
      <c r="A8840" s="3" t="e">
        <f>(HYPERLINK("http://www.autodoc.ru/Web/price/art/8333ASMVT?analog=on","8333ASMVT"))*1</f>
        <v>#VALUE!</v>
      </c>
      <c r="B8840" s="1">
        <v>6101468</v>
      </c>
      <c r="C8840" t="s">
        <v>19</v>
      </c>
      <c r="D8840" t="s">
        <v>9026</v>
      </c>
      <c r="E8840" t="s">
        <v>21</v>
      </c>
    </row>
    <row r="8841" spans="1:5" hidden="1" outlineLevel="1">
      <c r="A8841" s="2">
        <v>0</v>
      </c>
      <c r="B8841" s="26" t="s">
        <v>9027</v>
      </c>
      <c r="C8841" s="27">
        <v>0</v>
      </c>
      <c r="D8841" s="27">
        <v>0</v>
      </c>
      <c r="E8841" s="27">
        <v>0</v>
      </c>
    </row>
    <row r="8842" spans="1:5" hidden="1" outlineLevel="2">
      <c r="A8842" s="3" t="e">
        <f>(HYPERLINK("http://www.autodoc.ru/Web/price/art/8346AGAHM6P?analog=on","8346AGAHM6P"))*1</f>
        <v>#VALUE!</v>
      </c>
      <c r="B8842" s="1">
        <v>6963106</v>
      </c>
      <c r="C8842" t="s">
        <v>755</v>
      </c>
      <c r="D8842" t="s">
        <v>9028</v>
      </c>
      <c r="E8842" t="s">
        <v>8</v>
      </c>
    </row>
    <row r="8843" spans="1:5" hidden="1" outlineLevel="2">
      <c r="A8843" s="3" t="e">
        <f>(HYPERLINK("http://www.autodoc.ru/Web/price/art/8346AGN?analog=on","8346AGN"))*1</f>
        <v>#VALUE!</v>
      </c>
      <c r="B8843" s="1">
        <v>6960446</v>
      </c>
      <c r="C8843" t="s">
        <v>755</v>
      </c>
      <c r="D8843" t="s">
        <v>9029</v>
      </c>
      <c r="E8843" t="s">
        <v>8</v>
      </c>
    </row>
    <row r="8844" spans="1:5" hidden="1" outlineLevel="2">
      <c r="A8844" s="3" t="e">
        <f>(HYPERLINK("http://www.autodoc.ru/Web/price/art/8346AGNH?analog=on","8346AGNH"))*1</f>
        <v>#VALUE!</v>
      </c>
      <c r="B8844" s="1">
        <v>6961261</v>
      </c>
      <c r="C8844" t="s">
        <v>755</v>
      </c>
      <c r="D8844" t="s">
        <v>9030</v>
      </c>
      <c r="E8844" t="s">
        <v>8</v>
      </c>
    </row>
    <row r="8845" spans="1:5" hidden="1" outlineLevel="2">
      <c r="A8845" s="3" t="e">
        <f>(HYPERLINK("http://www.autodoc.ru/Web/price/art/8346AGNHM1P?analog=on","8346AGNHM1P"))*1</f>
        <v>#VALUE!</v>
      </c>
      <c r="B8845" s="1">
        <v>6961262</v>
      </c>
      <c r="C8845" t="s">
        <v>879</v>
      </c>
      <c r="D8845" t="s">
        <v>9031</v>
      </c>
      <c r="E8845" t="s">
        <v>8</v>
      </c>
    </row>
    <row r="8846" spans="1:5" hidden="1" outlineLevel="2">
      <c r="A8846" s="3" t="e">
        <f>(HYPERLINK("http://www.autodoc.ru/Web/price/art/8346AGNHM6P?analog=on","8346AGNHM6P"))*1</f>
        <v>#VALUE!</v>
      </c>
      <c r="B8846" s="1">
        <v>6962688</v>
      </c>
      <c r="C8846" t="s">
        <v>755</v>
      </c>
      <c r="D8846" t="s">
        <v>9032</v>
      </c>
      <c r="E8846" t="s">
        <v>8</v>
      </c>
    </row>
    <row r="8847" spans="1:5" hidden="1" outlineLevel="2">
      <c r="A8847" s="3" t="e">
        <f>(HYPERLINK("http://www.autodoc.ru/Web/price/art/8346AGNM1P?analog=on","8346AGNM1P"))*1</f>
        <v>#VALUE!</v>
      </c>
      <c r="B8847" s="1">
        <v>6961263</v>
      </c>
      <c r="C8847" t="s">
        <v>879</v>
      </c>
      <c r="D8847" t="s">
        <v>9033</v>
      </c>
      <c r="E8847" t="s">
        <v>8</v>
      </c>
    </row>
    <row r="8848" spans="1:5" hidden="1" outlineLevel="2">
      <c r="A8848" s="3" t="e">
        <f>(HYPERLINK("http://www.autodoc.ru/Web/price/art/8346AGNMV1P?analog=on","8346AGNMV1P"))*1</f>
        <v>#VALUE!</v>
      </c>
      <c r="B8848" s="1">
        <v>6962274</v>
      </c>
      <c r="C8848" t="s">
        <v>879</v>
      </c>
      <c r="D8848" t="s">
        <v>9034</v>
      </c>
      <c r="E8848" t="s">
        <v>8</v>
      </c>
    </row>
    <row r="8849" spans="1:5" hidden="1" outlineLevel="2">
      <c r="A8849" s="3" t="e">
        <f>(HYPERLINK("http://www.autodoc.ru/Web/price/art/8346AGNMV6P?analog=on","8346AGNMV6P"))*1</f>
        <v>#VALUE!</v>
      </c>
      <c r="B8849" s="1">
        <v>6962687</v>
      </c>
      <c r="C8849" t="s">
        <v>755</v>
      </c>
      <c r="D8849" t="s">
        <v>9035</v>
      </c>
      <c r="E8849" t="s">
        <v>8</v>
      </c>
    </row>
    <row r="8850" spans="1:5" hidden="1" outlineLevel="2">
      <c r="A8850" s="3" t="e">
        <f>(HYPERLINK("http://www.autodoc.ru/Web/price/art/8346AGNV?analog=on","8346AGNV"))*1</f>
        <v>#VALUE!</v>
      </c>
      <c r="B8850" s="1">
        <v>6961092</v>
      </c>
      <c r="C8850" t="s">
        <v>755</v>
      </c>
      <c r="D8850" t="s">
        <v>9036</v>
      </c>
      <c r="E8850" t="s">
        <v>8</v>
      </c>
    </row>
    <row r="8851" spans="1:5" hidden="1" outlineLevel="2">
      <c r="A8851" s="3" t="e">
        <f>(HYPERLINK("http://www.autodoc.ru/Web/price/art/8346ASMH?analog=on","8346ASMH"))*1</f>
        <v>#VALUE!</v>
      </c>
      <c r="B8851" s="1">
        <v>6101563</v>
      </c>
      <c r="C8851" t="s">
        <v>19</v>
      </c>
      <c r="D8851" t="s">
        <v>9037</v>
      </c>
      <c r="E8851" t="s">
        <v>21</v>
      </c>
    </row>
    <row r="8852" spans="1:5" hidden="1" outlineLevel="2">
      <c r="A8852" s="3" t="e">
        <f>(HYPERLINK("http://www.autodoc.ru/Web/price/art/8346ASMH1H?analog=on","8346ASMH1H"))*1</f>
        <v>#VALUE!</v>
      </c>
      <c r="B8852" s="1">
        <v>6101600</v>
      </c>
      <c r="C8852" t="s">
        <v>19</v>
      </c>
      <c r="D8852" t="s">
        <v>9038</v>
      </c>
      <c r="E8852" t="s">
        <v>21</v>
      </c>
    </row>
    <row r="8853" spans="1:5" hidden="1" outlineLevel="2">
      <c r="A8853" s="3" t="e">
        <f>(HYPERLINK("http://www.autodoc.ru/Web/price/art/8346BGNEW?analog=on","8346BGNEW"))*1</f>
        <v>#VALUE!</v>
      </c>
      <c r="B8853" s="1">
        <v>6996562</v>
      </c>
      <c r="C8853" t="s">
        <v>755</v>
      </c>
      <c r="D8853" t="s">
        <v>9039</v>
      </c>
      <c r="E8853" t="s">
        <v>23</v>
      </c>
    </row>
    <row r="8854" spans="1:5" hidden="1" outlineLevel="2">
      <c r="A8854" s="3" t="e">
        <f>(HYPERLINK("http://www.autodoc.ru/Web/price/art/8346BGNHBW?analog=on","8346BGNHBW"))*1</f>
        <v>#VALUE!</v>
      </c>
      <c r="B8854" s="1">
        <v>6999921</v>
      </c>
      <c r="C8854" t="s">
        <v>755</v>
      </c>
      <c r="D8854" t="s">
        <v>9040</v>
      </c>
      <c r="E8854" t="s">
        <v>23</v>
      </c>
    </row>
    <row r="8855" spans="1:5" hidden="1" outlineLevel="2">
      <c r="A8855" s="3" t="e">
        <f>(HYPERLINK("http://www.autodoc.ru/Web/price/art/8346BGNSA?analog=on","8346BGNSA"))*1</f>
        <v>#VALUE!</v>
      </c>
      <c r="B8855" s="1">
        <v>6999920</v>
      </c>
      <c r="C8855" t="s">
        <v>755</v>
      </c>
      <c r="D8855" t="s">
        <v>9041</v>
      </c>
      <c r="E8855" t="s">
        <v>23</v>
      </c>
    </row>
    <row r="8856" spans="1:5" hidden="1" outlineLevel="2">
      <c r="A8856" s="3" t="e">
        <f>(HYPERLINK("http://www.autodoc.ru/Web/price/art/8346BYPEW?analog=on","8346BYPEW"))*1</f>
        <v>#VALUE!</v>
      </c>
      <c r="B8856" s="1">
        <v>6996563</v>
      </c>
      <c r="C8856" t="s">
        <v>755</v>
      </c>
      <c r="D8856" t="s">
        <v>9042</v>
      </c>
      <c r="E8856" t="s">
        <v>23</v>
      </c>
    </row>
    <row r="8857" spans="1:5" hidden="1" outlineLevel="2">
      <c r="A8857" s="3" t="e">
        <f>(HYPERLINK("http://www.autodoc.ru/Web/price/art/8346LGNE5RDW?analog=on","8346LGNE5RDW"))*1</f>
        <v>#VALUE!</v>
      </c>
      <c r="B8857" s="1">
        <v>6991812</v>
      </c>
      <c r="C8857" t="s">
        <v>755</v>
      </c>
      <c r="D8857" t="s">
        <v>9043</v>
      </c>
      <c r="E8857" t="s">
        <v>10</v>
      </c>
    </row>
    <row r="8858" spans="1:5" hidden="1" outlineLevel="2">
      <c r="A8858" s="3" t="e">
        <f>(HYPERLINK("http://www.autodoc.ru/Web/price/art/8346LGNE5RQZ?analog=on","8346LGNE5RQZ"))*1</f>
        <v>#VALUE!</v>
      </c>
      <c r="B8858" s="1">
        <v>6991816</v>
      </c>
      <c r="C8858" t="s">
        <v>755</v>
      </c>
      <c r="D8858" t="s">
        <v>9044</v>
      </c>
      <c r="E8858" t="s">
        <v>10</v>
      </c>
    </row>
    <row r="8859" spans="1:5" hidden="1" outlineLevel="2">
      <c r="A8859" s="3" t="e">
        <f>(HYPERLINK("http://www.autodoc.ru/Web/price/art/8346LGNE5RV?analog=on","8346LGNE5RV"))*1</f>
        <v>#VALUE!</v>
      </c>
      <c r="B8859" s="1">
        <v>6991782</v>
      </c>
      <c r="C8859" t="s">
        <v>755</v>
      </c>
      <c r="D8859" t="s">
        <v>9045</v>
      </c>
      <c r="E8859" t="s">
        <v>10</v>
      </c>
    </row>
    <row r="8860" spans="1:5" hidden="1" outlineLevel="2">
      <c r="A8860" s="3" t="e">
        <f>(HYPERLINK("http://www.autodoc.ru/Web/price/art/8346LGNH5FDW?analog=on","8346LGNH5FDW"))*1</f>
        <v>#VALUE!</v>
      </c>
      <c r="B8860" s="1">
        <v>6991807</v>
      </c>
      <c r="C8860" t="s">
        <v>755</v>
      </c>
      <c r="D8860" t="s">
        <v>9046</v>
      </c>
      <c r="E8860" t="s">
        <v>10</v>
      </c>
    </row>
    <row r="8861" spans="1:5" hidden="1" outlineLevel="2">
      <c r="A8861" s="3" t="e">
        <f>(HYPERLINK("http://www.autodoc.ru/Web/price/art/8346LGNH5RDW?analog=on","8346LGNH5RDW"))*1</f>
        <v>#VALUE!</v>
      </c>
      <c r="B8861" s="1">
        <v>6991810</v>
      </c>
      <c r="C8861" t="s">
        <v>755</v>
      </c>
      <c r="D8861" t="s">
        <v>9043</v>
      </c>
      <c r="E8861" t="s">
        <v>10</v>
      </c>
    </row>
    <row r="8862" spans="1:5" hidden="1" outlineLevel="2">
      <c r="A8862" s="3" t="e">
        <f>(HYPERLINK("http://www.autodoc.ru/Web/price/art/8346LGNH5RV?analog=on","8346LGNH5RV"))*1</f>
        <v>#VALUE!</v>
      </c>
      <c r="B8862" s="1">
        <v>6991786</v>
      </c>
      <c r="C8862" t="s">
        <v>755</v>
      </c>
      <c r="D8862" t="s">
        <v>9047</v>
      </c>
      <c r="E8862" t="s">
        <v>10</v>
      </c>
    </row>
    <row r="8863" spans="1:5" hidden="1" outlineLevel="2">
      <c r="A8863" s="3" t="e">
        <f>(HYPERLINK("http://www.autodoc.ru/Web/price/art/8346LYPE5RDW?analog=on","8346LYPE5RDW"))*1</f>
        <v>#VALUE!</v>
      </c>
      <c r="B8863" s="1">
        <v>6991814</v>
      </c>
      <c r="C8863" t="s">
        <v>755</v>
      </c>
      <c r="D8863" t="s">
        <v>9043</v>
      </c>
      <c r="E8863" t="s">
        <v>10</v>
      </c>
    </row>
    <row r="8864" spans="1:5" hidden="1" outlineLevel="2">
      <c r="A8864" s="3" t="e">
        <f>(HYPERLINK("http://www.autodoc.ru/Web/price/art/8346LYPE5RQJZ?analog=on","8346LYPE5RQJZ"))*1</f>
        <v>#VALUE!</v>
      </c>
      <c r="B8864" s="1">
        <v>6991822</v>
      </c>
      <c r="C8864" t="s">
        <v>755</v>
      </c>
      <c r="D8864" t="s">
        <v>9048</v>
      </c>
      <c r="E8864" t="s">
        <v>10</v>
      </c>
    </row>
    <row r="8865" spans="1:5" hidden="1" outlineLevel="2">
      <c r="A8865" s="3" t="e">
        <f>(HYPERLINK("http://www.autodoc.ru/Web/price/art/8346LYPE5RQZ?analog=on","8346LYPE5RQZ"))*1</f>
        <v>#VALUE!</v>
      </c>
      <c r="B8865" s="1">
        <v>6991818</v>
      </c>
      <c r="C8865" t="s">
        <v>755</v>
      </c>
      <c r="D8865" t="s">
        <v>9049</v>
      </c>
      <c r="E8865" t="s">
        <v>10</v>
      </c>
    </row>
    <row r="8866" spans="1:5" hidden="1" outlineLevel="2">
      <c r="A8866" s="3" t="e">
        <f>(HYPERLINK("http://www.autodoc.ru/Web/price/art/8346LYPE5RV?analog=on","8346LYPE5RV"))*1</f>
        <v>#VALUE!</v>
      </c>
      <c r="B8866" s="1">
        <v>6991784</v>
      </c>
      <c r="C8866" t="s">
        <v>755</v>
      </c>
      <c r="D8866" t="s">
        <v>9050</v>
      </c>
      <c r="E8866" t="s">
        <v>10</v>
      </c>
    </row>
    <row r="8867" spans="1:5" hidden="1" outlineLevel="2">
      <c r="A8867" s="3" t="e">
        <f>(HYPERLINK("http://www.autodoc.ru/Web/price/art/8346RGNE5RDW?analog=on","8346RGNE5RDW"))*1</f>
        <v>#VALUE!</v>
      </c>
      <c r="B8867" s="1">
        <v>6991813</v>
      </c>
      <c r="C8867" t="s">
        <v>755</v>
      </c>
      <c r="D8867" t="s">
        <v>9051</v>
      </c>
      <c r="E8867" t="s">
        <v>10</v>
      </c>
    </row>
    <row r="8868" spans="1:5" hidden="1" outlineLevel="2">
      <c r="A8868" s="3" t="e">
        <f>(HYPERLINK("http://www.autodoc.ru/Web/price/art/8346RGNE5RQAZ?analog=on","8346RGNE5RQAZ"))*1</f>
        <v>#VALUE!</v>
      </c>
      <c r="B8868" s="1">
        <v>6991821</v>
      </c>
      <c r="C8868" t="s">
        <v>755</v>
      </c>
      <c r="D8868" t="s">
        <v>9052</v>
      </c>
      <c r="E8868" t="s">
        <v>10</v>
      </c>
    </row>
    <row r="8869" spans="1:5" hidden="1" outlineLevel="2">
      <c r="A8869" s="3" t="e">
        <f>(HYPERLINK("http://www.autodoc.ru/Web/price/art/8346RGNE5RV?analog=on","8346RGNE5RV"))*1</f>
        <v>#VALUE!</v>
      </c>
      <c r="B8869" s="1">
        <v>6991783</v>
      </c>
      <c r="C8869" t="s">
        <v>755</v>
      </c>
      <c r="D8869" t="s">
        <v>9053</v>
      </c>
      <c r="E8869" t="s">
        <v>10</v>
      </c>
    </row>
    <row r="8870" spans="1:5" hidden="1" outlineLevel="2">
      <c r="A8870" s="3" t="e">
        <f>(HYPERLINK("http://www.autodoc.ru/Web/price/art/8346RGNH5FDW?analog=on","8346RGNH5FDW"))*1</f>
        <v>#VALUE!</v>
      </c>
      <c r="B8870" s="1">
        <v>6991806</v>
      </c>
      <c r="C8870" t="s">
        <v>755</v>
      </c>
      <c r="D8870" t="s">
        <v>9054</v>
      </c>
      <c r="E8870" t="s">
        <v>10</v>
      </c>
    </row>
    <row r="8871" spans="1:5" hidden="1" outlineLevel="2">
      <c r="A8871" s="3" t="e">
        <f>(HYPERLINK("http://www.autodoc.ru/Web/price/art/8346RGNH5RDW?analog=on","8346RGNH5RDW"))*1</f>
        <v>#VALUE!</v>
      </c>
      <c r="B8871" s="1">
        <v>6991811</v>
      </c>
      <c r="C8871" t="s">
        <v>755</v>
      </c>
      <c r="D8871" t="s">
        <v>9051</v>
      </c>
      <c r="E8871" t="s">
        <v>10</v>
      </c>
    </row>
    <row r="8872" spans="1:5" hidden="1" outlineLevel="2">
      <c r="A8872" s="3" t="e">
        <f>(HYPERLINK("http://www.autodoc.ru/Web/price/art/8346RGNH5RV?analog=on","8346RGNH5RV"))*1</f>
        <v>#VALUE!</v>
      </c>
      <c r="B8872" s="1">
        <v>6991787</v>
      </c>
      <c r="C8872" t="s">
        <v>755</v>
      </c>
      <c r="D8872" t="s">
        <v>9055</v>
      </c>
      <c r="E8872" t="s">
        <v>10</v>
      </c>
    </row>
    <row r="8873" spans="1:5" hidden="1" outlineLevel="2">
      <c r="A8873" s="3" t="e">
        <f>(HYPERLINK("http://www.autodoc.ru/Web/price/art/8346RYPE5RDW?analog=on","8346RYPE5RDW"))*1</f>
        <v>#VALUE!</v>
      </c>
      <c r="B8873" s="1">
        <v>6991815</v>
      </c>
      <c r="C8873" t="s">
        <v>755</v>
      </c>
      <c r="D8873" t="s">
        <v>9051</v>
      </c>
      <c r="E8873" t="s">
        <v>10</v>
      </c>
    </row>
    <row r="8874" spans="1:5" hidden="1" outlineLevel="2">
      <c r="A8874" s="3" t="e">
        <f>(HYPERLINK("http://www.autodoc.ru/Web/price/art/8346RYPE5RQAZ?analog=on","8346RYPE5RQAZ"))*1</f>
        <v>#VALUE!</v>
      </c>
      <c r="B8874" s="1">
        <v>6991823</v>
      </c>
      <c r="C8874" t="s">
        <v>755</v>
      </c>
      <c r="D8874" t="s">
        <v>9056</v>
      </c>
      <c r="E8874" t="s">
        <v>10</v>
      </c>
    </row>
    <row r="8875" spans="1:5" hidden="1" outlineLevel="2">
      <c r="A8875" s="3" t="e">
        <f>(HYPERLINK("http://www.autodoc.ru/Web/price/art/8346RYPE5RQAZ1F?analog=on","8346RYPE5RQAZ1F"))*1</f>
        <v>#VALUE!</v>
      </c>
      <c r="B8875" s="1">
        <v>6991819</v>
      </c>
      <c r="C8875" t="s">
        <v>755</v>
      </c>
      <c r="D8875" t="s">
        <v>9057</v>
      </c>
      <c r="E8875" t="s">
        <v>10</v>
      </c>
    </row>
    <row r="8876" spans="1:5" hidden="1" outlineLevel="2">
      <c r="A8876" s="3" t="e">
        <f>(HYPERLINK("http://www.autodoc.ru/Web/price/art/8346RYPE5RV?analog=on","8346RYPE5RV"))*1</f>
        <v>#VALUE!</v>
      </c>
      <c r="B8876" s="1">
        <v>6991785</v>
      </c>
      <c r="C8876" t="s">
        <v>755</v>
      </c>
      <c r="D8876" t="s">
        <v>9058</v>
      </c>
      <c r="E8876" t="s">
        <v>10</v>
      </c>
    </row>
    <row r="8877" spans="1:5" hidden="1" outlineLevel="1">
      <c r="A8877" s="2">
        <v>0</v>
      </c>
      <c r="B8877" s="26" t="s">
        <v>9059</v>
      </c>
      <c r="C8877" s="27">
        <v>0</v>
      </c>
      <c r="D8877" s="27">
        <v>0</v>
      </c>
      <c r="E8877" s="27">
        <v>0</v>
      </c>
    </row>
    <row r="8878" spans="1:5" hidden="1" outlineLevel="2">
      <c r="A8878" s="3" t="e">
        <f>(HYPERLINK("http://www.autodoc.ru/Web/price/art/8379AGAMZ1B?analog=on","8379AGAMZ1B"))*1</f>
        <v>#VALUE!</v>
      </c>
      <c r="B8878" s="1">
        <v>6962292</v>
      </c>
      <c r="C8878" t="s">
        <v>366</v>
      </c>
      <c r="D8878" t="s">
        <v>9060</v>
      </c>
      <c r="E8878" t="s">
        <v>8</v>
      </c>
    </row>
    <row r="8879" spans="1:5" hidden="1" outlineLevel="2">
      <c r="A8879" s="3" t="e">
        <f>(HYPERLINK("http://www.autodoc.ru/Web/price/art/8379AGAZ?analog=on","8379AGAZ"))*1</f>
        <v>#VALUE!</v>
      </c>
      <c r="B8879" s="1">
        <v>6962294</v>
      </c>
      <c r="C8879" t="s">
        <v>366</v>
      </c>
      <c r="D8879" t="s">
        <v>9061</v>
      </c>
      <c r="E8879" t="s">
        <v>8</v>
      </c>
    </row>
    <row r="8880" spans="1:5" hidden="1" outlineLevel="2">
      <c r="A8880" s="3" t="e">
        <f>(HYPERLINK("http://www.autodoc.ru/Web/price/art/8379AGAMPZ2V?analog=on","8379AGAMPZ2V"))*1</f>
        <v>#VALUE!</v>
      </c>
      <c r="B8880" s="1">
        <v>6962295</v>
      </c>
      <c r="C8880" t="s">
        <v>366</v>
      </c>
      <c r="D8880" t="s">
        <v>9062</v>
      </c>
      <c r="E8880" t="s">
        <v>8</v>
      </c>
    </row>
    <row r="8881" spans="1:5" hidden="1" outlineLevel="2">
      <c r="A8881" s="3" t="e">
        <f>(HYPERLINK("http://www.autodoc.ru/Web/price/art/8379AGAMZ1V?analog=on","8379AGAMZ1V"))*1</f>
        <v>#VALUE!</v>
      </c>
      <c r="B8881" s="1">
        <v>6962296</v>
      </c>
      <c r="C8881" t="s">
        <v>366</v>
      </c>
      <c r="D8881" t="s">
        <v>9063</v>
      </c>
      <c r="E8881" t="s">
        <v>8</v>
      </c>
    </row>
    <row r="8882" spans="1:5" hidden="1" outlineLevel="2">
      <c r="A8882" s="3" t="e">
        <f>(HYPERLINK("http://www.autodoc.ru/Web/price/art/8379AGAHMZ1B?analog=on","8379AGAHMZ1B"))*1</f>
        <v>#VALUE!</v>
      </c>
      <c r="B8882" s="1">
        <v>6962297</v>
      </c>
      <c r="C8882" t="s">
        <v>366</v>
      </c>
      <c r="D8882" t="s">
        <v>9064</v>
      </c>
      <c r="E8882" t="s">
        <v>8</v>
      </c>
    </row>
    <row r="8883" spans="1:5" hidden="1" outlineLevel="2">
      <c r="A8883" s="3" t="e">
        <f>(HYPERLINK("http://www.autodoc.ru/Web/price/art/8379AGACHMPZ2V?analog=on","8379AGACHMPZ2V"))*1</f>
        <v>#VALUE!</v>
      </c>
      <c r="B8883" s="1">
        <v>6962298</v>
      </c>
      <c r="C8883" t="s">
        <v>366</v>
      </c>
      <c r="D8883" t="s">
        <v>9064</v>
      </c>
      <c r="E8883" t="s">
        <v>8</v>
      </c>
    </row>
    <row r="8884" spans="1:5" hidden="1" outlineLevel="2">
      <c r="A8884" s="3" t="e">
        <f>(HYPERLINK("http://www.autodoc.ru/Web/price/art/8379AGAHMZ1V?analog=on","8379AGAHMZ1V"))*1</f>
        <v>#VALUE!</v>
      </c>
      <c r="B8884" s="1">
        <v>6962299</v>
      </c>
      <c r="C8884" t="s">
        <v>366</v>
      </c>
      <c r="D8884" t="s">
        <v>9064</v>
      </c>
      <c r="E8884" t="s">
        <v>8</v>
      </c>
    </row>
    <row r="8885" spans="1:5" hidden="1" outlineLevel="2">
      <c r="A8885" s="3" t="e">
        <f>(HYPERLINK("http://www.autodoc.ru/Web/price/art/8379AGAHZ?analog=on","8379AGAHZ"))*1</f>
        <v>#VALUE!</v>
      </c>
      <c r="B8885" s="1">
        <v>6962293</v>
      </c>
      <c r="C8885" t="s">
        <v>366</v>
      </c>
      <c r="D8885" t="s">
        <v>9065</v>
      </c>
      <c r="E8885" t="s">
        <v>8</v>
      </c>
    </row>
    <row r="8886" spans="1:5" hidden="1" outlineLevel="2">
      <c r="A8886" s="3" t="e">
        <f>(HYPERLINK("http://www.autodoc.ru/Web/price/art/8379RGNE5RV?analog=on","8379RGNE5RV"))*1</f>
        <v>#VALUE!</v>
      </c>
      <c r="B8886" s="1">
        <v>6997694</v>
      </c>
      <c r="C8886" t="s">
        <v>366</v>
      </c>
      <c r="D8886" t="s">
        <v>9066</v>
      </c>
      <c r="E8886" t="s">
        <v>10</v>
      </c>
    </row>
    <row r="8887" spans="1:5" hidden="1" outlineLevel="2">
      <c r="A8887" s="3" t="e">
        <f>(HYPERLINK("http://www.autodoc.ru/Web/price/art/8379LGNE5RV?analog=on","8379LGNE5RV"))*1</f>
        <v>#VALUE!</v>
      </c>
      <c r="B8887" s="1">
        <v>6997695</v>
      </c>
      <c r="C8887" t="s">
        <v>366</v>
      </c>
      <c r="D8887" t="s">
        <v>9067</v>
      </c>
      <c r="E8887" t="s">
        <v>10</v>
      </c>
    </row>
    <row r="8888" spans="1:5" hidden="1" outlineLevel="1">
      <c r="A8888" s="2">
        <v>0</v>
      </c>
      <c r="B8888" s="26" t="s">
        <v>9068</v>
      </c>
      <c r="C8888" s="27">
        <v>0</v>
      </c>
      <c r="D8888" s="27">
        <v>0</v>
      </c>
      <c r="E8888" s="27">
        <v>0</v>
      </c>
    </row>
    <row r="8889" spans="1:5" hidden="1" outlineLevel="2">
      <c r="A8889" s="3" t="e">
        <f>(HYPERLINK("http://www.autodoc.ru/Web/price/art/8363AGS?analog=on","8363AGS"))*1</f>
        <v>#VALUE!</v>
      </c>
      <c r="B8889" s="1">
        <v>6190690</v>
      </c>
      <c r="C8889" t="s">
        <v>890</v>
      </c>
      <c r="D8889" t="s">
        <v>9069</v>
      </c>
      <c r="E8889" t="s">
        <v>8</v>
      </c>
    </row>
    <row r="8890" spans="1:5" hidden="1" outlineLevel="2">
      <c r="A8890" s="3" t="e">
        <f>(HYPERLINK("http://www.autodoc.ru/Web/price/art/8363BGSHO?analog=on","8363BGSHO"))*1</f>
        <v>#VALUE!</v>
      </c>
      <c r="B8890" s="1">
        <v>6993231</v>
      </c>
      <c r="C8890" t="s">
        <v>890</v>
      </c>
      <c r="D8890" t="s">
        <v>9070</v>
      </c>
      <c r="E8890" t="s">
        <v>23</v>
      </c>
    </row>
    <row r="8891" spans="1:5" hidden="1" outlineLevel="2">
      <c r="A8891" s="3" t="e">
        <f>(HYPERLINK("http://www.autodoc.ru/Web/price/art/8363LGSH3FD?analog=on","8363LGSH3FD"))*1</f>
        <v>#VALUE!</v>
      </c>
      <c r="B8891" s="1">
        <v>6190691</v>
      </c>
      <c r="C8891" t="s">
        <v>890</v>
      </c>
      <c r="D8891" t="s">
        <v>9071</v>
      </c>
      <c r="E8891" t="s">
        <v>10</v>
      </c>
    </row>
    <row r="8892" spans="1:5" hidden="1" outlineLevel="2">
      <c r="A8892" s="3" t="e">
        <f>(HYPERLINK("http://www.autodoc.ru/Web/price/art/8363LGSH3RQ?analog=on","8363LGSH3RQ"))*1</f>
        <v>#VALUE!</v>
      </c>
      <c r="B8892" s="1">
        <v>6993161</v>
      </c>
      <c r="C8892" t="s">
        <v>890</v>
      </c>
      <c r="D8892" t="s">
        <v>9072</v>
      </c>
      <c r="E8892" t="s">
        <v>10</v>
      </c>
    </row>
    <row r="8893" spans="1:5" hidden="1" outlineLevel="2">
      <c r="A8893" s="3" t="e">
        <f>(HYPERLINK("http://www.autodoc.ru/Web/price/art/8363LGSH5FD?analog=on","8363LGSH5FD"))*1</f>
        <v>#VALUE!</v>
      </c>
      <c r="B8893" s="1">
        <v>6190692</v>
      </c>
      <c r="C8893" t="s">
        <v>890</v>
      </c>
      <c r="D8893" t="s">
        <v>9073</v>
      </c>
      <c r="E8893" t="s">
        <v>10</v>
      </c>
    </row>
    <row r="8894" spans="1:5" hidden="1" outlineLevel="2">
      <c r="A8894" s="3" t="e">
        <f>(HYPERLINK("http://www.autodoc.ru/Web/price/art/8363LGSH5RDOW?analog=on","8363LGSH5RDOW"))*1</f>
        <v>#VALUE!</v>
      </c>
      <c r="B8894" s="1">
        <v>6993031</v>
      </c>
      <c r="C8894" t="s">
        <v>890</v>
      </c>
      <c r="D8894" t="s">
        <v>9074</v>
      </c>
      <c r="E8894" t="s">
        <v>10</v>
      </c>
    </row>
    <row r="8895" spans="1:5" hidden="1" outlineLevel="2">
      <c r="A8895" s="3" t="e">
        <f>(HYPERLINK("http://www.autodoc.ru/Web/price/art/8363RGSH3FD?analog=on","8363RGSH3FD"))*1</f>
        <v>#VALUE!</v>
      </c>
      <c r="B8895" s="1">
        <v>6190693</v>
      </c>
      <c r="C8895" t="s">
        <v>890</v>
      </c>
      <c r="D8895" t="s">
        <v>9075</v>
      </c>
      <c r="E8895" t="s">
        <v>10</v>
      </c>
    </row>
    <row r="8896" spans="1:5" hidden="1" outlineLevel="2">
      <c r="A8896" s="3" t="e">
        <f>(HYPERLINK("http://www.autodoc.ru/Web/price/art/8363RGSH3RQ?analog=on","8363RGSH3RQ"))*1</f>
        <v>#VALUE!</v>
      </c>
      <c r="B8896" s="1">
        <v>6993163</v>
      </c>
      <c r="C8896" t="s">
        <v>890</v>
      </c>
      <c r="D8896" t="s">
        <v>9076</v>
      </c>
      <c r="E8896" t="s">
        <v>10</v>
      </c>
    </row>
    <row r="8897" spans="1:5" hidden="1" outlineLevel="2">
      <c r="A8897" s="3" t="e">
        <f>(HYPERLINK("http://www.autodoc.ru/Web/price/art/8363RGSH5FD?analog=on","8363RGSH5FD"))*1</f>
        <v>#VALUE!</v>
      </c>
      <c r="B8897" s="1">
        <v>6190694</v>
      </c>
      <c r="C8897" t="s">
        <v>890</v>
      </c>
      <c r="D8897" t="s">
        <v>9077</v>
      </c>
      <c r="E8897" t="s">
        <v>10</v>
      </c>
    </row>
    <row r="8898" spans="1:5" hidden="1" outlineLevel="2">
      <c r="A8898" s="3" t="e">
        <f>(HYPERLINK("http://www.autodoc.ru/Web/price/art/8363RGSH5RDOW?analog=on","8363RGSH5RDOW"))*1</f>
        <v>#VALUE!</v>
      </c>
      <c r="B8898" s="1">
        <v>6993032</v>
      </c>
      <c r="C8898" t="s">
        <v>890</v>
      </c>
      <c r="D8898" t="s">
        <v>9078</v>
      </c>
      <c r="E8898" t="s">
        <v>10</v>
      </c>
    </row>
    <row r="8899" spans="1:5" hidden="1" outlineLevel="1">
      <c r="A8899" s="2">
        <v>0</v>
      </c>
      <c r="B8899" s="26" t="s">
        <v>9079</v>
      </c>
      <c r="C8899" s="27">
        <v>0</v>
      </c>
      <c r="D8899" s="27">
        <v>0</v>
      </c>
      <c r="E8899" s="27">
        <v>0</v>
      </c>
    </row>
    <row r="8900" spans="1:5" hidden="1" outlineLevel="2">
      <c r="A8900" s="3" t="e">
        <f>(HYPERLINK("http://www.autodoc.ru/Web/price/art/8258ABL?analog=on","8258ABL"))*1</f>
        <v>#VALUE!</v>
      </c>
      <c r="B8900" s="1">
        <v>6963417</v>
      </c>
      <c r="C8900" t="s">
        <v>3206</v>
      </c>
      <c r="D8900" t="s">
        <v>9080</v>
      </c>
      <c r="E8900" t="s">
        <v>8</v>
      </c>
    </row>
    <row r="8901" spans="1:5" hidden="1" outlineLevel="2">
      <c r="A8901" s="3" t="e">
        <f>(HYPERLINK("http://www.autodoc.ru/Web/price/art/8258ABLBL?analog=on","8258ABLBL"))*1</f>
        <v>#VALUE!</v>
      </c>
      <c r="B8901" s="1">
        <v>6964112</v>
      </c>
      <c r="C8901" t="s">
        <v>3206</v>
      </c>
      <c r="D8901" t="s">
        <v>9081</v>
      </c>
      <c r="E8901" t="s">
        <v>8</v>
      </c>
    </row>
    <row r="8902" spans="1:5" hidden="1" outlineLevel="2">
      <c r="A8902" s="3" t="e">
        <f>(HYPERLINK("http://www.autodoc.ru/Web/price/art/8258AKCS?analog=on","8258AKCS"))*1</f>
        <v>#VALUE!</v>
      </c>
      <c r="B8902" s="1">
        <v>6101469</v>
      </c>
      <c r="C8902" t="s">
        <v>19</v>
      </c>
      <c r="D8902" t="s">
        <v>9082</v>
      </c>
      <c r="E8902" t="s">
        <v>21</v>
      </c>
    </row>
    <row r="8903" spans="1:5" hidden="1" outlineLevel="2">
      <c r="A8903" s="3" t="e">
        <f>(HYPERLINK("http://www.autodoc.ru/Web/price/art/8258ASMSTC?analog=on","8258ASMSTC"))*1</f>
        <v>#VALUE!</v>
      </c>
      <c r="B8903" s="1">
        <v>6101174</v>
      </c>
      <c r="C8903" t="s">
        <v>19</v>
      </c>
      <c r="D8903" t="s">
        <v>9083</v>
      </c>
      <c r="E8903" t="s">
        <v>21</v>
      </c>
    </row>
    <row r="8904" spans="1:5" hidden="1" outlineLevel="2">
      <c r="A8904" s="3" t="e">
        <f>(HYPERLINK("http://www.autodoc.ru/Web/price/art/8258LBLS4FD?analog=on","8258LBLS4FD"))*1</f>
        <v>#VALUE!</v>
      </c>
      <c r="B8904" s="1">
        <v>6998465</v>
      </c>
      <c r="C8904" t="s">
        <v>3206</v>
      </c>
      <c r="D8904" t="s">
        <v>9084</v>
      </c>
      <c r="E8904" t="s">
        <v>10</v>
      </c>
    </row>
    <row r="8905" spans="1:5" hidden="1" outlineLevel="1">
      <c r="A8905" s="2">
        <v>0</v>
      </c>
      <c r="B8905" s="26" t="s">
        <v>9085</v>
      </c>
      <c r="C8905" s="27">
        <v>0</v>
      </c>
      <c r="D8905" s="27">
        <v>0</v>
      </c>
      <c r="E8905" s="27">
        <v>0</v>
      </c>
    </row>
    <row r="8906" spans="1:5" hidden="1" outlineLevel="2">
      <c r="A8906" s="3" t="e">
        <f>(HYPERLINK("http://www.autodoc.ru/Web/price/art/8278ABL?analog=on","8278ABL"))*1</f>
        <v>#VALUE!</v>
      </c>
      <c r="B8906" s="1">
        <v>6963421</v>
      </c>
      <c r="C8906" t="s">
        <v>3237</v>
      </c>
      <c r="D8906" t="s">
        <v>9086</v>
      </c>
      <c r="E8906" t="s">
        <v>8</v>
      </c>
    </row>
    <row r="8907" spans="1:5" hidden="1" outlineLevel="2">
      <c r="A8907" s="3" t="e">
        <f>(HYPERLINK("http://www.autodoc.ru/Web/price/art/8278ABLBL?analog=on","8278ABLBL"))*1</f>
        <v>#VALUE!</v>
      </c>
      <c r="B8907" s="1">
        <v>6963422</v>
      </c>
      <c r="C8907" t="s">
        <v>3237</v>
      </c>
      <c r="D8907" t="s">
        <v>9087</v>
      </c>
      <c r="E8907" t="s">
        <v>8</v>
      </c>
    </row>
    <row r="8908" spans="1:5" hidden="1" outlineLevel="2">
      <c r="A8908" s="3" t="e">
        <f>(HYPERLINK("http://www.autodoc.ru/Web/price/art/8278AGNBL?analog=on","8278AGNBL"))*1</f>
        <v>#VALUE!</v>
      </c>
      <c r="B8908" s="1">
        <v>6963680</v>
      </c>
      <c r="C8908" t="s">
        <v>3237</v>
      </c>
      <c r="D8908" t="s">
        <v>9088</v>
      </c>
      <c r="E8908" t="s">
        <v>8</v>
      </c>
    </row>
    <row r="8909" spans="1:5" hidden="1" outlineLevel="2">
      <c r="A8909" s="3" t="e">
        <f>(HYPERLINK("http://www.autodoc.ru/Web/price/art/8278AKCS?analog=on","8278AKCS"))*1</f>
        <v>#VALUE!</v>
      </c>
      <c r="B8909" s="1">
        <v>6101149</v>
      </c>
      <c r="C8909" t="s">
        <v>19</v>
      </c>
      <c r="D8909" t="s">
        <v>9089</v>
      </c>
      <c r="E8909" t="s">
        <v>21</v>
      </c>
    </row>
    <row r="8910" spans="1:5" hidden="1" outlineLevel="2">
      <c r="A8910" s="3" t="e">
        <f>(HYPERLINK("http://www.autodoc.ru/Web/price/art/8278ASMST?analog=on","8278ASMST"))*1</f>
        <v>#VALUE!</v>
      </c>
      <c r="B8910" s="1">
        <v>6102513</v>
      </c>
      <c r="C8910" t="s">
        <v>19</v>
      </c>
      <c r="D8910" t="s">
        <v>9090</v>
      </c>
      <c r="E8910" t="s">
        <v>21</v>
      </c>
    </row>
    <row r="8911" spans="1:5" hidden="1" outlineLevel="2">
      <c r="A8911" s="3" t="e">
        <f>(HYPERLINK("http://www.autodoc.ru/Web/price/art/8278ASMSTC?analog=on","8278ASMSTC"))*1</f>
        <v>#VALUE!</v>
      </c>
      <c r="B8911" s="1">
        <v>6101113</v>
      </c>
      <c r="C8911" t="s">
        <v>19</v>
      </c>
      <c r="D8911" t="s">
        <v>9091</v>
      </c>
      <c r="E8911" t="s">
        <v>21</v>
      </c>
    </row>
    <row r="8912" spans="1:5" hidden="1" outlineLevel="2">
      <c r="A8912" s="3" t="e">
        <f>(HYPERLINK("http://www.autodoc.ru/Web/price/art/8278BBLS?analog=on","8278BBLS"))*1</f>
        <v>#VALUE!</v>
      </c>
      <c r="B8912" s="1">
        <v>6980353</v>
      </c>
      <c r="C8912" t="s">
        <v>3237</v>
      </c>
      <c r="D8912" t="s">
        <v>9092</v>
      </c>
      <c r="E8912" t="s">
        <v>23</v>
      </c>
    </row>
    <row r="8913" spans="1:5" hidden="1" outlineLevel="2">
      <c r="A8913" s="3" t="e">
        <f>(HYPERLINK("http://www.autodoc.ru/Web/price/art/8278LBLS4FDW?analog=on","8278LBLS4FDW"))*1</f>
        <v>#VALUE!</v>
      </c>
      <c r="B8913" s="1">
        <v>6997852</v>
      </c>
      <c r="C8913" t="s">
        <v>3237</v>
      </c>
      <c r="D8913" t="s">
        <v>9093</v>
      </c>
      <c r="E8913" t="s">
        <v>10</v>
      </c>
    </row>
    <row r="8914" spans="1:5" hidden="1" outlineLevel="2">
      <c r="A8914" s="3" t="e">
        <f>(HYPERLINK("http://www.autodoc.ru/Web/price/art/8278LBLS4RDW?analog=on","8278LBLS4RDW"))*1</f>
        <v>#VALUE!</v>
      </c>
      <c r="B8914" s="1">
        <v>6997853</v>
      </c>
      <c r="C8914" t="s">
        <v>3237</v>
      </c>
      <c r="D8914" t="s">
        <v>9094</v>
      </c>
      <c r="E8914" t="s">
        <v>10</v>
      </c>
    </row>
    <row r="8915" spans="1:5" hidden="1" outlineLevel="2">
      <c r="A8915" s="3" t="e">
        <f>(HYPERLINK("http://www.autodoc.ru/Web/price/art/8278RBLS4FDW?analog=on","8278RBLS4FDW"))*1</f>
        <v>#VALUE!</v>
      </c>
      <c r="B8915" s="1">
        <v>6997855</v>
      </c>
      <c r="C8915" t="s">
        <v>3237</v>
      </c>
      <c r="D8915" t="s">
        <v>9095</v>
      </c>
      <c r="E8915" t="s">
        <v>10</v>
      </c>
    </row>
    <row r="8916" spans="1:5" hidden="1" outlineLevel="2">
      <c r="A8916" s="3" t="e">
        <f>(HYPERLINK("http://www.autodoc.ru/Web/price/art/8278RBLS4RDW?analog=on","8278RBLS4RDW"))*1</f>
        <v>#VALUE!</v>
      </c>
      <c r="B8916" s="1">
        <v>6997856</v>
      </c>
      <c r="C8916" t="s">
        <v>3237</v>
      </c>
      <c r="D8916" t="s">
        <v>9096</v>
      </c>
      <c r="E8916" t="s">
        <v>10</v>
      </c>
    </row>
    <row r="8917" spans="1:5" hidden="1" outlineLevel="1">
      <c r="A8917" s="2">
        <v>0</v>
      </c>
      <c r="B8917" s="26" t="s">
        <v>9097</v>
      </c>
      <c r="C8917" s="27">
        <v>0</v>
      </c>
      <c r="D8917" s="27">
        <v>0</v>
      </c>
      <c r="E8917" s="27">
        <v>0</v>
      </c>
    </row>
    <row r="8918" spans="1:5" hidden="1" outlineLevel="2">
      <c r="A8918" s="3" t="e">
        <f>(HYPERLINK("http://www.autodoc.ru/Web/price/art/8302AGNGN?analog=on","8302AGNGN"))*1</f>
        <v>#VALUE!</v>
      </c>
      <c r="B8918" s="1">
        <v>6963431</v>
      </c>
      <c r="C8918" t="s">
        <v>1173</v>
      </c>
      <c r="D8918" t="s">
        <v>9098</v>
      </c>
      <c r="E8918" t="s">
        <v>8</v>
      </c>
    </row>
    <row r="8919" spans="1:5" hidden="1" outlineLevel="2">
      <c r="A8919" s="3" t="e">
        <f>(HYPERLINK("http://www.autodoc.ru/Web/price/art/8302ASMST?analog=on","8302ASMST"))*1</f>
        <v>#VALUE!</v>
      </c>
      <c r="B8919" s="1">
        <v>6101041</v>
      </c>
      <c r="C8919" t="s">
        <v>19</v>
      </c>
      <c r="D8919" t="s">
        <v>9099</v>
      </c>
      <c r="E8919" t="s">
        <v>21</v>
      </c>
    </row>
    <row r="8920" spans="1:5" hidden="1" outlineLevel="2">
      <c r="A8920" s="3" t="e">
        <f>(HYPERLINK("http://www.autodoc.ru/Web/price/art/8302LGNS4FD?analog=on","8302LGNS4FD"))*1</f>
        <v>#VALUE!</v>
      </c>
      <c r="B8920" s="1">
        <v>6993254</v>
      </c>
      <c r="C8920" t="s">
        <v>1173</v>
      </c>
      <c r="D8920" t="s">
        <v>9100</v>
      </c>
      <c r="E8920" t="s">
        <v>10</v>
      </c>
    </row>
    <row r="8921" spans="1:5" hidden="1" outlineLevel="2">
      <c r="A8921" s="3" t="e">
        <f>(HYPERLINK("http://www.autodoc.ru/Web/price/art/8302LGNS4RD?analog=on","8302LGNS4RD"))*1</f>
        <v>#VALUE!</v>
      </c>
      <c r="B8921" s="1">
        <v>6980611</v>
      </c>
      <c r="C8921" t="s">
        <v>1173</v>
      </c>
      <c r="D8921" t="s">
        <v>9101</v>
      </c>
      <c r="E8921" t="s">
        <v>10</v>
      </c>
    </row>
    <row r="8922" spans="1:5" hidden="1" outlineLevel="2">
      <c r="A8922" s="3" t="e">
        <f>(HYPERLINK("http://www.autodoc.ru/Web/price/art/8302RGNS4RD?analog=on","8302RGNS4RD"))*1</f>
        <v>#VALUE!</v>
      </c>
      <c r="B8922" s="1">
        <v>6980612</v>
      </c>
      <c r="C8922" t="s">
        <v>1173</v>
      </c>
      <c r="D8922" t="s">
        <v>9102</v>
      </c>
      <c r="E8922" t="s">
        <v>10</v>
      </c>
    </row>
    <row r="8923" spans="1:5" hidden="1" outlineLevel="2">
      <c r="A8923" s="3" t="e">
        <f>(HYPERLINK("http://www.autodoc.ru/Web/price/art/8302RGNS4FD?analog=on","8302RGNS4FD"))*1</f>
        <v>#VALUE!</v>
      </c>
      <c r="B8923" s="1">
        <v>6980154</v>
      </c>
      <c r="C8923" t="s">
        <v>1173</v>
      </c>
      <c r="D8923" t="s">
        <v>9103</v>
      </c>
      <c r="E8923" t="s">
        <v>10</v>
      </c>
    </row>
    <row r="8924" spans="1:5" hidden="1" outlineLevel="1">
      <c r="A8924" s="2">
        <v>0</v>
      </c>
      <c r="B8924" s="26" t="s">
        <v>9104</v>
      </c>
      <c r="C8924" s="27">
        <v>0</v>
      </c>
      <c r="D8924" s="27">
        <v>0</v>
      </c>
      <c r="E8924" s="27">
        <v>0</v>
      </c>
    </row>
    <row r="8925" spans="1:5" hidden="1" outlineLevel="2">
      <c r="A8925" s="3" t="e">
        <f>(HYPERLINK("http://www.autodoc.ru/Web/price/art/8339AGNBLMV?analog=on","8339AGNBLMV"))*1</f>
        <v>#VALUE!</v>
      </c>
      <c r="B8925" s="1">
        <v>6962462</v>
      </c>
      <c r="C8925" t="s">
        <v>540</v>
      </c>
      <c r="D8925" t="s">
        <v>9105</v>
      </c>
      <c r="E8925" t="s">
        <v>8</v>
      </c>
    </row>
    <row r="8926" spans="1:5" hidden="1" outlineLevel="2">
      <c r="A8926" s="3" t="e">
        <f>(HYPERLINK("http://www.autodoc.ru/Web/price/art/8339ASMS?analog=on","8339ASMS"))*1</f>
        <v>#VALUE!</v>
      </c>
      <c r="B8926" s="1">
        <v>6101470</v>
      </c>
      <c r="C8926" t="s">
        <v>19</v>
      </c>
      <c r="D8926" t="s">
        <v>9106</v>
      </c>
      <c r="E8926" t="s">
        <v>21</v>
      </c>
    </row>
    <row r="8927" spans="1:5" hidden="1" outlineLevel="2">
      <c r="A8927" s="3" t="e">
        <f>(HYPERLINK("http://www.autodoc.ru/Web/price/art/8337BGSSB?analog=on","8337BGSSB"))*1</f>
        <v>#VALUE!</v>
      </c>
      <c r="B8927" s="1">
        <v>6999922</v>
      </c>
      <c r="C8927" t="s">
        <v>540</v>
      </c>
      <c r="D8927" t="s">
        <v>9107</v>
      </c>
      <c r="E8927" t="s">
        <v>23</v>
      </c>
    </row>
    <row r="8928" spans="1:5" hidden="1" outlineLevel="2">
      <c r="A8928" s="3" t="e">
        <f>(HYPERLINK("http://www.autodoc.ru/Web/price/art/8339LGSS4RD?analog=on","8339LGSS4RD"))*1</f>
        <v>#VALUE!</v>
      </c>
      <c r="B8928" s="1">
        <v>6900197</v>
      </c>
      <c r="C8928" t="s">
        <v>540</v>
      </c>
      <c r="D8928" t="s">
        <v>9108</v>
      </c>
      <c r="E8928" t="s">
        <v>10</v>
      </c>
    </row>
    <row r="8929" spans="1:5" hidden="1" outlineLevel="2">
      <c r="A8929" s="3" t="e">
        <f>(HYPERLINK("http://www.autodoc.ru/Web/price/art/8339RGSS4RD?analog=on","8339RGSS4RD"))*1</f>
        <v>#VALUE!</v>
      </c>
      <c r="B8929" s="1">
        <v>6900282</v>
      </c>
      <c r="C8929" t="s">
        <v>540</v>
      </c>
      <c r="D8929" t="s">
        <v>9109</v>
      </c>
      <c r="E8929" t="s">
        <v>10</v>
      </c>
    </row>
    <row r="8930" spans="1:5" hidden="1" outlineLevel="1">
      <c r="A8930" s="2">
        <v>0</v>
      </c>
      <c r="B8930" s="26" t="s">
        <v>9110</v>
      </c>
      <c r="C8930" s="27">
        <v>0</v>
      </c>
      <c r="D8930" s="27">
        <v>0</v>
      </c>
      <c r="E8930" s="27">
        <v>0</v>
      </c>
    </row>
    <row r="8931" spans="1:5" hidden="1" outlineLevel="2">
      <c r="A8931" s="3" t="e">
        <f>(HYPERLINK("http://www.autodoc.ru/Web/price/art/8377AGNGNMV1C?analog=on","8377AGNGNMV1C"))*1</f>
        <v>#VALUE!</v>
      </c>
      <c r="B8931" s="1">
        <v>6962794</v>
      </c>
      <c r="C8931" t="s">
        <v>956</v>
      </c>
      <c r="D8931" t="s">
        <v>9111</v>
      </c>
      <c r="E8931" t="s">
        <v>8</v>
      </c>
    </row>
    <row r="8932" spans="1:5" hidden="1" outlineLevel="2">
      <c r="A8932" s="3" t="e">
        <f>(HYPERLINK("http://www.autodoc.ru/Web/price/art/8377AGNGNMVW1C?analog=on","8377AGNGNMVW1C"))*1</f>
        <v>#VALUE!</v>
      </c>
      <c r="B8932" s="1">
        <v>6964896</v>
      </c>
      <c r="C8932" t="s">
        <v>956</v>
      </c>
      <c r="D8932" t="s">
        <v>9112</v>
      </c>
      <c r="E8932" t="s">
        <v>8</v>
      </c>
    </row>
    <row r="8933" spans="1:5" hidden="1" outlineLevel="2">
      <c r="A8933" s="3" t="e">
        <f>(HYPERLINK("http://www.autodoc.ru/Web/price/art/8377AGNBLW?analog=on","8377AGNBLW"))*1</f>
        <v>#VALUE!</v>
      </c>
      <c r="B8933" s="1">
        <v>6962969</v>
      </c>
      <c r="C8933" t="s">
        <v>956</v>
      </c>
      <c r="D8933" t="s">
        <v>9113</v>
      </c>
      <c r="E8933" t="s">
        <v>8</v>
      </c>
    </row>
    <row r="8934" spans="1:5" hidden="1" outlineLevel="2">
      <c r="A8934" s="3" t="e">
        <f>(HYPERLINK("http://www.autodoc.ru/Web/price/art/8377AGNBLW1C?analog=on","8377AGNBLW1C"))*1</f>
        <v>#VALUE!</v>
      </c>
      <c r="B8934" s="1">
        <v>6962971</v>
      </c>
      <c r="C8934" t="s">
        <v>956</v>
      </c>
      <c r="D8934" t="s">
        <v>9114</v>
      </c>
      <c r="E8934" t="s">
        <v>8</v>
      </c>
    </row>
    <row r="8935" spans="1:5" hidden="1" outlineLevel="2">
      <c r="A8935" s="3" t="e">
        <f>(HYPERLINK("http://www.autodoc.ru/Web/price/art/8377AGSGNMZ?analog=on","8377AGSGNMZ"))*1</f>
        <v>#VALUE!</v>
      </c>
      <c r="B8935" s="1">
        <v>6961565</v>
      </c>
      <c r="C8935" t="s">
        <v>956</v>
      </c>
      <c r="D8935" t="s">
        <v>9115</v>
      </c>
      <c r="E8935" t="s">
        <v>8</v>
      </c>
    </row>
    <row r="8936" spans="1:5" hidden="1" outlineLevel="2">
      <c r="A8936" s="3" t="e">
        <f>(HYPERLINK("http://www.autodoc.ru/Web/price/art/8377ASMS?analog=on","8377ASMS"))*1</f>
        <v>#VALUE!</v>
      </c>
      <c r="B8936" s="1">
        <v>6102548</v>
      </c>
      <c r="C8936" t="s">
        <v>19</v>
      </c>
      <c r="D8936" t="s">
        <v>9116</v>
      </c>
      <c r="E8936" t="s">
        <v>21</v>
      </c>
    </row>
    <row r="8937" spans="1:5" hidden="1" outlineLevel="2">
      <c r="A8937" s="3" t="e">
        <f>(HYPERLINK("http://www.autodoc.ru/Web/price/art/8377LGNS4FDW?analog=on","8377LGNS4FDW"))*1</f>
        <v>#VALUE!</v>
      </c>
      <c r="B8937" s="1">
        <v>6994735</v>
      </c>
      <c r="C8937" t="s">
        <v>956</v>
      </c>
      <c r="D8937" t="s">
        <v>9117</v>
      </c>
      <c r="E8937" t="s">
        <v>10</v>
      </c>
    </row>
    <row r="8938" spans="1:5" hidden="1" outlineLevel="2">
      <c r="A8938" s="3" t="e">
        <f>(HYPERLINK("http://www.autodoc.ru/Web/price/art/8377RGNS4FDW?analog=on","8377RGNS4FDW"))*1</f>
        <v>#VALUE!</v>
      </c>
      <c r="B8938" s="1">
        <v>6994734</v>
      </c>
      <c r="C8938" t="s">
        <v>956</v>
      </c>
      <c r="D8938" t="s">
        <v>9118</v>
      </c>
      <c r="E8938" t="s">
        <v>10</v>
      </c>
    </row>
    <row r="8939" spans="1:5" hidden="1" outlineLevel="2">
      <c r="A8939" s="3" t="e">
        <f>(HYPERLINK("http://www.autodoc.ru/Web/price/art/8377LGNS4RDW?analog=on","8377LGNS4RDW"))*1</f>
        <v>#VALUE!</v>
      </c>
      <c r="B8939" s="1">
        <v>6994737</v>
      </c>
      <c r="C8939" t="s">
        <v>956</v>
      </c>
      <c r="D8939" t="s">
        <v>9119</v>
      </c>
      <c r="E8939" t="s">
        <v>10</v>
      </c>
    </row>
    <row r="8940" spans="1:5" hidden="1" outlineLevel="2">
      <c r="A8940" s="3" t="e">
        <f>(HYPERLINK("http://www.autodoc.ru/Web/price/art/8377RGNS4RDW?analog=on","8377RGNS4RDW"))*1</f>
        <v>#VALUE!</v>
      </c>
      <c r="B8940" s="1">
        <v>6994736</v>
      </c>
      <c r="C8940" t="s">
        <v>956</v>
      </c>
      <c r="D8940" t="s">
        <v>9120</v>
      </c>
      <c r="E8940" t="s">
        <v>10</v>
      </c>
    </row>
    <row r="8941" spans="1:5" hidden="1" outlineLevel="2">
      <c r="A8941" s="3" t="e">
        <f>(HYPERLINK("http://www.autodoc.ru/Web/price/art/8377LGNS4RV?analog=on","8377LGNS4RV"))*1</f>
        <v>#VALUE!</v>
      </c>
      <c r="B8941" s="1">
        <v>6994739</v>
      </c>
      <c r="C8941" t="s">
        <v>956</v>
      </c>
      <c r="D8941" t="s">
        <v>9121</v>
      </c>
      <c r="E8941" t="s">
        <v>10</v>
      </c>
    </row>
    <row r="8942" spans="1:5" hidden="1" outlineLevel="2">
      <c r="A8942" s="3" t="e">
        <f>(HYPERLINK("http://www.autodoc.ru/Web/price/art/8377RGNS4RV?analog=on","8377RGNS4RV"))*1</f>
        <v>#VALUE!</v>
      </c>
      <c r="B8942" s="1">
        <v>6994738</v>
      </c>
      <c r="C8942" t="s">
        <v>956</v>
      </c>
      <c r="D8942" t="s">
        <v>9122</v>
      </c>
      <c r="E8942" t="s">
        <v>10</v>
      </c>
    </row>
    <row r="8943" spans="1:5" hidden="1" outlineLevel="1">
      <c r="A8943" s="2">
        <v>0</v>
      </c>
      <c r="B8943" s="26" t="s">
        <v>9123</v>
      </c>
      <c r="C8943" s="27">
        <v>0</v>
      </c>
      <c r="D8943" s="27">
        <v>0</v>
      </c>
      <c r="E8943" s="27">
        <v>0</v>
      </c>
    </row>
    <row r="8944" spans="1:5" hidden="1" outlineLevel="2">
      <c r="A8944" s="3" t="e">
        <f>(HYPERLINK("http://www.autodoc.ru/Web/price/art/8403AGAGNMVW1B?analog=on","8403AGAGNMVW1B"))*1</f>
        <v>#VALUE!</v>
      </c>
      <c r="B8944" s="1">
        <v>6965174</v>
      </c>
      <c r="C8944" t="s">
        <v>965</v>
      </c>
      <c r="D8944" t="s">
        <v>9124</v>
      </c>
      <c r="E8944" t="s">
        <v>8</v>
      </c>
    </row>
    <row r="8945" spans="1:5" hidden="1" outlineLevel="2">
      <c r="A8945" s="3" t="e">
        <f>(HYPERLINK("http://www.autodoc.ru/Web/price/art/8403AGAGNVW?analog=on","8403AGAGNVW"))*1</f>
        <v>#VALUE!</v>
      </c>
      <c r="B8945" s="1">
        <v>6965474</v>
      </c>
      <c r="C8945" t="s">
        <v>965</v>
      </c>
      <c r="D8945" t="s">
        <v>9125</v>
      </c>
      <c r="E8945" t="s">
        <v>8</v>
      </c>
    </row>
    <row r="8946" spans="1:5" hidden="1" outlineLevel="2">
      <c r="A8946" s="3" t="e">
        <f>(HYPERLINK("http://www.autodoc.ru/Web/price/art/8403RGNS4FD?analog=on","8403RGNS4FD"))*1</f>
        <v>#VALUE!</v>
      </c>
      <c r="B8946" s="1">
        <v>6901504</v>
      </c>
      <c r="C8946" t="s">
        <v>965</v>
      </c>
      <c r="D8946" t="s">
        <v>9126</v>
      </c>
      <c r="E8946" t="s">
        <v>10</v>
      </c>
    </row>
    <row r="8947" spans="1:5" hidden="1" outlineLevel="2">
      <c r="A8947" s="3" t="e">
        <f>(HYPERLINK("http://www.autodoc.ru/Web/price/art/8403LGNS4FD?analog=on","8403LGNS4FD"))*1</f>
        <v>#VALUE!</v>
      </c>
      <c r="B8947" s="1">
        <v>6901505</v>
      </c>
      <c r="C8947" t="s">
        <v>965</v>
      </c>
      <c r="D8947" t="s">
        <v>9127</v>
      </c>
      <c r="E8947" t="s">
        <v>10</v>
      </c>
    </row>
    <row r="8948" spans="1:5" hidden="1" outlineLevel="2">
      <c r="A8948" s="3" t="e">
        <f>(HYPERLINK("http://www.autodoc.ru/Web/price/art/8403RGNS4RD?analog=on","8403RGNS4RD"))*1</f>
        <v>#VALUE!</v>
      </c>
      <c r="B8948" s="1">
        <v>6901506</v>
      </c>
      <c r="C8948" t="s">
        <v>965</v>
      </c>
      <c r="D8948" t="s">
        <v>9128</v>
      </c>
      <c r="E8948" t="s">
        <v>10</v>
      </c>
    </row>
    <row r="8949" spans="1:5" hidden="1" outlineLevel="2">
      <c r="A8949" s="3" t="e">
        <f>(HYPERLINK("http://www.autodoc.ru/Web/price/art/8403LGNS4RD?analog=on","8403LGNS4RD"))*1</f>
        <v>#VALUE!</v>
      </c>
      <c r="B8949" s="1">
        <v>6901507</v>
      </c>
      <c r="C8949" t="s">
        <v>965</v>
      </c>
      <c r="D8949" t="s">
        <v>9129</v>
      </c>
      <c r="E8949" t="s">
        <v>10</v>
      </c>
    </row>
    <row r="8950" spans="1:5" hidden="1" outlineLevel="2">
      <c r="A8950" s="3" t="e">
        <f>(HYPERLINK("http://www.autodoc.ru/Web/price/art/8403RGNS4RV?analog=on","8403RGNS4RV"))*1</f>
        <v>#VALUE!</v>
      </c>
      <c r="B8950" s="1">
        <v>6901508</v>
      </c>
      <c r="C8950" t="s">
        <v>965</v>
      </c>
      <c r="D8950" t="s">
        <v>9130</v>
      </c>
      <c r="E8950" t="s">
        <v>10</v>
      </c>
    </row>
    <row r="8951" spans="1:5" hidden="1" outlineLevel="2">
      <c r="A8951" s="3" t="e">
        <f>(HYPERLINK("http://www.autodoc.ru/Web/price/art/8403LGNS4RV?analog=on","8403LGNS4RV"))*1</f>
        <v>#VALUE!</v>
      </c>
      <c r="B8951" s="1">
        <v>6901509</v>
      </c>
      <c r="C8951" t="s">
        <v>965</v>
      </c>
      <c r="D8951" t="s">
        <v>9131</v>
      </c>
      <c r="E8951" t="s">
        <v>10</v>
      </c>
    </row>
    <row r="8952" spans="1:5" hidden="1" outlineLevel="1">
      <c r="A8952" s="2">
        <v>0</v>
      </c>
      <c r="B8952" s="26" t="s">
        <v>9132</v>
      </c>
      <c r="C8952" s="27">
        <v>0</v>
      </c>
      <c r="D8952" s="27">
        <v>0</v>
      </c>
      <c r="E8952" s="27">
        <v>0</v>
      </c>
    </row>
    <row r="8953" spans="1:5" hidden="1" outlineLevel="2">
      <c r="A8953" s="3" t="e">
        <f>(HYPERLINK("http://www.autodoc.ru/Web/price/art/8251ABL?analog=on","8251ABL"))*1</f>
        <v>#VALUE!</v>
      </c>
      <c r="B8953" s="1">
        <v>6963517</v>
      </c>
      <c r="C8953" t="s">
        <v>1929</v>
      </c>
      <c r="D8953" t="s">
        <v>9133</v>
      </c>
      <c r="E8953" t="s">
        <v>8</v>
      </c>
    </row>
    <row r="8954" spans="1:5" hidden="1" outlineLevel="1">
      <c r="A8954" s="2">
        <v>0</v>
      </c>
      <c r="B8954" s="26" t="s">
        <v>9134</v>
      </c>
      <c r="C8954" s="27">
        <v>0</v>
      </c>
      <c r="D8954" s="27">
        <v>0</v>
      </c>
      <c r="E8954" s="27">
        <v>0</v>
      </c>
    </row>
    <row r="8955" spans="1:5" hidden="1" outlineLevel="2">
      <c r="A8955" s="3" t="e">
        <f>(HYPERLINK("http://www.autodoc.ru/Web/price/art/8262ABL?analog=on","8262ABL"))*1</f>
        <v>#VALUE!</v>
      </c>
      <c r="B8955" s="1">
        <v>6969964</v>
      </c>
      <c r="C8955" t="s">
        <v>3473</v>
      </c>
      <c r="D8955" t="s">
        <v>9135</v>
      </c>
      <c r="E8955" t="s">
        <v>8</v>
      </c>
    </row>
    <row r="8956" spans="1:5" hidden="1" outlineLevel="2">
      <c r="A8956" s="3" t="e">
        <f>(HYPERLINK("http://www.autodoc.ru/Web/price/art/8262ABLBL?analog=on","8262ABLBL"))*1</f>
        <v>#VALUE!</v>
      </c>
      <c r="B8956" s="1">
        <v>6969402</v>
      </c>
      <c r="C8956" t="s">
        <v>3473</v>
      </c>
      <c r="D8956" t="s">
        <v>9136</v>
      </c>
      <c r="E8956" t="s">
        <v>8</v>
      </c>
    </row>
    <row r="8957" spans="1:5" hidden="1" outlineLevel="2">
      <c r="A8957" s="3" t="e">
        <f>(HYPERLINK("http://www.autodoc.ru/Web/price/art/8262ACL?analog=on","8262ACL"))*1</f>
        <v>#VALUE!</v>
      </c>
      <c r="B8957" s="1">
        <v>6969401</v>
      </c>
      <c r="C8957" t="s">
        <v>3473</v>
      </c>
      <c r="D8957" t="s">
        <v>9137</v>
      </c>
      <c r="E8957" t="s">
        <v>8</v>
      </c>
    </row>
    <row r="8958" spans="1:5" hidden="1" outlineLevel="2">
      <c r="A8958" s="3" t="e">
        <f>(HYPERLINK("http://www.autodoc.ru/Web/price/art/8262BBLHW?analog=on","8262BBLHW"))*1</f>
        <v>#VALUE!</v>
      </c>
      <c r="B8958" s="1">
        <v>6998243</v>
      </c>
      <c r="C8958" t="s">
        <v>3473</v>
      </c>
      <c r="D8958" t="s">
        <v>9138</v>
      </c>
      <c r="E8958" t="s">
        <v>23</v>
      </c>
    </row>
    <row r="8959" spans="1:5" hidden="1" outlineLevel="2">
      <c r="A8959" s="3" t="e">
        <f>(HYPERLINK("http://www.autodoc.ru/Web/price/art/8262BBLS?analog=on","8262BBLS"))*1</f>
        <v>#VALUE!</v>
      </c>
      <c r="B8959" s="1">
        <v>6997313</v>
      </c>
      <c r="C8959" t="s">
        <v>3473</v>
      </c>
      <c r="D8959" t="s">
        <v>9139</v>
      </c>
      <c r="E8959" t="s">
        <v>23</v>
      </c>
    </row>
    <row r="8960" spans="1:5" hidden="1" outlineLevel="2">
      <c r="A8960" s="3" t="e">
        <f>(HYPERLINK("http://www.autodoc.ru/Web/price/art/8262LBLH5FD?analog=on","8262LBLH5FD"))*1</f>
        <v>#VALUE!</v>
      </c>
      <c r="B8960" s="1">
        <v>6996971</v>
      </c>
      <c r="C8960" t="s">
        <v>3473</v>
      </c>
      <c r="D8960" t="s">
        <v>9140</v>
      </c>
      <c r="E8960" t="s">
        <v>10</v>
      </c>
    </row>
    <row r="8961" spans="1:5" hidden="1" outlineLevel="2">
      <c r="A8961" s="3" t="e">
        <f>(HYPERLINK("http://www.autodoc.ru/Web/price/art/8262LBLS4RD?analog=on","8262LBLS4RD"))*1</f>
        <v>#VALUE!</v>
      </c>
      <c r="B8961" s="1">
        <v>6999462</v>
      </c>
      <c r="C8961" t="s">
        <v>3473</v>
      </c>
      <c r="D8961" t="s">
        <v>9141</v>
      </c>
      <c r="E8961" t="s">
        <v>10</v>
      </c>
    </row>
    <row r="8962" spans="1:5" hidden="1" outlineLevel="2">
      <c r="A8962" s="3" t="e">
        <f>(HYPERLINK("http://www.autodoc.ru/Web/price/art/8262LBLS4RV?analog=on","8262LBLS4RV"))*1</f>
        <v>#VALUE!</v>
      </c>
      <c r="B8962" s="1">
        <v>6996972</v>
      </c>
      <c r="C8962" t="s">
        <v>3473</v>
      </c>
      <c r="D8962" t="s">
        <v>9142</v>
      </c>
      <c r="E8962" t="s">
        <v>10</v>
      </c>
    </row>
    <row r="8963" spans="1:5" hidden="1" outlineLevel="2">
      <c r="A8963" s="3" t="e">
        <f>(HYPERLINK("http://www.autodoc.ru/Web/price/art/8262RBLH5FD?analog=on","8262RBLH5FD"))*1</f>
        <v>#VALUE!</v>
      </c>
      <c r="B8963" s="1">
        <v>6996973</v>
      </c>
      <c r="C8963" t="s">
        <v>3473</v>
      </c>
      <c r="D8963" t="s">
        <v>9143</v>
      </c>
      <c r="E8963" t="s">
        <v>10</v>
      </c>
    </row>
    <row r="8964" spans="1:5" hidden="1" outlineLevel="2">
      <c r="A8964" s="3" t="e">
        <f>(HYPERLINK("http://www.autodoc.ru/Web/price/art/8262RBLH5RV?analog=on","8262RBLH5RV"))*1</f>
        <v>#VALUE!</v>
      </c>
      <c r="B8964" s="1">
        <v>6999757</v>
      </c>
      <c r="C8964" t="s">
        <v>3473</v>
      </c>
      <c r="D8964" t="s">
        <v>9144</v>
      </c>
      <c r="E8964" t="s">
        <v>10</v>
      </c>
    </row>
    <row r="8965" spans="1:5" hidden="1" outlineLevel="2">
      <c r="A8965" s="3" t="e">
        <f>(HYPERLINK("http://www.autodoc.ru/Web/price/art/8262RBLS4RD?analog=on","8262RBLS4RD"))*1</f>
        <v>#VALUE!</v>
      </c>
      <c r="B8965" s="1">
        <v>6999464</v>
      </c>
      <c r="C8965" t="s">
        <v>3473</v>
      </c>
      <c r="D8965" t="s">
        <v>9145</v>
      </c>
      <c r="E8965" t="s">
        <v>10</v>
      </c>
    </row>
    <row r="8966" spans="1:5" hidden="1" outlineLevel="2">
      <c r="A8966" s="3" t="e">
        <f>(HYPERLINK("http://www.autodoc.ru/Web/price/art/8262RBLS4RV?analog=on","8262RBLS4RV"))*1</f>
        <v>#VALUE!</v>
      </c>
      <c r="B8966" s="1">
        <v>6996974</v>
      </c>
      <c r="C8966" t="s">
        <v>3473</v>
      </c>
      <c r="D8966" t="s">
        <v>9146</v>
      </c>
      <c r="E8966" t="s">
        <v>10</v>
      </c>
    </row>
    <row r="8967" spans="1:5" hidden="1" outlineLevel="1">
      <c r="A8967" s="2">
        <v>0</v>
      </c>
      <c r="B8967" s="26" t="s">
        <v>9147</v>
      </c>
      <c r="C8967" s="27">
        <v>0</v>
      </c>
      <c r="D8967" s="27">
        <v>0</v>
      </c>
      <c r="E8967" s="27">
        <v>0</v>
      </c>
    </row>
    <row r="8968" spans="1:5" hidden="1" outlineLevel="2">
      <c r="A8968" s="3" t="e">
        <f>(HYPERLINK("http://www.autodoc.ru/Web/price/art/8282ABL?analog=on","8282ABL"))*1</f>
        <v>#VALUE!</v>
      </c>
      <c r="B8968" s="1">
        <v>6969341</v>
      </c>
      <c r="C8968" t="s">
        <v>58</v>
      </c>
      <c r="D8968" t="s">
        <v>9148</v>
      </c>
      <c r="E8968" t="s">
        <v>8</v>
      </c>
    </row>
    <row r="8969" spans="1:5" hidden="1" outlineLevel="2">
      <c r="A8969" s="3" t="e">
        <f>(HYPERLINK("http://www.autodoc.ru/Web/price/art/8282ABLBL?analog=on","8282ABLBL"))*1</f>
        <v>#VALUE!</v>
      </c>
      <c r="B8969" s="1">
        <v>6969342</v>
      </c>
      <c r="C8969" t="s">
        <v>58</v>
      </c>
      <c r="D8969" t="s">
        <v>9149</v>
      </c>
      <c r="E8969" t="s">
        <v>8</v>
      </c>
    </row>
    <row r="8970" spans="1:5" hidden="1" outlineLevel="2">
      <c r="A8970" s="3" t="e">
        <f>(HYPERLINK("http://www.autodoc.ru/Web/price/art/8282AGN?analog=on","8282AGN"))*1</f>
        <v>#VALUE!</v>
      </c>
      <c r="B8970" s="1">
        <v>6969411</v>
      </c>
      <c r="C8970" t="s">
        <v>58</v>
      </c>
      <c r="D8970" t="s">
        <v>9150</v>
      </c>
      <c r="E8970" t="s">
        <v>8</v>
      </c>
    </row>
    <row r="8971" spans="1:5" hidden="1" outlineLevel="2">
      <c r="A8971" s="3" t="e">
        <f>(HYPERLINK("http://www.autodoc.ru/Web/price/art/8282AGNBL?analog=on","8282AGNBL"))*1</f>
        <v>#VALUE!</v>
      </c>
      <c r="B8971" s="1">
        <v>6969412</v>
      </c>
      <c r="C8971" t="s">
        <v>58</v>
      </c>
      <c r="D8971" t="s">
        <v>9151</v>
      </c>
      <c r="E8971" t="s">
        <v>8</v>
      </c>
    </row>
    <row r="8972" spans="1:5" hidden="1" outlineLevel="2">
      <c r="A8972" s="3" t="e">
        <f>(HYPERLINK("http://www.autodoc.ru/Web/price/art/8282AGNGN?analog=on","8282AGNGN"))*1</f>
        <v>#VALUE!</v>
      </c>
      <c r="B8972" s="1">
        <v>6963423</v>
      </c>
      <c r="C8972" t="s">
        <v>58</v>
      </c>
      <c r="D8972" t="s">
        <v>9152</v>
      </c>
      <c r="E8972" t="s">
        <v>8</v>
      </c>
    </row>
    <row r="8973" spans="1:5" hidden="1" outlineLevel="2">
      <c r="A8973" s="3" t="e">
        <f>(HYPERLINK("http://www.autodoc.ru/Web/price/art/8282AGNGNH?analog=on","8282AGNGNH"))*1</f>
        <v>#VALUE!</v>
      </c>
      <c r="B8973" s="1">
        <v>6962077</v>
      </c>
      <c r="C8973" t="s">
        <v>58</v>
      </c>
      <c r="D8973" t="s">
        <v>9153</v>
      </c>
      <c r="E8973" t="s">
        <v>8</v>
      </c>
    </row>
    <row r="8974" spans="1:5" hidden="1" outlineLevel="2">
      <c r="A8974" s="3" t="e">
        <f>(HYPERLINK("http://www.autodoc.ru/Web/price/art/8282ASMH?analog=on","8282ASMH"))*1</f>
        <v>#VALUE!</v>
      </c>
      <c r="B8974" s="1">
        <v>6100540</v>
      </c>
      <c r="C8974" t="s">
        <v>19</v>
      </c>
      <c r="D8974" t="s">
        <v>9154</v>
      </c>
      <c r="E8974" t="s">
        <v>21</v>
      </c>
    </row>
    <row r="8975" spans="1:5" hidden="1" outlineLevel="2">
      <c r="A8975" s="3" t="e">
        <f>(HYPERLINK("http://www.autodoc.ru/Web/price/art/8282BBLHW?analog=on","8282BBLHW"))*1</f>
        <v>#VALUE!</v>
      </c>
      <c r="B8975" s="1">
        <v>6998870</v>
      </c>
      <c r="C8975" t="s">
        <v>58</v>
      </c>
      <c r="D8975" t="s">
        <v>9155</v>
      </c>
      <c r="E8975" t="s">
        <v>23</v>
      </c>
    </row>
    <row r="8976" spans="1:5" hidden="1" outlineLevel="2">
      <c r="A8976" s="3" t="e">
        <f>(HYPERLINK("http://www.autodoc.ru/Web/price/art/8282BBLS?analog=on","8282BBLS"))*1</f>
        <v>#VALUE!</v>
      </c>
      <c r="B8976" s="1">
        <v>6998982</v>
      </c>
      <c r="C8976" t="s">
        <v>58</v>
      </c>
      <c r="D8976" t="s">
        <v>9156</v>
      </c>
      <c r="E8976" t="s">
        <v>23</v>
      </c>
    </row>
    <row r="8977" spans="1:5" hidden="1" outlineLevel="2">
      <c r="A8977" s="3" t="e">
        <f>(HYPERLINK("http://www.autodoc.ru/Web/price/art/8282BGNHW?analog=on","8282BGNHW"))*1</f>
        <v>#VALUE!</v>
      </c>
      <c r="B8977" s="1">
        <v>6998871</v>
      </c>
      <c r="C8977" t="s">
        <v>58</v>
      </c>
      <c r="D8977" t="s">
        <v>9157</v>
      </c>
      <c r="E8977" t="s">
        <v>23</v>
      </c>
    </row>
    <row r="8978" spans="1:5" hidden="1" outlineLevel="2">
      <c r="A8978" s="3" t="e">
        <f>(HYPERLINK("http://www.autodoc.ru/Web/price/art/8282BGNS?analog=on","8282BGNS"))*1</f>
        <v>#VALUE!</v>
      </c>
      <c r="B8978" s="1">
        <v>6998872</v>
      </c>
      <c r="C8978" t="s">
        <v>58</v>
      </c>
      <c r="D8978" t="s">
        <v>9158</v>
      </c>
      <c r="E8978" t="s">
        <v>23</v>
      </c>
    </row>
    <row r="8979" spans="1:5" hidden="1" outlineLevel="2">
      <c r="A8979" s="3" t="e">
        <f>(HYPERLINK("http://www.autodoc.ru/Web/price/art/8282LBLH5FDW?analog=on","8282LBLH5FDW"))*1</f>
        <v>#VALUE!</v>
      </c>
      <c r="B8979" s="1">
        <v>6998307</v>
      </c>
      <c r="C8979" t="s">
        <v>58</v>
      </c>
      <c r="D8979" t="s">
        <v>9159</v>
      </c>
      <c r="E8979" t="s">
        <v>10</v>
      </c>
    </row>
    <row r="8980" spans="1:5" hidden="1" outlineLevel="2">
      <c r="A8980" s="3" t="e">
        <f>(HYPERLINK("http://www.autodoc.ru/Web/price/art/8282LBLS4RDW?analog=on","8282LBLS4RDW"))*1</f>
        <v>#VALUE!</v>
      </c>
      <c r="B8980" s="1">
        <v>6997259</v>
      </c>
      <c r="C8980" t="s">
        <v>58</v>
      </c>
      <c r="D8980" t="s">
        <v>9160</v>
      </c>
      <c r="E8980" t="s">
        <v>10</v>
      </c>
    </row>
    <row r="8981" spans="1:5" hidden="1" outlineLevel="2">
      <c r="A8981" s="3" t="e">
        <f>(HYPERLINK("http://www.autodoc.ru/Web/price/art/8282LGNH5FDW?analog=on","8282LGNH5FDW"))*1</f>
        <v>#VALUE!</v>
      </c>
      <c r="B8981" s="1">
        <v>6995867</v>
      </c>
      <c r="C8981" t="s">
        <v>58</v>
      </c>
      <c r="D8981" t="s">
        <v>9161</v>
      </c>
      <c r="E8981" t="s">
        <v>10</v>
      </c>
    </row>
    <row r="8982" spans="1:5" hidden="1" outlineLevel="2">
      <c r="A8982" s="3" t="e">
        <f>(HYPERLINK("http://www.autodoc.ru/Web/price/art/8282LGNH5RDW?analog=on","8282LGNH5RDW"))*1</f>
        <v>#VALUE!</v>
      </c>
      <c r="B8982" s="1">
        <v>6999329</v>
      </c>
      <c r="C8982" t="s">
        <v>58</v>
      </c>
      <c r="D8982" t="s">
        <v>9162</v>
      </c>
      <c r="E8982" t="s">
        <v>10</v>
      </c>
    </row>
    <row r="8983" spans="1:5" hidden="1" outlineLevel="2">
      <c r="A8983" s="3" t="e">
        <f>(HYPERLINK("http://www.autodoc.ru/Web/price/art/8282LGNS4RDW?analog=on","8282LGNS4RDW"))*1</f>
        <v>#VALUE!</v>
      </c>
      <c r="B8983" s="1">
        <v>6997861</v>
      </c>
      <c r="C8983" t="s">
        <v>58</v>
      </c>
      <c r="D8983" t="s">
        <v>9163</v>
      </c>
      <c r="E8983" t="s">
        <v>10</v>
      </c>
    </row>
    <row r="8984" spans="1:5" hidden="1" outlineLevel="2">
      <c r="A8984" s="3" t="e">
        <f>(HYPERLINK("http://www.autodoc.ru/Web/price/art/8282LGNS4RVW?analog=on","8282LGNS4RVW"))*1</f>
        <v>#VALUE!</v>
      </c>
      <c r="B8984" s="1">
        <v>6995497</v>
      </c>
      <c r="C8984" t="s">
        <v>58</v>
      </c>
      <c r="D8984" t="s">
        <v>9164</v>
      </c>
      <c r="E8984" t="s">
        <v>10</v>
      </c>
    </row>
    <row r="8985" spans="1:5" hidden="1" outlineLevel="2">
      <c r="A8985" s="3" t="e">
        <f>(HYPERLINK("http://www.autodoc.ru/Web/price/art/8282RBLH5FDW?analog=on","8282RBLH5FDW"))*1</f>
        <v>#VALUE!</v>
      </c>
      <c r="B8985" s="1">
        <v>6998308</v>
      </c>
      <c r="C8985" t="s">
        <v>58</v>
      </c>
      <c r="D8985" t="s">
        <v>9165</v>
      </c>
      <c r="E8985" t="s">
        <v>10</v>
      </c>
    </row>
    <row r="8986" spans="1:5" hidden="1" outlineLevel="2">
      <c r="A8986" s="3" t="e">
        <f>(HYPERLINK("http://www.autodoc.ru/Web/price/art/8282RBLS4RDW?analog=on","8282RBLS4RDW"))*1</f>
        <v>#VALUE!</v>
      </c>
      <c r="B8986" s="1">
        <v>6997860</v>
      </c>
      <c r="C8986" t="s">
        <v>58</v>
      </c>
      <c r="D8986" t="s">
        <v>9166</v>
      </c>
      <c r="E8986" t="s">
        <v>10</v>
      </c>
    </row>
    <row r="8987" spans="1:5" hidden="1" outlineLevel="2">
      <c r="A8987" s="3" t="e">
        <f>(HYPERLINK("http://www.autodoc.ru/Web/price/art/8282RBLS4RV?analog=on","8282RBLS4RV"))*1</f>
        <v>#VALUE!</v>
      </c>
      <c r="B8987" s="1">
        <v>6994137</v>
      </c>
      <c r="C8987" t="s">
        <v>58</v>
      </c>
      <c r="D8987" t="s">
        <v>9167</v>
      </c>
      <c r="E8987" t="s">
        <v>10</v>
      </c>
    </row>
    <row r="8988" spans="1:5" hidden="1" outlineLevel="2">
      <c r="A8988" s="3" t="e">
        <f>(HYPERLINK("http://www.autodoc.ru/Web/price/art/8282RGNH5FDW?analog=on","8282RGNH5FDW"))*1</f>
        <v>#VALUE!</v>
      </c>
      <c r="B8988" s="1">
        <v>6995868</v>
      </c>
      <c r="C8988" t="s">
        <v>58</v>
      </c>
      <c r="D8988" t="s">
        <v>9168</v>
      </c>
      <c r="E8988" t="s">
        <v>10</v>
      </c>
    </row>
    <row r="8989" spans="1:5" hidden="1" outlineLevel="2">
      <c r="A8989" s="3" t="e">
        <f>(HYPERLINK("http://www.autodoc.ru/Web/price/art/8282RGNH5RDW?analog=on","8282RGNH5RDW"))*1</f>
        <v>#VALUE!</v>
      </c>
      <c r="B8989" s="1">
        <v>6999330</v>
      </c>
      <c r="C8989" t="s">
        <v>58</v>
      </c>
      <c r="D8989" t="s">
        <v>9169</v>
      </c>
      <c r="E8989" t="s">
        <v>10</v>
      </c>
    </row>
    <row r="8990" spans="1:5" hidden="1" outlineLevel="2">
      <c r="A8990" s="3" t="e">
        <f>(HYPERLINK("http://www.autodoc.ru/Web/price/art/8282RGNS4RDW?analog=on","8282RGNS4RDW"))*1</f>
        <v>#VALUE!</v>
      </c>
      <c r="B8990" s="1">
        <v>6997862</v>
      </c>
      <c r="C8990" t="s">
        <v>58</v>
      </c>
      <c r="D8990" t="s">
        <v>9170</v>
      </c>
      <c r="E8990" t="s">
        <v>10</v>
      </c>
    </row>
    <row r="8991" spans="1:5" hidden="1" outlineLevel="2">
      <c r="A8991" s="3" t="e">
        <f>(HYPERLINK("http://www.autodoc.ru/Web/price/art/8282RGNS4RVW?analog=on","8282RGNS4RVW"))*1</f>
        <v>#VALUE!</v>
      </c>
      <c r="B8991" s="1">
        <v>6995498</v>
      </c>
      <c r="C8991" t="s">
        <v>58</v>
      </c>
      <c r="D8991" t="s">
        <v>9171</v>
      </c>
      <c r="E8991" t="s">
        <v>10</v>
      </c>
    </row>
    <row r="8992" spans="1:5" hidden="1" outlineLevel="1">
      <c r="A8992" s="2">
        <v>0</v>
      </c>
      <c r="B8992" s="26" t="s">
        <v>9172</v>
      </c>
      <c r="C8992" s="27">
        <v>0</v>
      </c>
      <c r="D8992" s="27">
        <v>0</v>
      </c>
      <c r="E8992" s="27">
        <v>0</v>
      </c>
    </row>
    <row r="8993" spans="1:5" hidden="1" outlineLevel="2">
      <c r="A8993" s="3" t="e">
        <f>(HYPERLINK("http://www.autodoc.ru/Web/price/art/8241ABL?analog=on","8241ABL"))*1</f>
        <v>#VALUE!</v>
      </c>
      <c r="B8993" s="1">
        <v>6963730</v>
      </c>
      <c r="C8993" t="s">
        <v>2978</v>
      </c>
      <c r="D8993" t="s">
        <v>9173</v>
      </c>
      <c r="E8993" t="s">
        <v>8</v>
      </c>
    </row>
    <row r="8994" spans="1:5" hidden="1" outlineLevel="1">
      <c r="A8994" s="2">
        <v>0</v>
      </c>
      <c r="B8994" s="26" t="s">
        <v>9174</v>
      </c>
      <c r="C8994" s="27">
        <v>0</v>
      </c>
      <c r="D8994" s="27">
        <v>0</v>
      </c>
      <c r="E8994" s="27">
        <v>0</v>
      </c>
    </row>
    <row r="8995" spans="1:5" hidden="1" outlineLevel="2">
      <c r="A8995" s="3" t="e">
        <f>(HYPERLINK("http://www.autodoc.ru/Web/price/art/8253ABL?analog=on","8253ABL"))*1</f>
        <v>#VALUE!</v>
      </c>
      <c r="B8995" s="1">
        <v>6963415</v>
      </c>
      <c r="C8995" t="s">
        <v>3431</v>
      </c>
      <c r="D8995" t="s">
        <v>9175</v>
      </c>
      <c r="E8995" t="s">
        <v>8</v>
      </c>
    </row>
    <row r="8996" spans="1:5" hidden="1" outlineLevel="2">
      <c r="A8996" s="3" t="e">
        <f>(HYPERLINK("http://www.autodoc.ru/Web/price/art/8253LBLC2FD?analog=on","8253LBLC2FD"))*1</f>
        <v>#VALUE!</v>
      </c>
      <c r="B8996" s="1">
        <v>6999457</v>
      </c>
      <c r="C8996" t="s">
        <v>3431</v>
      </c>
      <c r="D8996" t="s">
        <v>9176</v>
      </c>
      <c r="E8996" t="s">
        <v>10</v>
      </c>
    </row>
    <row r="8997" spans="1:5" hidden="1" outlineLevel="1">
      <c r="A8997" s="2">
        <v>0</v>
      </c>
      <c r="B8997" s="26" t="s">
        <v>9177</v>
      </c>
      <c r="C8997" s="27">
        <v>0</v>
      </c>
      <c r="D8997" s="27">
        <v>0</v>
      </c>
      <c r="E8997" s="27">
        <v>0</v>
      </c>
    </row>
    <row r="8998" spans="1:5" hidden="1" outlineLevel="2">
      <c r="A8998" s="3" t="e">
        <f>(HYPERLINK("http://www.autodoc.ru/Web/price/art/8269ABL?analog=on","8269ABL"))*1</f>
        <v>#VALUE!</v>
      </c>
      <c r="B8998" s="1">
        <v>6963418</v>
      </c>
      <c r="C8998" t="s">
        <v>17</v>
      </c>
      <c r="D8998" t="s">
        <v>9178</v>
      </c>
      <c r="E8998" t="s">
        <v>8</v>
      </c>
    </row>
    <row r="8999" spans="1:5" hidden="1" outlineLevel="2">
      <c r="A8999" s="3" t="e">
        <f>(HYPERLINK("http://www.autodoc.ru/Web/price/art/8269ABLBL?analog=on","8269ABLBL"))*1</f>
        <v>#VALUE!</v>
      </c>
      <c r="B8999" s="1">
        <v>6963872</v>
      </c>
      <c r="C8999" t="s">
        <v>17</v>
      </c>
      <c r="D8999" t="s">
        <v>9179</v>
      </c>
      <c r="E8999" t="s">
        <v>8</v>
      </c>
    </row>
    <row r="9000" spans="1:5" hidden="1" outlineLevel="2">
      <c r="A9000" s="3" t="e">
        <f>(HYPERLINK("http://www.autodoc.ru/Web/price/art/8269ASMC?analog=on","8269ASMC"))*1</f>
        <v>#VALUE!</v>
      </c>
      <c r="B9000" s="1">
        <v>6100220</v>
      </c>
      <c r="C9000" t="s">
        <v>19</v>
      </c>
      <c r="D9000" t="s">
        <v>9180</v>
      </c>
      <c r="E9000" t="s">
        <v>21</v>
      </c>
    </row>
    <row r="9001" spans="1:5" hidden="1" outlineLevel="2">
      <c r="A9001" s="3" t="e">
        <f>(HYPERLINK("http://www.autodoc.ru/Web/price/art/8269LBLC2FD?analog=on","8269LBLC2FD"))*1</f>
        <v>#VALUE!</v>
      </c>
      <c r="B9001" s="1">
        <v>6999465</v>
      </c>
      <c r="C9001" t="s">
        <v>17</v>
      </c>
      <c r="D9001" t="s">
        <v>9181</v>
      </c>
      <c r="E9001" t="s">
        <v>10</v>
      </c>
    </row>
    <row r="9002" spans="1:5" hidden="1" outlineLevel="2">
      <c r="A9002" s="3" t="e">
        <f>(HYPERLINK("http://www.autodoc.ru/Web/price/art/8269RBLC2FD?analog=on","8269RBLC2FD"))*1</f>
        <v>#VALUE!</v>
      </c>
      <c r="B9002" s="1">
        <v>6999466</v>
      </c>
      <c r="C9002" t="s">
        <v>17</v>
      </c>
      <c r="D9002" t="s">
        <v>9182</v>
      </c>
      <c r="E9002" t="s">
        <v>10</v>
      </c>
    </row>
    <row r="9003" spans="1:5" hidden="1" outlineLevel="1">
      <c r="A9003" s="2">
        <v>0</v>
      </c>
      <c r="B9003" s="26" t="s">
        <v>9183</v>
      </c>
      <c r="C9003" s="27">
        <v>0</v>
      </c>
      <c r="D9003" s="27">
        <v>0</v>
      </c>
      <c r="E9003" s="27">
        <v>0</v>
      </c>
    </row>
    <row r="9004" spans="1:5" hidden="1" outlineLevel="2">
      <c r="A9004" s="3" t="e">
        <f>(HYPERLINK("http://www.autodoc.ru/Web/price/art/8286ABL?analog=on","8286ABL"))*1</f>
        <v>#VALUE!</v>
      </c>
      <c r="B9004" s="1">
        <v>6963592</v>
      </c>
      <c r="C9004" t="s">
        <v>499</v>
      </c>
      <c r="D9004" t="s">
        <v>9184</v>
      </c>
      <c r="E9004" t="s">
        <v>8</v>
      </c>
    </row>
    <row r="9005" spans="1:5" hidden="1" outlineLevel="2">
      <c r="A9005" s="3" t="e">
        <f>(HYPERLINK("http://www.autodoc.ru/Web/price/art/8286AGN?analog=on","8286AGN"))*1</f>
        <v>#VALUE!</v>
      </c>
      <c r="B9005" s="1">
        <v>6963593</v>
      </c>
      <c r="C9005" t="s">
        <v>499</v>
      </c>
      <c r="D9005" t="s">
        <v>9185</v>
      </c>
      <c r="E9005" t="s">
        <v>8</v>
      </c>
    </row>
    <row r="9006" spans="1:5" hidden="1" outlineLevel="2">
      <c r="A9006" s="3" t="e">
        <f>(HYPERLINK("http://www.autodoc.ru/Web/price/art/8286ASMC?analog=on","8286ASMC"))*1</f>
        <v>#VALUE!</v>
      </c>
      <c r="B9006" s="1">
        <v>6100226</v>
      </c>
      <c r="C9006" t="s">
        <v>19</v>
      </c>
      <c r="D9006" t="s">
        <v>9186</v>
      </c>
      <c r="E9006" t="s">
        <v>21</v>
      </c>
    </row>
    <row r="9007" spans="1:5" hidden="1" outlineLevel="1">
      <c r="A9007" s="2">
        <v>0</v>
      </c>
      <c r="B9007" s="26" t="s">
        <v>9187</v>
      </c>
      <c r="C9007" s="27">
        <v>0</v>
      </c>
      <c r="D9007" s="27">
        <v>0</v>
      </c>
      <c r="E9007" s="27">
        <v>0</v>
      </c>
    </row>
    <row r="9008" spans="1:5" hidden="1" outlineLevel="2">
      <c r="A9008" s="3" t="e">
        <f>(HYPERLINK("http://www.autodoc.ru/Web/price/art/8316AGN?analog=on","8316AGN"))*1</f>
        <v>#VALUE!</v>
      </c>
      <c r="B9008" s="1">
        <v>6960691</v>
      </c>
      <c r="C9008" t="s">
        <v>1134</v>
      </c>
      <c r="D9008" t="s">
        <v>9188</v>
      </c>
      <c r="E9008" t="s">
        <v>8</v>
      </c>
    </row>
    <row r="9009" spans="1:5" hidden="1" outlineLevel="2">
      <c r="A9009" s="3" t="e">
        <f>(HYPERLINK("http://www.autodoc.ru/Web/price/art/8316AGN1C?analog=on","8316AGN1C"))*1</f>
        <v>#VALUE!</v>
      </c>
      <c r="B9009" s="1">
        <v>6961286</v>
      </c>
      <c r="C9009" t="s">
        <v>1134</v>
      </c>
      <c r="D9009" t="s">
        <v>9188</v>
      </c>
      <c r="E9009" t="s">
        <v>8</v>
      </c>
    </row>
    <row r="9010" spans="1:5" hidden="1" outlineLevel="2">
      <c r="A9010" s="3" t="e">
        <f>(HYPERLINK("http://www.autodoc.ru/Web/price/art/8316ASMC?analog=on","8316ASMC"))*1</f>
        <v>#VALUE!</v>
      </c>
      <c r="B9010" s="1">
        <v>6100620</v>
      </c>
      <c r="C9010" t="s">
        <v>19</v>
      </c>
      <c r="D9010" t="s">
        <v>9189</v>
      </c>
      <c r="E9010" t="s">
        <v>21</v>
      </c>
    </row>
    <row r="9011" spans="1:5" hidden="1" outlineLevel="1">
      <c r="A9011" s="2">
        <v>0</v>
      </c>
      <c r="B9011" s="26" t="s">
        <v>9190</v>
      </c>
      <c r="C9011" s="27">
        <v>0</v>
      </c>
      <c r="D9011" s="27">
        <v>0</v>
      </c>
      <c r="E9011" s="27">
        <v>0</v>
      </c>
    </row>
    <row r="9012" spans="1:5" hidden="1" outlineLevel="2">
      <c r="A9012" s="3" t="e">
        <f>(HYPERLINK("http://www.autodoc.ru/Web/price/art/8237ABL?analog=on","8237ABL"))*1</f>
        <v>#VALUE!</v>
      </c>
      <c r="B9012" s="1">
        <v>6963672</v>
      </c>
      <c r="C9012" t="s">
        <v>6699</v>
      </c>
      <c r="D9012" t="s">
        <v>9191</v>
      </c>
      <c r="E9012" t="s">
        <v>8</v>
      </c>
    </row>
    <row r="9013" spans="1:5" hidden="1" outlineLevel="1">
      <c r="A9013" s="2">
        <v>0</v>
      </c>
      <c r="B9013" s="26" t="s">
        <v>9192</v>
      </c>
      <c r="C9013" s="27">
        <v>0</v>
      </c>
      <c r="D9013" s="27">
        <v>0</v>
      </c>
      <c r="E9013" s="27">
        <v>0</v>
      </c>
    </row>
    <row r="9014" spans="1:5" hidden="1" outlineLevel="2">
      <c r="A9014" s="3" t="e">
        <f>(HYPERLINK("http://www.autodoc.ru/Web/price/art/8247ABL?analog=on","8247ABL"))*1</f>
        <v>#VALUE!</v>
      </c>
      <c r="B9014" s="1">
        <v>6963414</v>
      </c>
      <c r="C9014" t="s">
        <v>9193</v>
      </c>
      <c r="D9014" t="s">
        <v>9194</v>
      </c>
      <c r="E9014" t="s">
        <v>8</v>
      </c>
    </row>
    <row r="9015" spans="1:5" hidden="1" outlineLevel="2">
      <c r="A9015" s="3" t="e">
        <f>(HYPERLINK("http://www.autodoc.ru/Web/price/art/8247ABLBL?analog=on","8247ABLBL"))*1</f>
        <v>#VALUE!</v>
      </c>
      <c r="B9015" s="1">
        <v>6963512</v>
      </c>
      <c r="C9015" t="s">
        <v>9193</v>
      </c>
      <c r="D9015" t="s">
        <v>9195</v>
      </c>
      <c r="E9015" t="s">
        <v>8</v>
      </c>
    </row>
    <row r="9016" spans="1:5" hidden="1" outlineLevel="2">
      <c r="A9016" s="3" t="e">
        <f>(HYPERLINK("http://www.autodoc.ru/Web/price/art/8247ACL?analog=on","8247ACL"))*1</f>
        <v>#VALUE!</v>
      </c>
      <c r="B9016" s="1">
        <v>6963513</v>
      </c>
      <c r="C9016" t="s">
        <v>9193</v>
      </c>
      <c r="D9016" t="s">
        <v>9196</v>
      </c>
      <c r="E9016" t="s">
        <v>8</v>
      </c>
    </row>
    <row r="9017" spans="1:5" hidden="1" outlineLevel="2">
      <c r="A9017" s="3" t="e">
        <f>(HYPERLINK("http://www.autodoc.ru/Web/price/art/8247LBLS4FD?analog=on","8247LBLS4FD"))*1</f>
        <v>#VALUE!</v>
      </c>
      <c r="B9017" s="1">
        <v>6999451</v>
      </c>
      <c r="C9017" t="s">
        <v>9193</v>
      </c>
      <c r="D9017" t="s">
        <v>9197</v>
      </c>
      <c r="E9017" t="s">
        <v>10</v>
      </c>
    </row>
    <row r="9018" spans="1:5" hidden="1" outlineLevel="2">
      <c r="A9018" s="3" t="e">
        <f>(HYPERLINK("http://www.autodoc.ru/Web/price/art/8247LBLS4RV?analog=on","8247LBLS4RV"))*1</f>
        <v>#VALUE!</v>
      </c>
      <c r="B9018" s="1">
        <v>6999453</v>
      </c>
      <c r="C9018" t="s">
        <v>9193</v>
      </c>
      <c r="D9018" t="s">
        <v>9198</v>
      </c>
      <c r="E9018" t="s">
        <v>10</v>
      </c>
    </row>
    <row r="9019" spans="1:5" hidden="1" outlineLevel="2">
      <c r="A9019" s="3" t="e">
        <f>(HYPERLINK("http://www.autodoc.ru/Web/price/art/8247RBLS4FD?analog=on","8247RBLS4FD"))*1</f>
        <v>#VALUE!</v>
      </c>
      <c r="B9019" s="1">
        <v>6999454</v>
      </c>
      <c r="C9019" t="s">
        <v>9193</v>
      </c>
      <c r="D9019" t="s">
        <v>9199</v>
      </c>
      <c r="E9019" t="s">
        <v>10</v>
      </c>
    </row>
    <row r="9020" spans="1:5" hidden="1" outlineLevel="2">
      <c r="A9020" s="3" t="e">
        <f>(HYPERLINK("http://www.autodoc.ru/Web/price/art/8247RBLS4RD?analog=on","8247RBLS4RD"))*1</f>
        <v>#VALUE!</v>
      </c>
      <c r="B9020" s="1">
        <v>6999455</v>
      </c>
      <c r="C9020" t="s">
        <v>9193</v>
      </c>
      <c r="D9020" t="s">
        <v>9200</v>
      </c>
      <c r="E9020" t="s">
        <v>10</v>
      </c>
    </row>
    <row r="9021" spans="1:5" hidden="1" outlineLevel="1">
      <c r="A9021" s="2">
        <v>0</v>
      </c>
      <c r="B9021" s="26" t="s">
        <v>9201</v>
      </c>
      <c r="C9021" s="27">
        <v>0</v>
      </c>
      <c r="D9021" s="27">
        <v>0</v>
      </c>
      <c r="E9021" s="27">
        <v>0</v>
      </c>
    </row>
    <row r="9022" spans="1:5" hidden="1" outlineLevel="2">
      <c r="A9022" s="3" t="e">
        <f>(HYPERLINK("http://www.autodoc.ru/Web/price/art/8248ABL?analog=on","8248ABL"))*1</f>
        <v>#VALUE!</v>
      </c>
      <c r="B9022" s="1">
        <v>6963514</v>
      </c>
      <c r="C9022" t="s">
        <v>1929</v>
      </c>
      <c r="D9022" t="s">
        <v>9202</v>
      </c>
      <c r="E9022" t="s">
        <v>8</v>
      </c>
    </row>
    <row r="9023" spans="1:5" hidden="1" outlineLevel="2">
      <c r="A9023" s="3" t="e">
        <f>(HYPERLINK("http://www.autodoc.ru/Web/price/art/8248ACL?analog=on","8248ACL"))*1</f>
        <v>#VALUE!</v>
      </c>
      <c r="B9023" s="1">
        <v>6963675</v>
      </c>
      <c r="C9023" t="s">
        <v>1929</v>
      </c>
      <c r="D9023" t="s">
        <v>9203</v>
      </c>
      <c r="E9023" t="s">
        <v>8</v>
      </c>
    </row>
    <row r="9024" spans="1:5" hidden="1" outlineLevel="2">
      <c r="A9024" s="3" t="e">
        <f>(HYPERLINK("http://www.autodoc.ru/Web/price/art/8248RBLH5FD?analog=on","8248RBLH5FD"))*1</f>
        <v>#VALUE!</v>
      </c>
      <c r="B9024" s="1">
        <v>6996970</v>
      </c>
      <c r="C9024" t="s">
        <v>1929</v>
      </c>
      <c r="D9024" t="s">
        <v>9204</v>
      </c>
      <c r="E9024" t="s">
        <v>10</v>
      </c>
    </row>
    <row r="9025" spans="1:5" hidden="1" outlineLevel="1">
      <c r="A9025" s="2">
        <v>0</v>
      </c>
      <c r="B9025" s="26" t="s">
        <v>9205</v>
      </c>
      <c r="C9025" s="27">
        <v>0</v>
      </c>
      <c r="D9025" s="27">
        <v>0</v>
      </c>
      <c r="E9025" s="27">
        <v>0</v>
      </c>
    </row>
    <row r="9026" spans="1:5" hidden="1" outlineLevel="2">
      <c r="A9026" s="3" t="e">
        <f>(HYPERLINK("http://www.autodoc.ru/Web/price/art/8249ABL?analog=on","8249ABL"))*1</f>
        <v>#VALUE!</v>
      </c>
      <c r="B9026" s="1">
        <v>6963516</v>
      </c>
      <c r="C9026" t="s">
        <v>2357</v>
      </c>
      <c r="D9026" t="s">
        <v>9206</v>
      </c>
      <c r="E9026" t="s">
        <v>8</v>
      </c>
    </row>
    <row r="9027" spans="1:5" hidden="1" outlineLevel="1">
      <c r="A9027" s="2">
        <v>0</v>
      </c>
      <c r="B9027" s="26" t="s">
        <v>9207</v>
      </c>
      <c r="C9027" s="27">
        <v>0</v>
      </c>
      <c r="D9027" s="27">
        <v>0</v>
      </c>
      <c r="E9027" s="27">
        <v>0</v>
      </c>
    </row>
    <row r="9028" spans="1:5" hidden="1" outlineLevel="2">
      <c r="A9028" s="3" t="e">
        <f>(HYPERLINK("http://www.autodoc.ru/Web/price/art/8259ABL?analog=on","8259ABL"))*1</f>
        <v>#VALUE!</v>
      </c>
      <c r="B9028" s="1">
        <v>6969337</v>
      </c>
      <c r="C9028" t="s">
        <v>3473</v>
      </c>
      <c r="D9028" t="s">
        <v>9208</v>
      </c>
      <c r="E9028" t="s">
        <v>8</v>
      </c>
    </row>
    <row r="9029" spans="1:5" hidden="1" outlineLevel="2">
      <c r="A9029" s="3" t="e">
        <f>(HYPERLINK("http://www.autodoc.ru/Web/price/art/8259ABLBL?analog=on","8259ABLBL"))*1</f>
        <v>#VALUE!</v>
      </c>
      <c r="B9029" s="1">
        <v>6969339</v>
      </c>
      <c r="C9029" t="s">
        <v>3473</v>
      </c>
      <c r="D9029" t="s">
        <v>9209</v>
      </c>
      <c r="E9029" t="s">
        <v>8</v>
      </c>
    </row>
    <row r="9030" spans="1:5" hidden="1" outlineLevel="2">
      <c r="A9030" s="3" t="e">
        <f>(HYPERLINK("http://www.autodoc.ru/Web/price/art/8259ACL?analog=on","8259ACL"))*1</f>
        <v>#VALUE!</v>
      </c>
      <c r="B9030" s="1">
        <v>6969336</v>
      </c>
      <c r="C9030" t="s">
        <v>3473</v>
      </c>
      <c r="D9030" t="s">
        <v>9210</v>
      </c>
      <c r="E9030" t="s">
        <v>8</v>
      </c>
    </row>
    <row r="9031" spans="1:5" hidden="1" outlineLevel="2">
      <c r="A9031" s="3" t="e">
        <f>(HYPERLINK("http://www.autodoc.ru/Web/price/art/8259AGN?analog=on","8259AGN"))*1</f>
        <v>#VALUE!</v>
      </c>
      <c r="B9031" s="1">
        <v>6969338</v>
      </c>
      <c r="C9031" t="s">
        <v>3473</v>
      </c>
      <c r="D9031" t="s">
        <v>9211</v>
      </c>
      <c r="E9031" t="s">
        <v>8</v>
      </c>
    </row>
    <row r="9032" spans="1:5" hidden="1" outlineLevel="2">
      <c r="A9032" s="3" t="e">
        <f>(HYPERLINK("http://www.autodoc.ru/Web/price/art/8259AKCH?analog=on","8259AKCH"))*1</f>
        <v>#VALUE!</v>
      </c>
      <c r="B9032" s="1">
        <v>6100349</v>
      </c>
      <c r="C9032" t="s">
        <v>19</v>
      </c>
      <c r="D9032" t="s">
        <v>9212</v>
      </c>
      <c r="E9032" t="s">
        <v>21</v>
      </c>
    </row>
    <row r="9033" spans="1:5" hidden="1" outlineLevel="2">
      <c r="A9033" s="3" t="e">
        <f>(HYPERLINK("http://www.autodoc.ru/Web/price/art/8259ASMHT?analog=on","8259ASMHT"))*1</f>
        <v>#VALUE!</v>
      </c>
      <c r="B9033" s="1">
        <v>6100219</v>
      </c>
      <c r="C9033" t="s">
        <v>19</v>
      </c>
      <c r="D9033" t="s">
        <v>9213</v>
      </c>
      <c r="E9033" t="s">
        <v>21</v>
      </c>
    </row>
    <row r="9034" spans="1:5" hidden="1" outlineLevel="2">
      <c r="A9034" s="3" t="e">
        <f>(HYPERLINK("http://www.autodoc.ru/Web/price/art/8259ASMHTC?analog=on","8259ASMHTC"))*1</f>
        <v>#VALUE!</v>
      </c>
      <c r="B9034" s="1">
        <v>6101245</v>
      </c>
      <c r="C9034" t="s">
        <v>19</v>
      </c>
      <c r="D9034" t="s">
        <v>9213</v>
      </c>
      <c r="E9034" t="s">
        <v>21</v>
      </c>
    </row>
    <row r="9035" spans="1:5" hidden="1" outlineLevel="2">
      <c r="A9035" s="3" t="e">
        <f>(HYPERLINK("http://www.autodoc.ru/Web/price/art/8259BBLS?analog=on","8259BBLS"))*1</f>
        <v>#VALUE!</v>
      </c>
      <c r="B9035" s="1">
        <v>6998306</v>
      </c>
      <c r="C9035" t="s">
        <v>3473</v>
      </c>
      <c r="D9035" t="s">
        <v>9214</v>
      </c>
      <c r="E9035" t="s">
        <v>23</v>
      </c>
    </row>
    <row r="9036" spans="1:5" hidden="1" outlineLevel="2">
      <c r="A9036" s="3" t="e">
        <f>(HYPERLINK("http://www.autodoc.ru/Web/price/art/8259LBLH3FD?analog=on","8259LBLH3FD"))*1</f>
        <v>#VALUE!</v>
      </c>
      <c r="B9036" s="1">
        <v>6995495</v>
      </c>
      <c r="C9036" t="s">
        <v>3473</v>
      </c>
      <c r="D9036" t="s">
        <v>9215</v>
      </c>
      <c r="E9036" t="s">
        <v>10</v>
      </c>
    </row>
    <row r="9037" spans="1:5" hidden="1" outlineLevel="2">
      <c r="A9037" s="3" t="e">
        <f>(HYPERLINK("http://www.autodoc.ru/Web/price/art/8259LBLH5FDW?analog=on","8259LBLH5FDW"))*1</f>
        <v>#VALUE!</v>
      </c>
      <c r="B9037" s="1">
        <v>6998300</v>
      </c>
      <c r="C9037" t="s">
        <v>3473</v>
      </c>
      <c r="D9037" t="s">
        <v>9216</v>
      </c>
      <c r="E9037" t="s">
        <v>10</v>
      </c>
    </row>
    <row r="9038" spans="1:5" hidden="1" outlineLevel="2">
      <c r="A9038" s="3" t="e">
        <f>(HYPERLINK("http://www.autodoc.ru/Web/price/art/8259LBLS4RD?analog=on","8259LBLS4RD"))*1</f>
        <v>#VALUE!</v>
      </c>
      <c r="B9038" s="1">
        <v>6998302</v>
      </c>
      <c r="C9038" t="s">
        <v>3473</v>
      </c>
      <c r="D9038" t="s">
        <v>9217</v>
      </c>
      <c r="E9038" t="s">
        <v>10</v>
      </c>
    </row>
    <row r="9039" spans="1:5" hidden="1" outlineLevel="2">
      <c r="A9039" s="3" t="e">
        <f>(HYPERLINK("http://www.autodoc.ru/Web/price/art/8259LBLS4RV?analog=on","8259LBLS4RV"))*1</f>
        <v>#VALUE!</v>
      </c>
      <c r="B9039" s="1">
        <v>6998304</v>
      </c>
      <c r="C9039" t="s">
        <v>3473</v>
      </c>
      <c r="D9039" t="s">
        <v>9218</v>
      </c>
      <c r="E9039" t="s">
        <v>10</v>
      </c>
    </row>
    <row r="9040" spans="1:5" hidden="1" outlineLevel="2">
      <c r="A9040" s="3" t="e">
        <f>(HYPERLINK("http://www.autodoc.ru/Web/price/art/8259LCLH5FDW?analog=on","8259LCLH5FDW"))*1</f>
        <v>#VALUE!</v>
      </c>
      <c r="B9040" s="1">
        <v>6999459</v>
      </c>
      <c r="C9040" t="s">
        <v>3473</v>
      </c>
      <c r="D9040" t="s">
        <v>9219</v>
      </c>
      <c r="E9040" t="s">
        <v>10</v>
      </c>
    </row>
    <row r="9041" spans="1:5" hidden="1" outlineLevel="2">
      <c r="A9041" s="3" t="e">
        <f>(HYPERLINK("http://www.autodoc.ru/Web/price/art/8259RBLH3FD?analog=on","8259RBLH3FD"))*1</f>
        <v>#VALUE!</v>
      </c>
      <c r="B9041" s="1">
        <v>6995496</v>
      </c>
      <c r="C9041" t="s">
        <v>3473</v>
      </c>
      <c r="D9041" t="s">
        <v>9220</v>
      </c>
      <c r="E9041" t="s">
        <v>10</v>
      </c>
    </row>
    <row r="9042" spans="1:5" hidden="1" outlineLevel="2">
      <c r="A9042" s="3" t="e">
        <f>(HYPERLINK("http://www.autodoc.ru/Web/price/art/8259RBLH5FDW?analog=on","8259RBLH5FDW"))*1</f>
        <v>#VALUE!</v>
      </c>
      <c r="B9042" s="1">
        <v>6998301</v>
      </c>
      <c r="C9042" t="s">
        <v>3473</v>
      </c>
      <c r="D9042" t="s">
        <v>9221</v>
      </c>
      <c r="E9042" t="s">
        <v>10</v>
      </c>
    </row>
    <row r="9043" spans="1:5" hidden="1" outlineLevel="2">
      <c r="A9043" s="3" t="e">
        <f>(HYPERLINK("http://www.autodoc.ru/Web/price/art/8259RBLS4RD?analog=on","8259RBLS4RD"))*1</f>
        <v>#VALUE!</v>
      </c>
      <c r="B9043" s="1">
        <v>6998303</v>
      </c>
      <c r="C9043" t="s">
        <v>3473</v>
      </c>
      <c r="D9043" t="s">
        <v>9222</v>
      </c>
      <c r="E9043" t="s">
        <v>10</v>
      </c>
    </row>
    <row r="9044" spans="1:5" hidden="1" outlineLevel="2">
      <c r="A9044" s="3" t="e">
        <f>(HYPERLINK("http://www.autodoc.ru/Web/price/art/8259RCLH5FDW?analog=on","8259RCLH5FDW"))*1</f>
        <v>#VALUE!</v>
      </c>
      <c r="B9044" s="1">
        <v>6999460</v>
      </c>
      <c r="C9044" t="s">
        <v>3473</v>
      </c>
      <c r="D9044" t="s">
        <v>9221</v>
      </c>
      <c r="E9044" t="s">
        <v>10</v>
      </c>
    </row>
    <row r="9045" spans="1:5" hidden="1" outlineLevel="2">
      <c r="A9045" s="3" t="e">
        <f>(HYPERLINK("http://www.autodoc.ru/Web/price/art/8259RCLS4RD?analog=on","8259RCLS4RD"))*1</f>
        <v>#VALUE!</v>
      </c>
      <c r="B9045" s="1">
        <v>6998479</v>
      </c>
      <c r="C9045" t="s">
        <v>3473</v>
      </c>
      <c r="D9045" t="s">
        <v>9223</v>
      </c>
      <c r="E9045" t="s">
        <v>10</v>
      </c>
    </row>
    <row r="9046" spans="1:5" hidden="1" outlineLevel="1">
      <c r="A9046" s="2">
        <v>0</v>
      </c>
      <c r="B9046" s="26" t="s">
        <v>9224</v>
      </c>
      <c r="C9046" s="27">
        <v>0</v>
      </c>
      <c r="D9046" s="27">
        <v>0</v>
      </c>
      <c r="E9046" s="27">
        <v>0</v>
      </c>
    </row>
    <row r="9047" spans="1:5" hidden="1" outlineLevel="2">
      <c r="A9047" s="3" t="e">
        <f>(HYPERLINK("http://www.autodoc.ru/Web/price/art/8260ABL?analog=on","8260ABL"))*1</f>
        <v>#VALUE!</v>
      </c>
      <c r="B9047" s="1">
        <v>6969347</v>
      </c>
      <c r="C9047" t="s">
        <v>3473</v>
      </c>
      <c r="D9047" t="s">
        <v>9225</v>
      </c>
      <c r="E9047" t="s">
        <v>8</v>
      </c>
    </row>
    <row r="9048" spans="1:5" hidden="1" outlineLevel="2">
      <c r="A9048" s="3" t="e">
        <f>(HYPERLINK("http://www.autodoc.ru/Web/price/art/8260ABLBL?analog=on","8260ABLBL"))*1</f>
        <v>#VALUE!</v>
      </c>
      <c r="B9048" s="1">
        <v>6969348</v>
      </c>
      <c r="C9048" t="s">
        <v>3473</v>
      </c>
      <c r="D9048" t="s">
        <v>9226</v>
      </c>
      <c r="E9048" t="s">
        <v>8</v>
      </c>
    </row>
    <row r="9049" spans="1:5" hidden="1" outlineLevel="2">
      <c r="A9049" s="3" t="e">
        <f>(HYPERLINK("http://www.autodoc.ru/Web/price/art/8260ACL?analog=on","8260ACL"))*1</f>
        <v>#VALUE!</v>
      </c>
      <c r="B9049" s="1">
        <v>6969346</v>
      </c>
      <c r="C9049" t="s">
        <v>3473</v>
      </c>
      <c r="D9049" t="s">
        <v>9227</v>
      </c>
      <c r="E9049" t="s">
        <v>8</v>
      </c>
    </row>
    <row r="9050" spans="1:5" hidden="1" outlineLevel="2">
      <c r="A9050" s="3" t="e">
        <f>(HYPERLINK("http://www.autodoc.ru/Web/price/art/8260AKCH?analog=on","8260AKCH"))*1</f>
        <v>#VALUE!</v>
      </c>
      <c r="B9050" s="1">
        <v>6100539</v>
      </c>
      <c r="C9050" t="s">
        <v>19</v>
      </c>
      <c r="D9050" t="s">
        <v>9228</v>
      </c>
      <c r="E9050" t="s">
        <v>21</v>
      </c>
    </row>
    <row r="9051" spans="1:5" hidden="1" outlineLevel="2">
      <c r="A9051" s="3" t="e">
        <f>(HYPERLINK("http://www.autodoc.ru/Web/price/art/8260ASMH?analog=on","8260ASMH"))*1</f>
        <v>#VALUE!</v>
      </c>
      <c r="B9051" s="1">
        <v>6101199</v>
      </c>
      <c r="C9051" t="s">
        <v>19</v>
      </c>
      <c r="D9051" t="s">
        <v>9229</v>
      </c>
      <c r="E9051" t="s">
        <v>21</v>
      </c>
    </row>
    <row r="9052" spans="1:5" hidden="1" outlineLevel="2">
      <c r="A9052" s="3" t="e">
        <f>(HYPERLINK("http://www.autodoc.ru/Web/price/art/8260LBLH5FDW?analog=on","8260LBLH5FDW"))*1</f>
        <v>#VALUE!</v>
      </c>
      <c r="B9052" s="1">
        <v>6995855</v>
      </c>
      <c r="C9052" t="s">
        <v>3473</v>
      </c>
      <c r="D9052" t="s">
        <v>9230</v>
      </c>
      <c r="E9052" t="s">
        <v>10</v>
      </c>
    </row>
    <row r="9053" spans="1:5" hidden="1" outlineLevel="2">
      <c r="A9053" s="3" t="e">
        <f>(HYPERLINK("http://www.autodoc.ru/Web/price/art/8260LBLH5RD?analog=on","8260LBLH5RD"))*1</f>
        <v>#VALUE!</v>
      </c>
      <c r="B9053" s="1">
        <v>6995856</v>
      </c>
      <c r="C9053" t="s">
        <v>3473</v>
      </c>
      <c r="D9053" t="s">
        <v>9231</v>
      </c>
      <c r="E9053" t="s">
        <v>10</v>
      </c>
    </row>
    <row r="9054" spans="1:5" hidden="1" outlineLevel="2">
      <c r="A9054" s="3" t="e">
        <f>(HYPERLINK("http://www.autodoc.ru/Web/price/art/8260RBLH5FDW?analog=on","8260RBLH5FDW"))*1</f>
        <v>#VALUE!</v>
      </c>
      <c r="B9054" s="1">
        <v>6995857</v>
      </c>
      <c r="C9054" t="s">
        <v>3473</v>
      </c>
      <c r="D9054" t="s">
        <v>9232</v>
      </c>
      <c r="E9054" t="s">
        <v>10</v>
      </c>
    </row>
    <row r="9055" spans="1:5" hidden="1" outlineLevel="2">
      <c r="A9055" s="3" t="e">
        <f>(HYPERLINK("http://www.autodoc.ru/Web/price/art/8260RBLH5RD?analog=on","8260RBLH5RD"))*1</f>
        <v>#VALUE!</v>
      </c>
      <c r="B9055" s="1">
        <v>6995858</v>
      </c>
      <c r="C9055" t="s">
        <v>3473</v>
      </c>
      <c r="D9055" t="s">
        <v>9233</v>
      </c>
      <c r="E9055" t="s">
        <v>10</v>
      </c>
    </row>
    <row r="9056" spans="1:5" hidden="1" outlineLevel="1">
      <c r="A9056" s="2">
        <v>0</v>
      </c>
      <c r="B9056" s="26" t="s">
        <v>9234</v>
      </c>
      <c r="C9056" s="27">
        <v>0</v>
      </c>
      <c r="D9056" s="27">
        <v>0</v>
      </c>
      <c r="E9056" s="27">
        <v>0</v>
      </c>
    </row>
    <row r="9057" spans="1:5" hidden="1" outlineLevel="2">
      <c r="A9057" s="3" t="e">
        <f>(HYPERLINK("http://www.autodoc.ru/Web/price/art/8280ABL?analog=on","8280ABL"))*1</f>
        <v>#VALUE!</v>
      </c>
      <c r="B9057" s="1">
        <v>6969349</v>
      </c>
      <c r="C9057" t="s">
        <v>3480</v>
      </c>
      <c r="D9057" t="s">
        <v>9235</v>
      </c>
      <c r="E9057" t="s">
        <v>8</v>
      </c>
    </row>
    <row r="9058" spans="1:5" hidden="1" outlineLevel="2">
      <c r="A9058" s="3" t="e">
        <f>(HYPERLINK("http://www.autodoc.ru/Web/price/art/8280ABLBL?analog=on","8280ABLBL"))*1</f>
        <v>#VALUE!</v>
      </c>
      <c r="B9058" s="1">
        <v>6969350</v>
      </c>
      <c r="C9058" t="s">
        <v>3480</v>
      </c>
      <c r="D9058" t="s">
        <v>9236</v>
      </c>
      <c r="E9058" t="s">
        <v>8</v>
      </c>
    </row>
    <row r="9059" spans="1:5" hidden="1" outlineLevel="2">
      <c r="A9059" s="3" t="e">
        <f>(HYPERLINK("http://www.autodoc.ru/Web/price/art/8280ACL?analog=on","8280ACL"))*1</f>
        <v>#VALUE!</v>
      </c>
      <c r="B9059" s="1">
        <v>6969358</v>
      </c>
      <c r="C9059" t="s">
        <v>3480</v>
      </c>
      <c r="D9059" t="s">
        <v>9237</v>
      </c>
      <c r="E9059" t="s">
        <v>8</v>
      </c>
    </row>
    <row r="9060" spans="1:5" hidden="1" outlineLevel="2">
      <c r="A9060" s="3" t="e">
        <f>(HYPERLINK("http://www.autodoc.ru/Web/price/art/8280AGN?analog=on","8280AGN"))*1</f>
        <v>#VALUE!</v>
      </c>
      <c r="B9060" s="1">
        <v>6969359</v>
      </c>
      <c r="C9060" t="s">
        <v>3480</v>
      </c>
      <c r="D9060" t="s">
        <v>9238</v>
      </c>
      <c r="E9060" t="s">
        <v>8</v>
      </c>
    </row>
    <row r="9061" spans="1:5" hidden="1" outlineLevel="2">
      <c r="A9061" s="3" t="e">
        <f>(HYPERLINK("http://www.autodoc.ru/Web/price/art/8280AGNBL?analog=on","8280AGNBL"))*1</f>
        <v>#VALUE!</v>
      </c>
      <c r="B9061" s="1">
        <v>6961708</v>
      </c>
      <c r="C9061" t="s">
        <v>3480</v>
      </c>
      <c r="D9061" t="s">
        <v>9239</v>
      </c>
      <c r="E9061" t="s">
        <v>8</v>
      </c>
    </row>
    <row r="9062" spans="1:5" hidden="1" outlineLevel="2">
      <c r="A9062" s="3" t="e">
        <f>(HYPERLINK("http://www.autodoc.ru/Web/price/art/8280ASMH?analog=on","8280ASMH"))*1</f>
        <v>#VALUE!</v>
      </c>
      <c r="B9062" s="1">
        <v>6100222</v>
      </c>
      <c r="C9062" t="s">
        <v>19</v>
      </c>
      <c r="D9062" t="s">
        <v>9240</v>
      </c>
      <c r="E9062" t="s">
        <v>21</v>
      </c>
    </row>
    <row r="9063" spans="1:5" hidden="1" outlineLevel="2">
      <c r="A9063" s="3" t="e">
        <f>(HYPERLINK("http://www.autodoc.ru/Web/price/art/8280BBLH?analog=on","8280BBLH"))*1</f>
        <v>#VALUE!</v>
      </c>
      <c r="B9063" s="1">
        <v>6998924</v>
      </c>
      <c r="C9063" t="s">
        <v>3480</v>
      </c>
      <c r="D9063" t="s">
        <v>9241</v>
      </c>
      <c r="E9063" t="s">
        <v>23</v>
      </c>
    </row>
    <row r="9064" spans="1:5" hidden="1" outlineLevel="2">
      <c r="A9064" s="3" t="e">
        <f>(HYPERLINK("http://www.autodoc.ru/Web/price/art/8280BBLS?analog=on","8280BBLS"))*1</f>
        <v>#VALUE!</v>
      </c>
      <c r="B9064" s="1">
        <v>6998317</v>
      </c>
      <c r="C9064" t="s">
        <v>3480</v>
      </c>
      <c r="D9064" t="s">
        <v>9242</v>
      </c>
      <c r="E9064" t="s">
        <v>23</v>
      </c>
    </row>
    <row r="9065" spans="1:5" hidden="1" outlineLevel="2">
      <c r="A9065" s="3" t="e">
        <f>(HYPERLINK("http://www.autodoc.ru/Web/price/art/8280LBLE5RV?analog=on","8280LBLE5RV"))*1</f>
        <v>#VALUE!</v>
      </c>
      <c r="B9065" s="1">
        <v>6900304</v>
      </c>
      <c r="C9065" t="s">
        <v>3480</v>
      </c>
      <c r="D9065" t="s">
        <v>9243</v>
      </c>
      <c r="E9065" t="s">
        <v>10</v>
      </c>
    </row>
    <row r="9066" spans="1:5" hidden="1" outlineLevel="2">
      <c r="A9066" s="3" t="e">
        <f>(HYPERLINK("http://www.autodoc.ru/Web/price/art/8280LBLH3FDW?analog=on","8280LBLH3FDW"))*1</f>
        <v>#VALUE!</v>
      </c>
      <c r="B9066" s="1">
        <v>6998309</v>
      </c>
      <c r="C9066" t="s">
        <v>3480</v>
      </c>
      <c r="D9066" t="s">
        <v>9244</v>
      </c>
      <c r="E9066" t="s">
        <v>10</v>
      </c>
    </row>
    <row r="9067" spans="1:5" hidden="1" outlineLevel="2">
      <c r="A9067" s="3" t="e">
        <f>(HYPERLINK("http://www.autodoc.ru/Web/price/art/8280LBLH5FDW?analog=on","8280LBLH5FDW"))*1</f>
        <v>#VALUE!</v>
      </c>
      <c r="B9067" s="1">
        <v>6998311</v>
      </c>
      <c r="C9067" t="s">
        <v>3480</v>
      </c>
      <c r="D9067" t="s">
        <v>9245</v>
      </c>
      <c r="E9067" t="s">
        <v>10</v>
      </c>
    </row>
    <row r="9068" spans="1:5" hidden="1" outlineLevel="2">
      <c r="A9068" s="3" t="e">
        <f>(HYPERLINK("http://www.autodoc.ru/Web/price/art/8280LBLH5RD?analog=on","8280LBLH5RD"))*1</f>
        <v>#VALUE!</v>
      </c>
      <c r="B9068" s="1">
        <v>6995863</v>
      </c>
      <c r="C9068" t="s">
        <v>3480</v>
      </c>
      <c r="D9068" t="s">
        <v>9246</v>
      </c>
      <c r="E9068" t="s">
        <v>10</v>
      </c>
    </row>
    <row r="9069" spans="1:5" hidden="1" outlineLevel="2">
      <c r="A9069" s="3" t="e">
        <f>(HYPERLINK("http://www.autodoc.ru/Web/price/art/8280LBLS4RD?analog=on","8280LBLS4RD"))*1</f>
        <v>#VALUE!</v>
      </c>
      <c r="B9069" s="1">
        <v>6998313</v>
      </c>
      <c r="C9069" t="s">
        <v>3480</v>
      </c>
      <c r="D9069" t="s">
        <v>9247</v>
      </c>
      <c r="E9069" t="s">
        <v>10</v>
      </c>
    </row>
    <row r="9070" spans="1:5" hidden="1" outlineLevel="2">
      <c r="A9070" s="3" t="e">
        <f>(HYPERLINK("http://www.autodoc.ru/Web/price/art/8280LBLS4RV?analog=on","8280LBLS4RV"))*1</f>
        <v>#VALUE!</v>
      </c>
      <c r="B9070" s="1">
        <v>6998315</v>
      </c>
      <c r="C9070" t="s">
        <v>3480</v>
      </c>
      <c r="D9070" t="s">
        <v>9248</v>
      </c>
      <c r="E9070" t="s">
        <v>10</v>
      </c>
    </row>
    <row r="9071" spans="1:5" hidden="1" outlineLevel="2">
      <c r="A9071" s="3" t="e">
        <f>(HYPERLINK("http://www.autodoc.ru/Web/price/art/8280LCLS4RV?analog=on","8280LCLS4RV"))*1</f>
        <v>#VALUE!</v>
      </c>
      <c r="B9071" s="1">
        <v>6993257</v>
      </c>
      <c r="C9071" t="s">
        <v>3480</v>
      </c>
      <c r="D9071" t="s">
        <v>9249</v>
      </c>
      <c r="E9071" t="s">
        <v>10</v>
      </c>
    </row>
    <row r="9072" spans="1:5" hidden="1" outlineLevel="2">
      <c r="A9072" s="3" t="e">
        <f>(HYPERLINK("http://www.autodoc.ru/Web/price/art/8280RBLH3FDW?analog=on","8280RBLH3FDW"))*1</f>
        <v>#VALUE!</v>
      </c>
      <c r="B9072" s="1">
        <v>6998310</v>
      </c>
      <c r="C9072" t="s">
        <v>3480</v>
      </c>
      <c r="D9072" t="s">
        <v>9250</v>
      </c>
      <c r="E9072" t="s">
        <v>10</v>
      </c>
    </row>
    <row r="9073" spans="1:5" hidden="1" outlineLevel="2">
      <c r="A9073" s="3" t="e">
        <f>(HYPERLINK("http://www.autodoc.ru/Web/price/art/8280RBLH5FDW?analog=on","8280RBLH5FDW"))*1</f>
        <v>#VALUE!</v>
      </c>
      <c r="B9073" s="1">
        <v>6998312</v>
      </c>
      <c r="C9073" t="s">
        <v>3480</v>
      </c>
      <c r="D9073" t="s">
        <v>9251</v>
      </c>
      <c r="E9073" t="s">
        <v>10</v>
      </c>
    </row>
    <row r="9074" spans="1:5" hidden="1" outlineLevel="2">
      <c r="A9074" s="3" t="e">
        <f>(HYPERLINK("http://www.autodoc.ru/Web/price/art/8280RBLH5RD?analog=on","8280RBLH5RD"))*1</f>
        <v>#VALUE!</v>
      </c>
      <c r="B9074" s="1">
        <v>6995864</v>
      </c>
      <c r="C9074" t="s">
        <v>3480</v>
      </c>
      <c r="D9074" t="s">
        <v>9252</v>
      </c>
      <c r="E9074" t="s">
        <v>10</v>
      </c>
    </row>
    <row r="9075" spans="1:5" hidden="1" outlineLevel="2">
      <c r="A9075" s="3" t="e">
        <f>(HYPERLINK("http://www.autodoc.ru/Web/price/art/8280RBLS4RD?analog=on","8280RBLS4RD"))*1</f>
        <v>#VALUE!</v>
      </c>
      <c r="B9075" s="1">
        <v>6998314</v>
      </c>
      <c r="C9075" t="s">
        <v>3480</v>
      </c>
      <c r="D9075" t="s">
        <v>9253</v>
      </c>
      <c r="E9075" t="s">
        <v>10</v>
      </c>
    </row>
    <row r="9076" spans="1:5" hidden="1" outlineLevel="2">
      <c r="A9076" s="3" t="e">
        <f>(HYPERLINK("http://www.autodoc.ru/Web/price/art/8280RBLS4RV?analog=on","8280RBLS4RV"))*1</f>
        <v>#VALUE!</v>
      </c>
      <c r="B9076" s="1">
        <v>6998316</v>
      </c>
      <c r="C9076" t="s">
        <v>3480</v>
      </c>
      <c r="D9076" t="s">
        <v>9254</v>
      </c>
      <c r="E9076" t="s">
        <v>10</v>
      </c>
    </row>
    <row r="9077" spans="1:5" hidden="1" outlineLevel="1">
      <c r="A9077" s="2">
        <v>0</v>
      </c>
      <c r="B9077" s="26" t="s">
        <v>9255</v>
      </c>
      <c r="C9077" s="27">
        <v>0</v>
      </c>
      <c r="D9077" s="27">
        <v>0</v>
      </c>
      <c r="E9077" s="27">
        <v>0</v>
      </c>
    </row>
    <row r="9078" spans="1:5" hidden="1" outlineLevel="2">
      <c r="A9078" s="3" t="e">
        <f>(HYPERLINK("http://www.autodoc.ru/Web/price/art/8281ABL?analog=on","8281ABL"))*1</f>
        <v>#VALUE!</v>
      </c>
      <c r="B9078" s="1">
        <v>6969353</v>
      </c>
      <c r="C9078" t="s">
        <v>3480</v>
      </c>
      <c r="D9078" t="s">
        <v>9256</v>
      </c>
      <c r="E9078" t="s">
        <v>8</v>
      </c>
    </row>
    <row r="9079" spans="1:5" hidden="1" outlineLevel="2">
      <c r="A9079" s="3" t="e">
        <f>(HYPERLINK("http://www.autodoc.ru/Web/price/art/8281ABLBL?analog=on","8281ABLBL"))*1</f>
        <v>#VALUE!</v>
      </c>
      <c r="B9079" s="1">
        <v>6969354</v>
      </c>
      <c r="C9079" t="s">
        <v>3480</v>
      </c>
      <c r="D9079" t="s">
        <v>9257</v>
      </c>
      <c r="E9079" t="s">
        <v>8</v>
      </c>
    </row>
    <row r="9080" spans="1:5" hidden="1" outlineLevel="2">
      <c r="A9080" s="3" t="e">
        <f>(HYPERLINK("http://www.autodoc.ru/Web/price/art/8281ACL?analog=on","8281ACL"))*1</f>
        <v>#VALUE!</v>
      </c>
      <c r="B9080" s="1">
        <v>6964113</v>
      </c>
      <c r="C9080" t="s">
        <v>3480</v>
      </c>
      <c r="D9080" t="s">
        <v>9258</v>
      </c>
      <c r="E9080" t="s">
        <v>8</v>
      </c>
    </row>
    <row r="9081" spans="1:5" hidden="1" outlineLevel="2">
      <c r="A9081" s="3" t="e">
        <f>(HYPERLINK("http://www.autodoc.ru/Web/price/art/8281AGN?analog=on","8281AGN"))*1</f>
        <v>#VALUE!</v>
      </c>
      <c r="B9081" s="1">
        <v>6969421</v>
      </c>
      <c r="C9081" t="s">
        <v>3480</v>
      </c>
      <c r="D9081" t="s">
        <v>9259</v>
      </c>
      <c r="E9081" t="s">
        <v>8</v>
      </c>
    </row>
    <row r="9082" spans="1:5" hidden="1" outlineLevel="2">
      <c r="A9082" s="3" t="e">
        <f>(HYPERLINK("http://www.autodoc.ru/Web/price/art/8281ASMHT?analog=on","8281ASMHT"))*1</f>
        <v>#VALUE!</v>
      </c>
      <c r="B9082" s="1">
        <v>6101219</v>
      </c>
      <c r="C9082" t="s">
        <v>19</v>
      </c>
      <c r="D9082" t="s">
        <v>9260</v>
      </c>
      <c r="E9082" t="s">
        <v>21</v>
      </c>
    </row>
    <row r="9083" spans="1:5" hidden="1" outlineLevel="2">
      <c r="A9083" s="3" t="e">
        <f>(HYPERLINK("http://www.autodoc.ru/Web/price/art/8281LBLH5FDW?analog=on","8281LBLH5FDW"))*1</f>
        <v>#VALUE!</v>
      </c>
      <c r="B9083" s="1">
        <v>6998318</v>
      </c>
      <c r="C9083" t="s">
        <v>3480</v>
      </c>
      <c r="D9083" t="s">
        <v>9261</v>
      </c>
      <c r="E9083" t="s">
        <v>10</v>
      </c>
    </row>
    <row r="9084" spans="1:5" hidden="1" outlineLevel="2">
      <c r="A9084" s="3" t="e">
        <f>(HYPERLINK("http://www.autodoc.ru/Web/price/art/8281RBLH5FDW?analog=on","8281RBLH5FDW"))*1</f>
        <v>#VALUE!</v>
      </c>
      <c r="B9084" s="1">
        <v>6998319</v>
      </c>
      <c r="C9084" t="s">
        <v>3480</v>
      </c>
      <c r="D9084" t="s">
        <v>9262</v>
      </c>
      <c r="E9084" t="s">
        <v>10</v>
      </c>
    </row>
    <row r="9085" spans="1:5" hidden="1" outlineLevel="1">
      <c r="A9085" s="2">
        <v>0</v>
      </c>
      <c r="B9085" s="26" t="s">
        <v>9263</v>
      </c>
      <c r="C9085" s="27">
        <v>0</v>
      </c>
      <c r="D9085" s="27">
        <v>0</v>
      </c>
      <c r="E9085" s="27">
        <v>0</v>
      </c>
    </row>
    <row r="9086" spans="1:5" hidden="1" outlineLevel="2">
      <c r="A9086" s="3" t="e">
        <f>(HYPERLINK("http://www.autodoc.ru/Web/price/art/8304AGN?analog=on","8304AGN"))*1</f>
        <v>#VALUE!</v>
      </c>
      <c r="B9086" s="1">
        <v>6969425</v>
      </c>
      <c r="C9086" t="s">
        <v>1710</v>
      </c>
      <c r="D9086" t="s">
        <v>9264</v>
      </c>
      <c r="E9086" t="s">
        <v>8</v>
      </c>
    </row>
    <row r="9087" spans="1:5" hidden="1" outlineLevel="2">
      <c r="A9087" s="3" t="e">
        <f>(HYPERLINK("http://www.autodoc.ru/Web/price/art/8304AGN1P?analog=on","8304AGN1P"))*1</f>
        <v>#VALUE!</v>
      </c>
      <c r="B9087" s="1">
        <v>6969426</v>
      </c>
      <c r="C9087" t="s">
        <v>1710</v>
      </c>
      <c r="D9087" t="s">
        <v>9264</v>
      </c>
      <c r="E9087" t="s">
        <v>8</v>
      </c>
    </row>
    <row r="9088" spans="1:5" hidden="1" outlineLevel="2">
      <c r="A9088" s="3" t="e">
        <f>(HYPERLINK("http://www.autodoc.ru/Web/price/art/8304AGNBL?analog=on","8304AGNBL"))*1</f>
        <v>#VALUE!</v>
      </c>
      <c r="B9088" s="1">
        <v>6963219</v>
      </c>
      <c r="C9088" t="s">
        <v>1710</v>
      </c>
      <c r="D9088" t="s">
        <v>9265</v>
      </c>
      <c r="E9088" t="s">
        <v>8</v>
      </c>
    </row>
    <row r="9089" spans="1:5" hidden="1" outlineLevel="2">
      <c r="A9089" s="3" t="e">
        <f>(HYPERLINK("http://www.autodoc.ru/Web/price/art/8304AGNGN?analog=on","8304AGNGN"))*1</f>
        <v>#VALUE!</v>
      </c>
      <c r="B9089" s="1">
        <v>6963251</v>
      </c>
      <c r="C9089" t="s">
        <v>1710</v>
      </c>
      <c r="D9089" t="s">
        <v>9266</v>
      </c>
      <c r="E9089" t="s">
        <v>8</v>
      </c>
    </row>
    <row r="9090" spans="1:5" hidden="1" outlineLevel="2">
      <c r="A9090" s="3" t="e">
        <f>(HYPERLINK("http://www.autodoc.ru/Web/price/art/8304ASMH?analog=on","8304ASMH"))*1</f>
        <v>#VALUE!</v>
      </c>
      <c r="B9090" s="1">
        <v>6100228</v>
      </c>
      <c r="C9090" t="s">
        <v>19</v>
      </c>
      <c r="D9090" t="s">
        <v>9267</v>
      </c>
      <c r="E9090" t="s">
        <v>21</v>
      </c>
    </row>
    <row r="9091" spans="1:5" hidden="1" outlineLevel="2">
      <c r="A9091" s="3" t="e">
        <f>(HYPERLINK("http://www.autodoc.ru/Web/price/art/8304BGNS?analog=on","8304BGNS"))*1</f>
        <v>#VALUE!</v>
      </c>
      <c r="B9091" s="1">
        <v>6998874</v>
      </c>
      <c r="C9091" t="s">
        <v>1710</v>
      </c>
      <c r="D9091" t="s">
        <v>9268</v>
      </c>
      <c r="E9091" t="s">
        <v>23</v>
      </c>
    </row>
    <row r="9092" spans="1:5" hidden="1" outlineLevel="2">
      <c r="A9092" s="3" t="e">
        <f>(HYPERLINK("http://www.autodoc.ru/Web/price/art/8304LGNH3FDW?analog=on","8304LGNH3FDW"))*1</f>
        <v>#VALUE!</v>
      </c>
      <c r="B9092" s="1">
        <v>6993258</v>
      </c>
      <c r="C9092" t="s">
        <v>1710</v>
      </c>
      <c r="D9092" t="s">
        <v>9269</v>
      </c>
      <c r="E9092" t="s">
        <v>10</v>
      </c>
    </row>
    <row r="9093" spans="1:5" hidden="1" outlineLevel="2">
      <c r="A9093" s="3" t="e">
        <f>(HYPERLINK("http://www.autodoc.ru/Web/price/art/8304LGNH5FDW?analog=on","8304LGNH5FDW"))*1</f>
        <v>#VALUE!</v>
      </c>
      <c r="B9093" s="1">
        <v>6994869</v>
      </c>
      <c r="C9093" t="s">
        <v>1710</v>
      </c>
      <c r="D9093" t="s">
        <v>9269</v>
      </c>
      <c r="E9093" t="s">
        <v>10</v>
      </c>
    </row>
    <row r="9094" spans="1:5" hidden="1" outlineLevel="2">
      <c r="A9094" s="3" t="e">
        <f>(HYPERLINK("http://www.autodoc.ru/Web/price/art/8304LGNH5RDW?analog=on","8304LGNH5RDW"))*1</f>
        <v>#VALUE!</v>
      </c>
      <c r="B9094" s="1">
        <v>6994870</v>
      </c>
      <c r="C9094" t="s">
        <v>1710</v>
      </c>
      <c r="D9094" t="s">
        <v>9270</v>
      </c>
      <c r="E9094" t="s">
        <v>10</v>
      </c>
    </row>
    <row r="9095" spans="1:5" hidden="1" outlineLevel="2">
      <c r="A9095" s="3" t="e">
        <f>(HYPERLINK("http://www.autodoc.ru/Web/price/art/8304LGNS4RDW?analog=on","8304LGNS4RDW"))*1</f>
        <v>#VALUE!</v>
      </c>
      <c r="B9095" s="1">
        <v>6980831</v>
      </c>
      <c r="C9095" t="s">
        <v>1710</v>
      </c>
      <c r="D9095" t="s">
        <v>9271</v>
      </c>
      <c r="E9095" t="s">
        <v>10</v>
      </c>
    </row>
    <row r="9096" spans="1:5" hidden="1" outlineLevel="2">
      <c r="A9096" s="3" t="e">
        <f>(HYPERLINK("http://www.autodoc.ru/Web/price/art/8304LGNS4RV?analog=on","8304LGNS4RV"))*1</f>
        <v>#VALUE!</v>
      </c>
      <c r="B9096" s="1">
        <v>6995869</v>
      </c>
      <c r="C9096" t="s">
        <v>1710</v>
      </c>
      <c r="D9096" t="s">
        <v>9272</v>
      </c>
      <c r="E9096" t="s">
        <v>10</v>
      </c>
    </row>
    <row r="9097" spans="1:5" hidden="1" outlineLevel="2">
      <c r="A9097" s="3" t="e">
        <f>(HYPERLINK("http://www.autodoc.ru/Web/price/art/8304RGNH3FDW?analog=on","8304RGNH3FDW"))*1</f>
        <v>#VALUE!</v>
      </c>
      <c r="B9097" s="1">
        <v>6993259</v>
      </c>
      <c r="C9097" t="s">
        <v>1710</v>
      </c>
      <c r="D9097" t="s">
        <v>9273</v>
      </c>
      <c r="E9097" t="s">
        <v>10</v>
      </c>
    </row>
    <row r="9098" spans="1:5" hidden="1" outlineLevel="2">
      <c r="A9098" s="3" t="e">
        <f>(HYPERLINK("http://www.autodoc.ru/Web/price/art/8304RGNH5FDW?analog=on","8304RGNH5FDW"))*1</f>
        <v>#VALUE!</v>
      </c>
      <c r="B9098" s="1">
        <v>6994872</v>
      </c>
      <c r="C9098" t="s">
        <v>1710</v>
      </c>
      <c r="D9098" t="s">
        <v>9273</v>
      </c>
      <c r="E9098" t="s">
        <v>10</v>
      </c>
    </row>
    <row r="9099" spans="1:5" hidden="1" outlineLevel="2">
      <c r="A9099" s="3" t="e">
        <f>(HYPERLINK("http://www.autodoc.ru/Web/price/art/8304RGNH5RDW?analog=on","8304RGNH5RDW"))*1</f>
        <v>#VALUE!</v>
      </c>
      <c r="B9099" s="1">
        <v>6994873</v>
      </c>
      <c r="C9099" t="s">
        <v>1710</v>
      </c>
      <c r="D9099" t="s">
        <v>9274</v>
      </c>
      <c r="E9099" t="s">
        <v>10</v>
      </c>
    </row>
    <row r="9100" spans="1:5" hidden="1" outlineLevel="2">
      <c r="A9100" s="3" t="e">
        <f>(HYPERLINK("http://www.autodoc.ru/Web/price/art/8304RGNS4RDW?analog=on","8304RGNS4RDW"))*1</f>
        <v>#VALUE!</v>
      </c>
      <c r="B9100" s="1">
        <v>6980832</v>
      </c>
      <c r="C9100" t="s">
        <v>1710</v>
      </c>
      <c r="D9100" t="s">
        <v>9274</v>
      </c>
      <c r="E9100" t="s">
        <v>10</v>
      </c>
    </row>
    <row r="9101" spans="1:5" hidden="1" outlineLevel="2">
      <c r="A9101" s="3" t="e">
        <f>(HYPERLINK("http://www.autodoc.ru/Web/price/art/8304RGNS4RV?analog=on","8304RGNS4RV"))*1</f>
        <v>#VALUE!</v>
      </c>
      <c r="B9101" s="1">
        <v>6995870</v>
      </c>
      <c r="C9101" t="s">
        <v>1710</v>
      </c>
      <c r="D9101" t="s">
        <v>9275</v>
      </c>
      <c r="E9101" t="s">
        <v>10</v>
      </c>
    </row>
    <row r="9102" spans="1:5" hidden="1" outlineLevel="1">
      <c r="A9102" s="2">
        <v>0</v>
      </c>
      <c r="B9102" s="26" t="s">
        <v>9276</v>
      </c>
      <c r="C9102" s="27">
        <v>0</v>
      </c>
      <c r="D9102" s="27">
        <v>0</v>
      </c>
      <c r="E9102" s="27">
        <v>0</v>
      </c>
    </row>
    <row r="9103" spans="1:5" hidden="1" outlineLevel="2">
      <c r="A9103" s="3" t="e">
        <f>(HYPERLINK("http://www.autodoc.ru/Web/price/art/8340AGAM2P?analog=on","8340AGAM2P"))*1</f>
        <v>#VALUE!</v>
      </c>
      <c r="B9103" s="1">
        <v>6962273</v>
      </c>
      <c r="C9103" t="s">
        <v>265</v>
      </c>
      <c r="D9103" t="s">
        <v>9277</v>
      </c>
      <c r="E9103" t="s">
        <v>8</v>
      </c>
    </row>
    <row r="9104" spans="1:5" hidden="1" outlineLevel="2">
      <c r="A9104" s="3" t="e">
        <f>(HYPERLINK("http://www.autodoc.ru/Web/price/art/8340AGN1P?analog=on","8340AGN1P"))*1</f>
        <v>#VALUE!</v>
      </c>
      <c r="B9104" s="1">
        <v>6960689</v>
      </c>
      <c r="C9104" t="s">
        <v>1436</v>
      </c>
      <c r="D9104" t="s">
        <v>9278</v>
      </c>
      <c r="E9104" t="s">
        <v>8</v>
      </c>
    </row>
    <row r="9105" spans="1:5" hidden="1" outlineLevel="2">
      <c r="A9105" s="3" t="e">
        <f>(HYPERLINK("http://www.autodoc.ru/Web/price/art/8340AGN3P?analog=on","8340AGN3P"))*1</f>
        <v>#VALUE!</v>
      </c>
      <c r="B9105" s="1">
        <v>6961803</v>
      </c>
      <c r="C9105" t="s">
        <v>265</v>
      </c>
      <c r="D9105" t="s">
        <v>9279</v>
      </c>
      <c r="E9105" t="s">
        <v>8</v>
      </c>
    </row>
    <row r="9106" spans="1:5" hidden="1" outlineLevel="2">
      <c r="A9106" s="3" t="e">
        <f>(HYPERLINK("http://www.autodoc.ru/Web/price/art/8340AGS?analog=on","8340AGS"))*1</f>
        <v>#VALUE!</v>
      </c>
      <c r="B9106" s="1">
        <v>6960696</v>
      </c>
      <c r="C9106" t="s">
        <v>1436</v>
      </c>
      <c r="D9106" t="s">
        <v>9280</v>
      </c>
      <c r="E9106" t="s">
        <v>8</v>
      </c>
    </row>
    <row r="9107" spans="1:5" hidden="1" outlineLevel="2">
      <c r="A9107" s="3" t="e">
        <f>(HYPERLINK("http://www.autodoc.ru/Web/price/art/8340AGSM2P?analog=on","8340AGSM2P"))*1</f>
        <v>#VALUE!</v>
      </c>
      <c r="B9107" s="1">
        <v>6962050</v>
      </c>
      <c r="C9107" t="s">
        <v>265</v>
      </c>
      <c r="D9107" t="s">
        <v>9281</v>
      </c>
      <c r="E9107" t="s">
        <v>8</v>
      </c>
    </row>
    <row r="9108" spans="1:5" hidden="1" outlineLevel="2">
      <c r="A9108" s="3" t="e">
        <f>(HYPERLINK("http://www.autodoc.ru/Web/price/art/8340ASMH?analog=on","8340ASMH"))*1</f>
        <v>#VALUE!</v>
      </c>
      <c r="B9108" s="1">
        <v>6100625</v>
      </c>
      <c r="C9108" t="s">
        <v>19</v>
      </c>
      <c r="D9108" t="s">
        <v>9282</v>
      </c>
      <c r="E9108" t="s">
        <v>21</v>
      </c>
    </row>
    <row r="9109" spans="1:5" hidden="1" outlineLevel="2">
      <c r="A9109" s="3" t="e">
        <f>(HYPERLINK("http://www.autodoc.ru/Web/price/art/8340ASMS?analog=on","8340ASMS"))*1</f>
        <v>#VALUE!</v>
      </c>
      <c r="B9109" s="1">
        <v>6101229</v>
      </c>
      <c r="C9109" t="s">
        <v>19</v>
      </c>
      <c r="D9109" t="s">
        <v>9283</v>
      </c>
      <c r="E9109" t="s">
        <v>21</v>
      </c>
    </row>
    <row r="9110" spans="1:5" hidden="1" outlineLevel="2">
      <c r="A9110" s="3" t="e">
        <f>(HYPERLINK("http://www.autodoc.ru/Web/price/art/8340BGNS?analog=on","8340BGNS"))*1</f>
        <v>#VALUE!</v>
      </c>
      <c r="B9110" s="1">
        <v>6992787</v>
      </c>
      <c r="C9110" t="s">
        <v>1436</v>
      </c>
      <c r="D9110" t="s">
        <v>9284</v>
      </c>
      <c r="E9110" t="s">
        <v>23</v>
      </c>
    </row>
    <row r="9111" spans="1:5" hidden="1" outlineLevel="2">
      <c r="A9111" s="3" t="e">
        <f>(HYPERLINK("http://www.autodoc.ru/Web/price/art/8340BGSHW?analog=on","8340BGSHW"))*1</f>
        <v>#VALUE!</v>
      </c>
      <c r="B9111" s="1">
        <v>6999919</v>
      </c>
      <c r="C9111" t="s">
        <v>1436</v>
      </c>
      <c r="D9111" t="s">
        <v>9285</v>
      </c>
      <c r="E9111" t="s">
        <v>23</v>
      </c>
    </row>
    <row r="9112" spans="1:5" hidden="1" outlineLevel="2">
      <c r="A9112" s="3" t="e">
        <f>(HYPERLINK("http://www.autodoc.ru/Web/price/art/8340BGSHW1E?analog=on","8340BGSHW1E"))*1</f>
        <v>#VALUE!</v>
      </c>
      <c r="B9112" s="1">
        <v>6999918</v>
      </c>
      <c r="C9112" t="s">
        <v>1436</v>
      </c>
      <c r="D9112" t="s">
        <v>9286</v>
      </c>
      <c r="E9112" t="s">
        <v>23</v>
      </c>
    </row>
    <row r="9113" spans="1:5" hidden="1" outlineLevel="2">
      <c r="A9113" s="3" t="e">
        <f>(HYPERLINK("http://www.autodoc.ru/Web/price/art/8340LGNE5RD?analog=on","8340LGNE5RD"))*1</f>
        <v>#VALUE!</v>
      </c>
      <c r="B9113" s="1">
        <v>6992431</v>
      </c>
      <c r="C9113" t="s">
        <v>1436</v>
      </c>
      <c r="D9113" t="s">
        <v>9287</v>
      </c>
      <c r="E9113" t="s">
        <v>10</v>
      </c>
    </row>
    <row r="9114" spans="1:5" hidden="1" outlineLevel="2">
      <c r="A9114" s="3" t="e">
        <f>(HYPERLINK("http://www.autodoc.ru/Web/price/art/8340LGNE5RV?analog=on","8340LGNE5RV"))*1</f>
        <v>#VALUE!</v>
      </c>
      <c r="B9114" s="1">
        <v>6980152</v>
      </c>
      <c r="C9114" t="s">
        <v>1436</v>
      </c>
      <c r="D9114" t="s">
        <v>9288</v>
      </c>
      <c r="E9114" t="s">
        <v>10</v>
      </c>
    </row>
    <row r="9115" spans="1:5" hidden="1" outlineLevel="2">
      <c r="A9115" s="3" t="e">
        <f>(HYPERLINK("http://www.autodoc.ru/Web/price/art/8340LGNS4FDW?analog=on","8340LGNS4FDW"))*1</f>
        <v>#VALUE!</v>
      </c>
      <c r="B9115" s="1">
        <v>6992429</v>
      </c>
      <c r="C9115" t="s">
        <v>1436</v>
      </c>
      <c r="D9115" t="s">
        <v>9289</v>
      </c>
      <c r="E9115" t="s">
        <v>10</v>
      </c>
    </row>
    <row r="9116" spans="1:5" hidden="1" outlineLevel="2">
      <c r="A9116" s="3" t="e">
        <f>(HYPERLINK("http://www.autodoc.ru/Web/price/art/8340LGNS4RD?analog=on","8340LGNS4RD"))*1</f>
        <v>#VALUE!</v>
      </c>
      <c r="B9116" s="1">
        <v>6995960</v>
      </c>
      <c r="C9116" t="s">
        <v>1436</v>
      </c>
      <c r="D9116" t="s">
        <v>9290</v>
      </c>
      <c r="E9116" t="s">
        <v>10</v>
      </c>
    </row>
    <row r="9117" spans="1:5" hidden="1" outlineLevel="2">
      <c r="A9117" s="3" t="e">
        <f>(HYPERLINK("http://www.autodoc.ru/Web/price/art/8340LGNS4RV?analog=on","8340LGNS4RV"))*1</f>
        <v>#VALUE!</v>
      </c>
      <c r="B9117" s="1">
        <v>6980146</v>
      </c>
      <c r="C9117" t="s">
        <v>1436</v>
      </c>
      <c r="D9117" t="s">
        <v>9291</v>
      </c>
      <c r="E9117" t="s">
        <v>10</v>
      </c>
    </row>
    <row r="9118" spans="1:5" hidden="1" outlineLevel="2">
      <c r="A9118" s="3" t="e">
        <f>(HYPERLINK("http://www.autodoc.ru/Web/price/art/8340LGSH3FDW?analog=on","8340LGSH3FDW"))*1</f>
        <v>#VALUE!</v>
      </c>
      <c r="B9118" s="1">
        <v>6990684</v>
      </c>
      <c r="C9118" t="s">
        <v>1436</v>
      </c>
      <c r="D9118" t="s">
        <v>9292</v>
      </c>
      <c r="E9118" t="s">
        <v>10</v>
      </c>
    </row>
    <row r="9119" spans="1:5" hidden="1" outlineLevel="2">
      <c r="A9119" s="3" t="e">
        <f>(HYPERLINK("http://www.autodoc.ru/Web/price/art/8340LGSH3RQW?analog=on","8340LGSH3RQW"))*1</f>
        <v>#VALUE!</v>
      </c>
      <c r="B9119" s="1">
        <v>6900339</v>
      </c>
      <c r="C9119" t="s">
        <v>1436</v>
      </c>
      <c r="D9119" t="s">
        <v>9293</v>
      </c>
      <c r="E9119" t="s">
        <v>10</v>
      </c>
    </row>
    <row r="9120" spans="1:5" hidden="1" outlineLevel="2">
      <c r="A9120" s="3" t="e">
        <f>(HYPERLINK("http://www.autodoc.ru/Web/price/art/8340LGSH5FDW?analog=on","8340LGSH5FDW"))*1</f>
        <v>#VALUE!</v>
      </c>
      <c r="B9120" s="1">
        <v>6990692</v>
      </c>
      <c r="C9120" t="s">
        <v>1436</v>
      </c>
      <c r="D9120" t="s">
        <v>9294</v>
      </c>
      <c r="E9120" t="s">
        <v>10</v>
      </c>
    </row>
    <row r="9121" spans="1:5" hidden="1" outlineLevel="2">
      <c r="A9121" s="3" t="e">
        <f>(HYPERLINK("http://www.autodoc.ru/Web/price/art/8340LGSH5RDW?analog=on","8340LGSH5RDW"))*1</f>
        <v>#VALUE!</v>
      </c>
      <c r="B9121" s="1">
        <v>6980150</v>
      </c>
      <c r="C9121" t="s">
        <v>1436</v>
      </c>
      <c r="D9121" t="s">
        <v>9295</v>
      </c>
      <c r="E9121" t="s">
        <v>10</v>
      </c>
    </row>
    <row r="9122" spans="1:5" hidden="1" outlineLevel="2">
      <c r="A9122" s="3" t="e">
        <f>(HYPERLINK("http://www.autodoc.ru/Web/price/art/8340LGSH5RV?analog=on","8340LGSH5RV"))*1</f>
        <v>#VALUE!</v>
      </c>
      <c r="B9122" s="1">
        <v>6999518</v>
      </c>
      <c r="C9122" t="s">
        <v>1436</v>
      </c>
      <c r="D9122" t="s">
        <v>9296</v>
      </c>
      <c r="E9122" t="s">
        <v>10</v>
      </c>
    </row>
    <row r="9123" spans="1:5" hidden="1" outlineLevel="2">
      <c r="A9123" s="3" t="e">
        <f>(HYPERLINK("http://www.autodoc.ru/Web/price/art/8340RGNE5RD?analog=on","8340RGNE5RD"))*1</f>
        <v>#VALUE!</v>
      </c>
      <c r="B9123" s="1">
        <v>6992430</v>
      </c>
      <c r="C9123" t="s">
        <v>1436</v>
      </c>
      <c r="D9123" t="s">
        <v>9297</v>
      </c>
      <c r="E9123" t="s">
        <v>10</v>
      </c>
    </row>
    <row r="9124" spans="1:5" hidden="1" outlineLevel="2">
      <c r="A9124" s="3" t="e">
        <f>(HYPERLINK("http://www.autodoc.ru/Web/price/art/8340RGNE5RV?analog=on","8340RGNE5RV"))*1</f>
        <v>#VALUE!</v>
      </c>
      <c r="B9124" s="1">
        <v>6980153</v>
      </c>
      <c r="C9124" t="s">
        <v>1436</v>
      </c>
      <c r="D9124" t="s">
        <v>9298</v>
      </c>
      <c r="E9124" t="s">
        <v>10</v>
      </c>
    </row>
    <row r="9125" spans="1:5" hidden="1" outlineLevel="2">
      <c r="A9125" s="3" t="e">
        <f>(HYPERLINK("http://www.autodoc.ru/Web/price/art/8340RGNS4FDW?analog=on","8340RGNS4FDW"))*1</f>
        <v>#VALUE!</v>
      </c>
      <c r="B9125" s="1">
        <v>6992428</v>
      </c>
      <c r="C9125" t="s">
        <v>1436</v>
      </c>
      <c r="D9125" t="s">
        <v>9299</v>
      </c>
      <c r="E9125" t="s">
        <v>10</v>
      </c>
    </row>
    <row r="9126" spans="1:5" hidden="1" outlineLevel="2">
      <c r="A9126" s="3" t="e">
        <f>(HYPERLINK("http://www.autodoc.ru/Web/price/art/8340RGNS4RD?analog=on","8340RGNS4RD"))*1</f>
        <v>#VALUE!</v>
      </c>
      <c r="B9126" s="1">
        <v>6995961</v>
      </c>
      <c r="C9126" t="s">
        <v>1436</v>
      </c>
      <c r="D9126" t="s">
        <v>9300</v>
      </c>
      <c r="E9126" t="s">
        <v>10</v>
      </c>
    </row>
    <row r="9127" spans="1:5" hidden="1" outlineLevel="2">
      <c r="A9127" s="3" t="e">
        <f>(HYPERLINK("http://www.autodoc.ru/Web/price/art/8340RGNS4RV?analog=on","8340RGNS4RV"))*1</f>
        <v>#VALUE!</v>
      </c>
      <c r="B9127" s="1">
        <v>6980147</v>
      </c>
      <c r="C9127" t="s">
        <v>1436</v>
      </c>
      <c r="D9127" t="s">
        <v>9301</v>
      </c>
      <c r="E9127" t="s">
        <v>10</v>
      </c>
    </row>
    <row r="9128" spans="1:5" hidden="1" outlineLevel="2">
      <c r="A9128" s="3" t="e">
        <f>(HYPERLINK("http://www.autodoc.ru/Web/price/art/8340RGSH3FDW?analog=on","8340RGSH3FDW"))*1</f>
        <v>#VALUE!</v>
      </c>
      <c r="B9128" s="1">
        <v>6990677</v>
      </c>
      <c r="C9128" t="s">
        <v>1436</v>
      </c>
      <c r="D9128" t="s">
        <v>9302</v>
      </c>
      <c r="E9128" t="s">
        <v>10</v>
      </c>
    </row>
    <row r="9129" spans="1:5" hidden="1" outlineLevel="2">
      <c r="A9129" s="3" t="e">
        <f>(HYPERLINK("http://www.autodoc.ru/Web/price/art/8340RGSH3RQW?analog=on","8340RGSH3RQW"))*1</f>
        <v>#VALUE!</v>
      </c>
      <c r="B9129" s="1">
        <v>6900352</v>
      </c>
      <c r="C9129" t="s">
        <v>1436</v>
      </c>
      <c r="D9129" t="s">
        <v>9303</v>
      </c>
      <c r="E9129" t="s">
        <v>10</v>
      </c>
    </row>
    <row r="9130" spans="1:5" hidden="1" outlineLevel="2">
      <c r="A9130" s="3" t="e">
        <f>(HYPERLINK("http://www.autodoc.ru/Web/price/art/8340RGSH5FDW?analog=on","8340RGSH5FDW"))*1</f>
        <v>#VALUE!</v>
      </c>
      <c r="B9130" s="1">
        <v>6990688</v>
      </c>
      <c r="C9130" t="s">
        <v>1436</v>
      </c>
      <c r="D9130" t="s">
        <v>9304</v>
      </c>
      <c r="E9130" t="s">
        <v>10</v>
      </c>
    </row>
    <row r="9131" spans="1:5" hidden="1" outlineLevel="2">
      <c r="A9131" s="3" t="e">
        <f>(HYPERLINK("http://www.autodoc.ru/Web/price/art/8340RGSH5RDW?analog=on","8340RGSH5RDW"))*1</f>
        <v>#VALUE!</v>
      </c>
      <c r="B9131" s="1">
        <v>6980151</v>
      </c>
      <c r="C9131" t="s">
        <v>1436</v>
      </c>
      <c r="D9131" t="s">
        <v>9305</v>
      </c>
      <c r="E9131" t="s">
        <v>10</v>
      </c>
    </row>
    <row r="9132" spans="1:5" hidden="1" outlineLevel="2">
      <c r="A9132" s="3" t="e">
        <f>(HYPERLINK("http://www.autodoc.ru/Web/price/art/8340RGSH5RV?analog=on","8340RGSH5RV"))*1</f>
        <v>#VALUE!</v>
      </c>
      <c r="B9132" s="1">
        <v>6999516</v>
      </c>
      <c r="C9132" t="s">
        <v>1436</v>
      </c>
      <c r="D9132" t="s">
        <v>9306</v>
      </c>
      <c r="E9132" t="s">
        <v>10</v>
      </c>
    </row>
    <row r="9133" spans="1:5" hidden="1" outlineLevel="1">
      <c r="A9133" s="2">
        <v>0</v>
      </c>
      <c r="B9133" s="26" t="s">
        <v>9307</v>
      </c>
      <c r="C9133" s="27">
        <v>0</v>
      </c>
      <c r="D9133" s="27">
        <v>0</v>
      </c>
      <c r="E9133" s="27">
        <v>0</v>
      </c>
    </row>
    <row r="9134" spans="1:5" hidden="1" outlineLevel="2">
      <c r="A9134" s="3" t="e">
        <f>(HYPERLINK("http://www.autodoc.ru/Web/price/art/8376AGNW?analog=on","8376AGNW"))*1</f>
        <v>#VALUE!</v>
      </c>
      <c r="B9134" s="1">
        <v>6964676</v>
      </c>
      <c r="C9134" t="s">
        <v>290</v>
      </c>
      <c r="D9134" t="s">
        <v>9308</v>
      </c>
      <c r="E9134" t="s">
        <v>8</v>
      </c>
    </row>
    <row r="9135" spans="1:5" hidden="1" outlineLevel="2">
      <c r="A9135" s="3" t="e">
        <f>(HYPERLINK("http://www.autodoc.ru/Web/price/art/8376AGNMW1P?analog=on","8376AGNMW1P"))*1</f>
        <v>#VALUE!</v>
      </c>
      <c r="B9135" s="1">
        <v>6964675</v>
      </c>
      <c r="C9135" t="s">
        <v>290</v>
      </c>
      <c r="D9135" t="s">
        <v>9309</v>
      </c>
      <c r="E9135" t="s">
        <v>8</v>
      </c>
    </row>
    <row r="9136" spans="1:5" hidden="1" outlineLevel="2">
      <c r="A9136" s="3" t="e">
        <f>(HYPERLINK("http://www.autodoc.ru/Web/price/art/8376AGAMW1P?analog=on","8376AGAMW1P"))*1</f>
        <v>#VALUE!</v>
      </c>
      <c r="B9136" s="1">
        <v>6962689</v>
      </c>
      <c r="C9136" t="s">
        <v>290</v>
      </c>
      <c r="D9136" t="s">
        <v>9310</v>
      </c>
      <c r="E9136" t="s">
        <v>8</v>
      </c>
    </row>
    <row r="9137" spans="1:5" hidden="1" outlineLevel="2">
      <c r="A9137" s="3" t="e">
        <f>(HYPERLINK("http://www.autodoc.ru/Web/price/art/8376AGAW?analog=on","8376AGAW"))*1</f>
        <v>#VALUE!</v>
      </c>
      <c r="B9137" s="1">
        <v>6962690</v>
      </c>
      <c r="C9137" t="s">
        <v>290</v>
      </c>
      <c r="D9137" t="s">
        <v>9311</v>
      </c>
      <c r="E9137" t="s">
        <v>8</v>
      </c>
    </row>
    <row r="9138" spans="1:5" hidden="1" outlineLevel="2">
      <c r="A9138" s="3" t="e">
        <f>(HYPERLINK("http://www.autodoc.ru/Web/price/art/8376LGSS4RD?analog=on","8376LGSS4RD"))*1</f>
        <v>#VALUE!</v>
      </c>
      <c r="B9138" s="1">
        <v>6900794</v>
      </c>
      <c r="C9138" t="s">
        <v>290</v>
      </c>
      <c r="D9138" t="s">
        <v>9312</v>
      </c>
      <c r="E9138" t="s">
        <v>10</v>
      </c>
    </row>
    <row r="9139" spans="1:5" hidden="1" outlineLevel="2">
      <c r="A9139" s="3" t="e">
        <f>(HYPERLINK("http://www.autodoc.ru/Web/price/art/8376RGSS4RD?analog=on","8376RGSS4RD"))*1</f>
        <v>#VALUE!</v>
      </c>
      <c r="B9139" s="1">
        <v>6900793</v>
      </c>
      <c r="C9139" t="s">
        <v>290</v>
      </c>
      <c r="D9139" t="s">
        <v>9313</v>
      </c>
      <c r="E9139" t="s">
        <v>10</v>
      </c>
    </row>
    <row r="9140" spans="1:5" hidden="1" outlineLevel="1">
      <c r="A9140" s="2">
        <v>0</v>
      </c>
      <c r="B9140" s="26" t="s">
        <v>9314</v>
      </c>
      <c r="C9140" s="27">
        <v>0</v>
      </c>
      <c r="D9140" s="27">
        <v>0</v>
      </c>
      <c r="E9140" s="27">
        <v>0</v>
      </c>
    </row>
    <row r="9141" spans="1:5" hidden="1" outlineLevel="2">
      <c r="A9141" s="3" t="e">
        <f>(HYPERLINK("http://www.autodoc.ru/Web/price/art/8342AGN?analog=on","8342AGN"))*1</f>
        <v>#VALUE!</v>
      </c>
      <c r="B9141" s="1">
        <v>6960376</v>
      </c>
      <c r="C9141" t="s">
        <v>321</v>
      </c>
      <c r="D9141" t="s">
        <v>9315</v>
      </c>
      <c r="E9141" t="s">
        <v>8</v>
      </c>
    </row>
    <row r="9142" spans="1:5" hidden="1" outlineLevel="2">
      <c r="A9142" s="3" t="e">
        <f>(HYPERLINK("http://www.autodoc.ru/Web/price/art/8342ASMV?analog=on","8342ASMV"))*1</f>
        <v>#VALUE!</v>
      </c>
      <c r="B9142" s="1">
        <v>6101130</v>
      </c>
      <c r="C9142" t="s">
        <v>19</v>
      </c>
      <c r="D9142" t="s">
        <v>9316</v>
      </c>
      <c r="E9142" t="s">
        <v>21</v>
      </c>
    </row>
    <row r="9143" spans="1:5" hidden="1" outlineLevel="2">
      <c r="A9143" s="3" t="e">
        <f>(HYPERLINK("http://www.autodoc.ru/Web/price/art/8342LGNV5FDW?analog=on","8342LGNV5FDW"))*1</f>
        <v>#VALUE!</v>
      </c>
      <c r="B9143" s="1">
        <v>6993255</v>
      </c>
      <c r="C9143" t="s">
        <v>321</v>
      </c>
      <c r="D9143" t="s">
        <v>9317</v>
      </c>
      <c r="E9143" t="s">
        <v>10</v>
      </c>
    </row>
    <row r="9144" spans="1:5" hidden="1" outlineLevel="2">
      <c r="A9144" s="3" t="e">
        <f>(HYPERLINK("http://www.autodoc.ru/Web/price/art/8342LGNV5RDW?analog=on","8342LGNV5RDW"))*1</f>
        <v>#VALUE!</v>
      </c>
      <c r="B9144" s="1">
        <v>6992432</v>
      </c>
      <c r="C9144" t="s">
        <v>321</v>
      </c>
      <c r="D9144" t="s">
        <v>9318</v>
      </c>
      <c r="E9144" t="s">
        <v>10</v>
      </c>
    </row>
    <row r="9145" spans="1:5" hidden="1" outlineLevel="2">
      <c r="A9145" s="3" t="e">
        <f>(HYPERLINK("http://www.autodoc.ru/Web/price/art/8342RGNV5FDW?analog=on","8342RGNV5FDW"))*1</f>
        <v>#VALUE!</v>
      </c>
      <c r="B9145" s="1">
        <v>6993256</v>
      </c>
      <c r="C9145" t="s">
        <v>321</v>
      </c>
      <c r="D9145" t="s">
        <v>9319</v>
      </c>
      <c r="E9145" t="s">
        <v>10</v>
      </c>
    </row>
    <row r="9146" spans="1:5" hidden="1" outlineLevel="2">
      <c r="A9146" s="3" t="e">
        <f>(HYPERLINK("http://www.autodoc.ru/Web/price/art/8342RGNV5RDW?analog=on","8342RGNV5RDW"))*1</f>
        <v>#VALUE!</v>
      </c>
      <c r="B9146" s="1">
        <v>6992433</v>
      </c>
      <c r="C9146" t="s">
        <v>321</v>
      </c>
      <c r="D9146" t="s">
        <v>9320</v>
      </c>
      <c r="E9146" t="s">
        <v>10</v>
      </c>
    </row>
    <row r="9147" spans="1:5" hidden="1" outlineLevel="1">
      <c r="A9147" s="2">
        <v>0</v>
      </c>
      <c r="B9147" s="26" t="s">
        <v>9321</v>
      </c>
      <c r="C9147" s="27">
        <v>0</v>
      </c>
      <c r="D9147" s="27">
        <v>0</v>
      </c>
      <c r="E9147" s="27">
        <v>0</v>
      </c>
    </row>
    <row r="9148" spans="1:5" hidden="1" outlineLevel="2">
      <c r="A9148" s="3" t="e">
        <f>(HYPERLINK("http://www.autodoc.ru/Web/price/art/8356AGN?analog=on","8356AGN"))*1</f>
        <v>#VALUE!</v>
      </c>
      <c r="B9148" s="1">
        <v>6961275</v>
      </c>
      <c r="C9148" t="s">
        <v>425</v>
      </c>
      <c r="D9148" t="s">
        <v>9322</v>
      </c>
      <c r="E9148" t="s">
        <v>8</v>
      </c>
    </row>
    <row r="9149" spans="1:5" hidden="1" outlineLevel="2">
      <c r="A9149" s="3" t="e">
        <f>(HYPERLINK("http://www.autodoc.ru/Web/price/art/8356AGNM1P?analog=on","8356AGNM1P"))*1</f>
        <v>#VALUE!</v>
      </c>
      <c r="B9149" s="1">
        <v>6962053</v>
      </c>
      <c r="C9149" t="s">
        <v>425</v>
      </c>
      <c r="D9149" t="s">
        <v>9323</v>
      </c>
      <c r="E9149" t="s">
        <v>8</v>
      </c>
    </row>
    <row r="9150" spans="1:5" hidden="1" outlineLevel="2">
      <c r="A9150" s="3" t="e">
        <f>(HYPERLINK("http://www.autodoc.ru/Web/price/art/8356ASMV?analog=on","8356ASMV"))*1</f>
        <v>#VALUE!</v>
      </c>
      <c r="B9150" s="1">
        <v>6101719</v>
      </c>
      <c r="C9150" t="s">
        <v>19</v>
      </c>
      <c r="D9150" t="s">
        <v>9324</v>
      </c>
      <c r="E9150" t="s">
        <v>21</v>
      </c>
    </row>
    <row r="9151" spans="1:5" hidden="1" outlineLevel="1">
      <c r="A9151" s="2">
        <v>0</v>
      </c>
      <c r="B9151" s="26" t="s">
        <v>9325</v>
      </c>
      <c r="C9151" s="27">
        <v>0</v>
      </c>
      <c r="D9151" s="27">
        <v>0</v>
      </c>
      <c r="E9151" s="27">
        <v>0</v>
      </c>
    </row>
    <row r="9152" spans="1:5" hidden="1" outlineLevel="2">
      <c r="A9152" s="3" t="e">
        <f>(HYPERLINK("http://www.autodoc.ru/Web/price/art/8245ABL?analog=on","8245ABL"))*1</f>
        <v>#VALUE!</v>
      </c>
      <c r="B9152" s="1">
        <v>6963582</v>
      </c>
      <c r="C9152" t="s">
        <v>8828</v>
      </c>
      <c r="D9152" t="s">
        <v>9326</v>
      </c>
      <c r="E9152" t="s">
        <v>8</v>
      </c>
    </row>
    <row r="9153" spans="1:5" hidden="1" outlineLevel="1">
      <c r="A9153" s="2">
        <v>0</v>
      </c>
      <c r="B9153" s="26" t="s">
        <v>9327</v>
      </c>
      <c r="C9153" s="27">
        <v>0</v>
      </c>
      <c r="D9153" s="27">
        <v>0</v>
      </c>
      <c r="E9153" s="27">
        <v>0</v>
      </c>
    </row>
    <row r="9154" spans="1:5" hidden="1" outlineLevel="2">
      <c r="A9154" s="3" t="e">
        <f>(HYPERLINK("http://www.autodoc.ru/Web/price/art/8246ACL?analog=on","8246ACL"))*1</f>
        <v>#VALUE!</v>
      </c>
      <c r="B9154" s="1">
        <v>6969335</v>
      </c>
      <c r="C9154" t="s">
        <v>449</v>
      </c>
      <c r="D9154" t="s">
        <v>9328</v>
      </c>
      <c r="E9154" t="s">
        <v>8</v>
      </c>
    </row>
    <row r="9155" spans="1:5" hidden="1" outlineLevel="2">
      <c r="A9155" s="3" t="e">
        <f>(HYPERLINK("http://www.autodoc.ru/Web/price/art/8246BCLV?analog=on","8246BCLV"))*1</f>
        <v>#VALUE!</v>
      </c>
      <c r="B9155" s="1">
        <v>6997844</v>
      </c>
      <c r="C9155" t="s">
        <v>449</v>
      </c>
      <c r="D9155" t="s">
        <v>9329</v>
      </c>
      <c r="E9155" t="s">
        <v>23</v>
      </c>
    </row>
    <row r="9156" spans="1:5" hidden="1" outlineLevel="2">
      <c r="A9156" s="3" t="e">
        <f>(HYPERLINK("http://www.autodoc.ru/Web/price/art/8246LCLV2FD?analog=on","8246LCLV2FD"))*1</f>
        <v>#VALUE!</v>
      </c>
      <c r="B9156" s="1">
        <v>6996967</v>
      </c>
      <c r="C9156" t="s">
        <v>449</v>
      </c>
      <c r="D9156" t="s">
        <v>9330</v>
      </c>
      <c r="E9156" t="s">
        <v>10</v>
      </c>
    </row>
    <row r="9157" spans="1:5" hidden="1" outlineLevel="2">
      <c r="A9157" s="3" t="e">
        <f>(HYPERLINK("http://www.autodoc.ru/Web/price/art/8246RCLV2FD?analog=on","8246RCLV2FD"))*1</f>
        <v>#VALUE!</v>
      </c>
      <c r="B9157" s="1">
        <v>6996968</v>
      </c>
      <c r="C9157" t="s">
        <v>449</v>
      </c>
      <c r="D9157" t="s">
        <v>9331</v>
      </c>
      <c r="E9157" t="s">
        <v>10</v>
      </c>
    </row>
    <row r="9158" spans="1:5" hidden="1" outlineLevel="1">
      <c r="A9158" s="2">
        <v>0</v>
      </c>
      <c r="B9158" s="26" t="s">
        <v>9332</v>
      </c>
      <c r="C9158" s="27">
        <v>0</v>
      </c>
      <c r="D9158" s="27">
        <v>0</v>
      </c>
      <c r="E9158" s="27">
        <v>0</v>
      </c>
    </row>
    <row r="9159" spans="1:5" hidden="1" outlineLevel="2">
      <c r="A9159" s="3" t="e">
        <f>(HYPERLINK("http://www.autodoc.ru/Web/price/art/8268ABL?analog=on","8268ABL"))*1</f>
        <v>#VALUE!</v>
      </c>
      <c r="B9159" s="1">
        <v>6969344</v>
      </c>
      <c r="C9159" t="s">
        <v>2563</v>
      </c>
      <c r="D9159" t="s">
        <v>9333</v>
      </c>
      <c r="E9159" t="s">
        <v>8</v>
      </c>
    </row>
    <row r="9160" spans="1:5" hidden="1" outlineLevel="2">
      <c r="A9160" s="3" t="e">
        <f>(HYPERLINK("http://www.autodoc.ru/Web/price/art/8268ACL?analog=on","8268ACL"))*1</f>
        <v>#VALUE!</v>
      </c>
      <c r="B9160" s="1">
        <v>6969343</v>
      </c>
      <c r="C9160" t="s">
        <v>2563</v>
      </c>
      <c r="D9160" t="s">
        <v>9334</v>
      </c>
      <c r="E9160" t="s">
        <v>8</v>
      </c>
    </row>
    <row r="9161" spans="1:5" hidden="1" outlineLevel="2">
      <c r="A9161" s="3" t="e">
        <f>(HYPERLINK("http://www.autodoc.ru/Web/price/art/8268AGN?analog=on","8268AGN"))*1</f>
        <v>#VALUE!</v>
      </c>
      <c r="B9161" s="1">
        <v>6969357</v>
      </c>
      <c r="C9161" t="s">
        <v>2563</v>
      </c>
      <c r="D9161" t="s">
        <v>9335</v>
      </c>
      <c r="E9161" t="s">
        <v>8</v>
      </c>
    </row>
    <row r="9162" spans="1:5" hidden="1" outlineLevel="2">
      <c r="A9162" s="3" t="e">
        <f>(HYPERLINK("http://www.autodoc.ru/Web/price/art/8268ASRV?analog=on","8268ASRV"))*1</f>
        <v>#VALUE!</v>
      </c>
      <c r="B9162" s="1">
        <v>6101058</v>
      </c>
      <c r="C9162" t="s">
        <v>19</v>
      </c>
      <c r="D9162" t="s">
        <v>9336</v>
      </c>
      <c r="E9162" t="s">
        <v>21</v>
      </c>
    </row>
    <row r="9163" spans="1:5" hidden="1" outlineLevel="2">
      <c r="A9163" s="3" t="e">
        <f>(HYPERLINK("http://www.autodoc.ru/Web/price/art/8268BCLV?analog=on","8268BCLV"))*1</f>
        <v>#VALUE!</v>
      </c>
      <c r="B9163" s="1">
        <v>6998869</v>
      </c>
      <c r="C9163" t="s">
        <v>2563</v>
      </c>
      <c r="D9163" t="s">
        <v>9337</v>
      </c>
      <c r="E9163" t="s">
        <v>23</v>
      </c>
    </row>
    <row r="9164" spans="1:5" hidden="1" outlineLevel="2">
      <c r="A9164" s="3" t="e">
        <f>(HYPERLINK("http://www.autodoc.ru/Web/price/art/8268LCLV2FD?analog=on","8268LCLV2FD"))*1</f>
        <v>#VALUE!</v>
      </c>
      <c r="B9164" s="1">
        <v>6996901</v>
      </c>
      <c r="C9164" t="s">
        <v>2563</v>
      </c>
      <c r="D9164" t="s">
        <v>9338</v>
      </c>
      <c r="E9164" t="s">
        <v>10</v>
      </c>
    </row>
    <row r="9165" spans="1:5" hidden="1" outlineLevel="2">
      <c r="A9165" s="3" t="e">
        <f>(HYPERLINK("http://www.autodoc.ru/Web/price/art/8268RCLV2FD?analog=on","8268RCLV2FD"))*1</f>
        <v>#VALUE!</v>
      </c>
      <c r="B9165" s="1">
        <v>6996902</v>
      </c>
      <c r="C9165" t="s">
        <v>2563</v>
      </c>
      <c r="D9165" t="s">
        <v>9339</v>
      </c>
      <c r="E9165" t="s">
        <v>10</v>
      </c>
    </row>
    <row r="9166" spans="1:5" hidden="1" outlineLevel="1">
      <c r="A9166" s="2">
        <v>0</v>
      </c>
      <c r="B9166" s="26" t="s">
        <v>9340</v>
      </c>
      <c r="C9166" s="27">
        <v>0</v>
      </c>
      <c r="D9166" s="27">
        <v>0</v>
      </c>
      <c r="E9166" s="27">
        <v>0</v>
      </c>
    </row>
    <row r="9167" spans="1:5" hidden="1" outlineLevel="2">
      <c r="A9167" s="3" t="e">
        <f>(HYPERLINK("http://www.autodoc.ru/Web/price/art/8295ACL?analog=on","8295ACL"))*1</f>
        <v>#VALUE!</v>
      </c>
      <c r="B9167" s="1">
        <v>6963425</v>
      </c>
      <c r="C9167" t="s">
        <v>9341</v>
      </c>
      <c r="D9167" t="s">
        <v>9342</v>
      </c>
      <c r="E9167" t="s">
        <v>8</v>
      </c>
    </row>
    <row r="9168" spans="1:5" hidden="1" outlineLevel="2">
      <c r="A9168" s="3" t="e">
        <f>(HYPERLINK("http://www.autodoc.ru/Web/price/art/8295AGN?analog=on","8295AGN"))*1</f>
        <v>#VALUE!</v>
      </c>
      <c r="B9168" s="1">
        <v>6963426</v>
      </c>
      <c r="C9168" t="s">
        <v>9343</v>
      </c>
      <c r="D9168" t="s">
        <v>9344</v>
      </c>
      <c r="E9168" t="s">
        <v>8</v>
      </c>
    </row>
    <row r="9169" spans="1:5" hidden="1" outlineLevel="2">
      <c r="A9169" s="3" t="e">
        <f>(HYPERLINK("http://www.autodoc.ru/Web/price/art/8295AGN1B?analog=on","8295AGN1B"))*1</f>
        <v>#VALUE!</v>
      </c>
      <c r="B9169" s="1">
        <v>6950143</v>
      </c>
      <c r="C9169" t="s">
        <v>9345</v>
      </c>
      <c r="D9169" t="s">
        <v>9346</v>
      </c>
      <c r="E9169" t="s">
        <v>8</v>
      </c>
    </row>
    <row r="9170" spans="1:5" hidden="1" outlineLevel="2">
      <c r="A9170" s="3" t="e">
        <f>(HYPERLINK("http://www.autodoc.ru/Web/price/art/8295AGNBL?analog=on","8295AGNBL"))*1</f>
        <v>#VALUE!</v>
      </c>
      <c r="B9170" s="1">
        <v>6950252</v>
      </c>
      <c r="C9170" t="s">
        <v>9341</v>
      </c>
      <c r="D9170" t="s">
        <v>9347</v>
      </c>
      <c r="E9170" t="s">
        <v>8</v>
      </c>
    </row>
    <row r="9171" spans="1:5" hidden="1" outlineLevel="2">
      <c r="A9171" s="3" t="e">
        <f>(HYPERLINK("http://www.autodoc.ru/Web/price/art/8295AGNBL1B?analog=on","8295AGNBL1B"))*1</f>
        <v>#VALUE!</v>
      </c>
      <c r="B9171" s="1">
        <v>6962686</v>
      </c>
      <c r="C9171" t="s">
        <v>9345</v>
      </c>
      <c r="D9171" t="s">
        <v>9348</v>
      </c>
      <c r="E9171" t="s">
        <v>8</v>
      </c>
    </row>
    <row r="9172" spans="1:5" hidden="1" outlineLevel="2">
      <c r="A9172" s="3" t="e">
        <f>(HYPERLINK("http://www.autodoc.ru/Web/price/art/8295ASMVT?analog=on","8295ASMVT"))*1</f>
        <v>#VALUE!</v>
      </c>
      <c r="B9172" s="1">
        <v>6101096</v>
      </c>
      <c r="C9172" t="s">
        <v>19</v>
      </c>
      <c r="D9172" t="s">
        <v>9349</v>
      </c>
      <c r="E9172" t="s">
        <v>21</v>
      </c>
    </row>
    <row r="9173" spans="1:5" hidden="1" outlineLevel="2">
      <c r="A9173" s="3" t="e">
        <f>(HYPERLINK("http://www.autodoc.ru/Web/price/art/8295BCLV?analog=on","8295BCLV"))*1</f>
        <v>#VALUE!</v>
      </c>
      <c r="B9173" s="1">
        <v>6998819</v>
      </c>
      <c r="C9173" t="s">
        <v>9341</v>
      </c>
      <c r="D9173" t="s">
        <v>9350</v>
      </c>
      <c r="E9173" t="s">
        <v>23</v>
      </c>
    </row>
    <row r="9174" spans="1:5" hidden="1" outlineLevel="2">
      <c r="A9174" s="3" t="e">
        <f>(HYPERLINK("http://www.autodoc.ru/Web/price/art/8295BCLVU?analog=on","8295BCLVU"))*1</f>
        <v>#VALUE!</v>
      </c>
      <c r="B9174" s="1">
        <v>6993261</v>
      </c>
      <c r="C9174" t="s">
        <v>9341</v>
      </c>
      <c r="D9174" t="s">
        <v>9351</v>
      </c>
      <c r="E9174" t="s">
        <v>23</v>
      </c>
    </row>
    <row r="9175" spans="1:5" hidden="1" outlineLevel="2">
      <c r="A9175" s="3" t="e">
        <f>(HYPERLINK("http://www.autodoc.ru/Web/price/art/8295BGNV?analog=on","8295BGNV"))*1</f>
        <v>#VALUE!</v>
      </c>
      <c r="B9175" s="1">
        <v>6998873</v>
      </c>
      <c r="C9175" t="s">
        <v>9343</v>
      </c>
      <c r="D9175" t="s">
        <v>9352</v>
      </c>
      <c r="E9175" t="s">
        <v>23</v>
      </c>
    </row>
    <row r="9176" spans="1:5" hidden="1" outlineLevel="2">
      <c r="A9176" s="3" t="e">
        <f>(HYPERLINK("http://www.autodoc.ru/Web/price/art/8295LCLV2FDW?analog=on","8295LCLV2FDW"))*1</f>
        <v>#VALUE!</v>
      </c>
      <c r="B9176" s="1">
        <v>6994662</v>
      </c>
      <c r="C9176" t="s">
        <v>9341</v>
      </c>
      <c r="D9176" t="s">
        <v>9353</v>
      </c>
      <c r="E9176" t="s">
        <v>10</v>
      </c>
    </row>
    <row r="9177" spans="1:5" hidden="1" outlineLevel="2">
      <c r="A9177" s="3" t="e">
        <f>(HYPERLINK("http://www.autodoc.ru/Web/price/art/8295LGNV2FDW?analog=on","8295LGNV2FDW"))*1</f>
        <v>#VALUE!</v>
      </c>
      <c r="B9177" s="1">
        <v>6995336</v>
      </c>
      <c r="C9177" t="s">
        <v>9343</v>
      </c>
      <c r="D9177" t="s">
        <v>9354</v>
      </c>
      <c r="E9177" t="s">
        <v>10</v>
      </c>
    </row>
    <row r="9178" spans="1:5" hidden="1" outlineLevel="2">
      <c r="A9178" s="3" t="e">
        <f>(HYPERLINK("http://www.autodoc.ru/Web/price/art/8295RCLV2FDW?analog=on","8295RCLV2FDW"))*1</f>
        <v>#VALUE!</v>
      </c>
      <c r="B9178" s="1">
        <v>6994663</v>
      </c>
      <c r="C9178" t="s">
        <v>9341</v>
      </c>
      <c r="D9178" t="s">
        <v>9355</v>
      </c>
      <c r="E9178" t="s">
        <v>10</v>
      </c>
    </row>
    <row r="9179" spans="1:5" hidden="1" outlineLevel="2">
      <c r="A9179" s="3" t="e">
        <f>(HYPERLINK("http://www.autodoc.ru/Web/price/art/8295RGNV2FDW?analog=on","8295RGNV2FDW"))*1</f>
        <v>#VALUE!</v>
      </c>
      <c r="B9179" s="1">
        <v>6995337</v>
      </c>
      <c r="C9179" t="s">
        <v>9343</v>
      </c>
      <c r="D9179" t="s">
        <v>9356</v>
      </c>
      <c r="E9179" t="s">
        <v>10</v>
      </c>
    </row>
    <row r="9180" spans="1:5" hidden="1" outlineLevel="1">
      <c r="A9180" s="2">
        <v>0</v>
      </c>
      <c r="B9180" s="26" t="s">
        <v>9357</v>
      </c>
      <c r="C9180" s="27">
        <v>0</v>
      </c>
      <c r="D9180" s="27">
        <v>0</v>
      </c>
      <c r="E9180" s="27">
        <v>0</v>
      </c>
    </row>
    <row r="9181" spans="1:5" hidden="1" outlineLevel="2">
      <c r="A9181" s="3" t="e">
        <f>(HYPERLINK("http://www.autodoc.ru/Web/price/art/8227ACL?analog=on","8227ACL"))*1</f>
        <v>#VALUE!</v>
      </c>
      <c r="B9181" s="1">
        <v>6963508</v>
      </c>
      <c r="C9181" t="s">
        <v>19</v>
      </c>
      <c r="D9181" t="s">
        <v>9358</v>
      </c>
      <c r="E9181" t="s">
        <v>8</v>
      </c>
    </row>
    <row r="9182" spans="1:5" hidden="1" outlineLevel="1">
      <c r="A9182" s="2">
        <v>0</v>
      </c>
      <c r="B9182" s="26" t="s">
        <v>9359</v>
      </c>
      <c r="C9182" s="27">
        <v>0</v>
      </c>
      <c r="D9182" s="27">
        <v>0</v>
      </c>
      <c r="E9182" s="27">
        <v>0</v>
      </c>
    </row>
    <row r="9183" spans="1:5" hidden="1" outlineLevel="2">
      <c r="A9183" s="3" t="e">
        <f>(HYPERLINK("http://www.autodoc.ru/Web/price/art/8250ACL?analog=on","8250ACL"))*1</f>
        <v>#VALUE!</v>
      </c>
      <c r="B9183" s="1">
        <v>6963584</v>
      </c>
      <c r="C9183" t="s">
        <v>449</v>
      </c>
      <c r="D9183" t="s">
        <v>9360</v>
      </c>
      <c r="E9183" t="s">
        <v>8</v>
      </c>
    </row>
    <row r="9184" spans="1:5" hidden="1" outlineLevel="1">
      <c r="A9184" s="2">
        <v>0</v>
      </c>
      <c r="B9184" s="26" t="s">
        <v>9361</v>
      </c>
      <c r="C9184" s="27">
        <v>0</v>
      </c>
      <c r="D9184" s="27">
        <v>0</v>
      </c>
      <c r="E9184" s="27">
        <v>0</v>
      </c>
    </row>
    <row r="9185" spans="1:5" hidden="1" outlineLevel="2">
      <c r="A9185" s="3" t="e">
        <f>(HYPERLINK("http://www.autodoc.ru/Web/price/art/8266ACL?analog=on","8266ACL"))*1</f>
        <v>#VALUE!</v>
      </c>
      <c r="B9185" s="1">
        <v>6190565</v>
      </c>
      <c r="C9185" t="s">
        <v>7926</v>
      </c>
      <c r="D9185" t="s">
        <v>9362</v>
      </c>
      <c r="E9185" t="s">
        <v>8</v>
      </c>
    </row>
    <row r="9186" spans="1:5" hidden="1" outlineLevel="1">
      <c r="A9186" s="2">
        <v>0</v>
      </c>
      <c r="B9186" s="26" t="s">
        <v>9363</v>
      </c>
      <c r="C9186" s="27">
        <v>0</v>
      </c>
      <c r="D9186" s="27">
        <v>0</v>
      </c>
      <c r="E9186" s="27">
        <v>0</v>
      </c>
    </row>
    <row r="9187" spans="1:5" hidden="1" outlineLevel="2">
      <c r="A9187" s="3" t="e">
        <f>(HYPERLINK("http://www.autodoc.ru/Web/price/art/8308AGN?analog=on","8308AGN"))*1</f>
        <v>#VALUE!</v>
      </c>
      <c r="B9187" s="1">
        <v>6963433</v>
      </c>
      <c r="C9187" t="s">
        <v>72</v>
      </c>
      <c r="D9187" t="s">
        <v>9364</v>
      </c>
      <c r="E9187" t="s">
        <v>8</v>
      </c>
    </row>
    <row r="9188" spans="1:5" hidden="1" outlineLevel="2">
      <c r="A9188" s="3" t="e">
        <f>(HYPERLINK("http://www.autodoc.ru/Web/price/art/8308AGNBL?analog=on","8308AGNBL"))*1</f>
        <v>#VALUE!</v>
      </c>
      <c r="B9188" s="1">
        <v>6961020</v>
      </c>
      <c r="C9188" t="s">
        <v>72</v>
      </c>
      <c r="D9188" t="s">
        <v>9365</v>
      </c>
      <c r="E9188" t="s">
        <v>8</v>
      </c>
    </row>
    <row r="9189" spans="1:5" hidden="1" outlineLevel="2">
      <c r="A9189" s="3" t="e">
        <f>(HYPERLINK("http://www.autodoc.ru/Web/price/art/8308AGNGN?analog=on","8308AGNGN"))*1</f>
        <v>#VALUE!</v>
      </c>
      <c r="B9189" s="1">
        <v>6960692</v>
      </c>
      <c r="C9189" t="s">
        <v>72</v>
      </c>
      <c r="D9189" t="s">
        <v>9366</v>
      </c>
      <c r="E9189" t="s">
        <v>8</v>
      </c>
    </row>
    <row r="9190" spans="1:5" hidden="1" outlineLevel="2">
      <c r="A9190" s="3" t="e">
        <f>(HYPERLINK("http://www.autodoc.ru/Web/price/art/8308ASMPC?analog=on","8308ASMPC"))*1</f>
        <v>#VALUE!</v>
      </c>
      <c r="B9190" s="1">
        <v>6101016</v>
      </c>
      <c r="C9190" t="s">
        <v>19</v>
      </c>
      <c r="D9190" t="s">
        <v>9367</v>
      </c>
      <c r="E9190" t="s">
        <v>21</v>
      </c>
    </row>
    <row r="9191" spans="1:5" hidden="1" outlineLevel="2">
      <c r="A9191" s="3" t="e">
        <f>(HYPERLINK("http://www.autodoc.ru/Web/price/art/8308LGNP2FDW?analog=on","8308LGNP2FDW"))*1</f>
        <v>#VALUE!</v>
      </c>
      <c r="B9191" s="1">
        <v>6993238</v>
      </c>
      <c r="C9191" t="s">
        <v>72</v>
      </c>
      <c r="D9191" t="s">
        <v>9368</v>
      </c>
      <c r="E9191" t="s">
        <v>10</v>
      </c>
    </row>
    <row r="9192" spans="1:5" hidden="1" outlineLevel="2">
      <c r="A9192" s="3" t="e">
        <f>(HYPERLINK("http://www.autodoc.ru/Web/price/art/8308RGNP2FDW?analog=on","8308RGNP2FDW"))*1</f>
        <v>#VALUE!</v>
      </c>
      <c r="B9192" s="1">
        <v>6993239</v>
      </c>
      <c r="C9192" t="s">
        <v>72</v>
      </c>
      <c r="D9192" t="s">
        <v>9369</v>
      </c>
      <c r="E9192" t="s">
        <v>10</v>
      </c>
    </row>
    <row r="9193" spans="1:5" hidden="1" outlineLevel="1">
      <c r="A9193" s="2">
        <v>0</v>
      </c>
      <c r="B9193" s="26" t="s">
        <v>9370</v>
      </c>
      <c r="C9193" s="27">
        <v>0</v>
      </c>
      <c r="D9193" s="27">
        <v>0</v>
      </c>
      <c r="E9193" s="27">
        <v>0</v>
      </c>
    </row>
    <row r="9194" spans="1:5" hidden="1" outlineLevel="2">
      <c r="A9194" s="3" t="e">
        <f>(HYPERLINK("http://www.autodoc.ru/Web/price/art/8367AGN?analog=on","8367AGN"))*1</f>
        <v>#VALUE!</v>
      </c>
      <c r="B9194" s="1">
        <v>6961600</v>
      </c>
      <c r="C9194" t="s">
        <v>890</v>
      </c>
      <c r="D9194" t="s">
        <v>9371</v>
      </c>
      <c r="E9194" t="s">
        <v>8</v>
      </c>
    </row>
    <row r="9195" spans="1:5" hidden="1" outlineLevel="2">
      <c r="A9195" s="3" t="e">
        <f>(HYPERLINK("http://www.autodoc.ru/Web/price/art/8367AGNGN?analog=on","8367AGNGN"))*1</f>
        <v>#VALUE!</v>
      </c>
      <c r="B9195" s="1">
        <v>6961601</v>
      </c>
      <c r="C9195" t="s">
        <v>890</v>
      </c>
      <c r="D9195" t="s">
        <v>9372</v>
      </c>
      <c r="E9195" t="s">
        <v>8</v>
      </c>
    </row>
    <row r="9196" spans="1:5" hidden="1" outlineLevel="1">
      <c r="A9196" s="2">
        <v>0</v>
      </c>
      <c r="B9196" s="26" t="s">
        <v>9373</v>
      </c>
      <c r="C9196" s="27">
        <v>0</v>
      </c>
      <c r="D9196" s="27">
        <v>0</v>
      </c>
      <c r="E9196" s="27">
        <v>0</v>
      </c>
    </row>
    <row r="9197" spans="1:5" hidden="1" outlineLevel="2">
      <c r="A9197" s="3" t="e">
        <f>(HYPERLINK("http://www.autodoc.ru/Web/price/art/8221ACL?analog=on","8221ACL"))*1</f>
        <v>#VALUE!</v>
      </c>
      <c r="B9197" s="1">
        <v>6963581</v>
      </c>
      <c r="C9197" t="s">
        <v>9374</v>
      </c>
      <c r="D9197" t="s">
        <v>9375</v>
      </c>
      <c r="E9197" t="s">
        <v>8</v>
      </c>
    </row>
    <row r="9198" spans="1:5" hidden="1" outlineLevel="1">
      <c r="A9198" s="2">
        <v>0</v>
      </c>
      <c r="B9198" s="26" t="s">
        <v>9376</v>
      </c>
      <c r="C9198" s="27">
        <v>0</v>
      </c>
      <c r="D9198" s="27">
        <v>0</v>
      </c>
      <c r="E9198" s="27">
        <v>0</v>
      </c>
    </row>
    <row r="9199" spans="1:5" hidden="1" outlineLevel="2">
      <c r="A9199" s="3" t="e">
        <f>(HYPERLINK("http://www.autodoc.ru/Web/price/art/8239ABL?analog=on","8239ABL"))*1</f>
        <v>#VALUE!</v>
      </c>
      <c r="B9199" s="1">
        <v>6963509</v>
      </c>
      <c r="C9199" t="s">
        <v>9377</v>
      </c>
      <c r="D9199" t="s">
        <v>9378</v>
      </c>
      <c r="E9199" t="s">
        <v>8</v>
      </c>
    </row>
    <row r="9200" spans="1:5" hidden="1" outlineLevel="2">
      <c r="A9200" s="3" t="e">
        <f>(HYPERLINK("http://www.autodoc.ru/Web/price/art/8239ACL?analog=on","8239ACL"))*1</f>
        <v>#VALUE!</v>
      </c>
      <c r="B9200" s="1">
        <v>6963510</v>
      </c>
      <c r="C9200" t="s">
        <v>9377</v>
      </c>
      <c r="D9200" t="s">
        <v>9379</v>
      </c>
      <c r="E9200" t="s">
        <v>8</v>
      </c>
    </row>
    <row r="9201" spans="1:5" hidden="1" outlineLevel="1">
      <c r="A9201" s="2">
        <v>0</v>
      </c>
      <c r="B9201" s="26" t="s">
        <v>9380</v>
      </c>
      <c r="C9201" s="27">
        <v>0</v>
      </c>
      <c r="D9201" s="27">
        <v>0</v>
      </c>
      <c r="E9201" s="27">
        <v>0</v>
      </c>
    </row>
    <row r="9202" spans="1:5" hidden="1" outlineLevel="2">
      <c r="A9202" s="3" t="e">
        <f>(HYPERLINK("http://www.autodoc.ru/Web/price/art/8263ABL?analog=on","8263ABL"))*1</f>
        <v>#VALUE!</v>
      </c>
      <c r="B9202" s="1">
        <v>6963519</v>
      </c>
      <c r="C9202" t="s">
        <v>9381</v>
      </c>
      <c r="D9202" t="s">
        <v>9382</v>
      </c>
      <c r="E9202" t="s">
        <v>8</v>
      </c>
    </row>
    <row r="9203" spans="1:5" hidden="1" outlineLevel="2">
      <c r="A9203" s="3" t="e">
        <f>(HYPERLINK("http://www.autodoc.ru/Web/price/art/8263ACL?analog=on","8263ACL"))*1</f>
        <v>#VALUE!</v>
      </c>
      <c r="B9203" s="1">
        <v>6963521</v>
      </c>
      <c r="C9203" t="s">
        <v>9381</v>
      </c>
      <c r="D9203" t="s">
        <v>9383</v>
      </c>
      <c r="E9203" t="s">
        <v>8</v>
      </c>
    </row>
    <row r="9204" spans="1:5" hidden="1" outlineLevel="1">
      <c r="A9204" s="2">
        <v>0</v>
      </c>
      <c r="B9204" s="26" t="s">
        <v>9384</v>
      </c>
      <c r="C9204" s="27">
        <v>0</v>
      </c>
      <c r="D9204" s="27">
        <v>0</v>
      </c>
      <c r="E9204" s="27">
        <v>0</v>
      </c>
    </row>
    <row r="9205" spans="1:5" hidden="1" outlineLevel="2">
      <c r="A9205" s="3" t="e">
        <f>(HYPERLINK("http://www.autodoc.ru/Web/price/art/8283ABL?analog=on","8283ABL"))*1</f>
        <v>#VALUE!</v>
      </c>
      <c r="B9205" s="1">
        <v>6963590</v>
      </c>
      <c r="C9205" t="s">
        <v>2086</v>
      </c>
      <c r="D9205" t="s">
        <v>9385</v>
      </c>
      <c r="E9205" t="s">
        <v>8</v>
      </c>
    </row>
    <row r="9206" spans="1:5" hidden="1" outlineLevel="2">
      <c r="A9206" s="3" t="e">
        <f>(HYPERLINK("http://www.autodoc.ru/Web/price/art/8283ACL?analog=on","8283ACL"))*1</f>
        <v>#VALUE!</v>
      </c>
      <c r="B9206" s="1">
        <v>6963591</v>
      </c>
      <c r="C9206" t="s">
        <v>2086</v>
      </c>
      <c r="D9206" t="s">
        <v>9386</v>
      </c>
      <c r="E9206" t="s">
        <v>8</v>
      </c>
    </row>
    <row r="9207" spans="1:5" hidden="1" outlineLevel="1">
      <c r="A9207" s="2">
        <v>0</v>
      </c>
      <c r="B9207" s="26" t="s">
        <v>9387</v>
      </c>
      <c r="C9207" s="27">
        <v>0</v>
      </c>
      <c r="D9207" s="27">
        <v>0</v>
      </c>
      <c r="E9207" s="27">
        <v>0</v>
      </c>
    </row>
    <row r="9208" spans="1:5" hidden="1" outlineLevel="2">
      <c r="A9208" s="3" t="e">
        <f>(HYPERLINK("http://www.autodoc.ru/Web/price/art/8274ABL?analog=on","8274ABL"))*1</f>
        <v>#VALUE!</v>
      </c>
      <c r="B9208" s="1">
        <v>6963419</v>
      </c>
      <c r="C9208" t="s">
        <v>4141</v>
      </c>
      <c r="D9208" t="s">
        <v>9388</v>
      </c>
      <c r="E9208" t="s">
        <v>8</v>
      </c>
    </row>
    <row r="9209" spans="1:5" hidden="1" outlineLevel="2">
      <c r="A9209" s="3" t="e">
        <f>(HYPERLINK("http://www.autodoc.ru/Web/price/art/8274ABLBL?analog=on","8274ABLBL"))*1</f>
        <v>#VALUE!</v>
      </c>
      <c r="B9209" s="1">
        <v>6963420</v>
      </c>
      <c r="C9209" t="s">
        <v>4141</v>
      </c>
      <c r="D9209" t="s">
        <v>9389</v>
      </c>
      <c r="E9209" t="s">
        <v>8</v>
      </c>
    </row>
    <row r="9210" spans="1:5" hidden="1" outlineLevel="2">
      <c r="A9210" s="3" t="e">
        <f>(HYPERLINK("http://www.autodoc.ru/Web/price/art/8274ASRR?analog=on","8274ASRR"))*1</f>
        <v>#VALUE!</v>
      </c>
      <c r="B9210" s="1">
        <v>6100221</v>
      </c>
      <c r="C9210" t="s">
        <v>19</v>
      </c>
      <c r="D9210" t="s">
        <v>9390</v>
      </c>
      <c r="E9210" t="s">
        <v>21</v>
      </c>
    </row>
    <row r="9211" spans="1:5" hidden="1" outlineLevel="2">
      <c r="A9211" s="3" t="e">
        <f>(HYPERLINK("http://www.autodoc.ru/Web/price/art/8274BBLR?analog=on","8274BBLR"))*1</f>
        <v>#VALUE!</v>
      </c>
      <c r="B9211" s="1">
        <v>6997314</v>
      </c>
      <c r="C9211" t="s">
        <v>4141</v>
      </c>
      <c r="D9211" t="s">
        <v>9391</v>
      </c>
      <c r="E9211" t="s">
        <v>23</v>
      </c>
    </row>
    <row r="9212" spans="1:5" hidden="1" outlineLevel="2">
      <c r="A9212" s="3" t="e">
        <f>(HYPERLINK("http://www.autodoc.ru/Web/price/art/8274LBLR5FD?analog=on","8274LBLR5FD"))*1</f>
        <v>#VALUE!</v>
      </c>
      <c r="B9212" s="1">
        <v>6999471</v>
      </c>
      <c r="C9212" t="s">
        <v>4141</v>
      </c>
      <c r="D9212" t="s">
        <v>9392</v>
      </c>
      <c r="E9212" t="s">
        <v>10</v>
      </c>
    </row>
    <row r="9213" spans="1:5" hidden="1" outlineLevel="2">
      <c r="A9213" s="3" t="e">
        <f>(HYPERLINK("http://www.autodoc.ru/Web/price/art/8274RBLR5FD?analog=on","8274RBLR5FD"))*1</f>
        <v>#VALUE!</v>
      </c>
      <c r="B9213" s="1">
        <v>6999474</v>
      </c>
      <c r="C9213" t="s">
        <v>4141</v>
      </c>
      <c r="D9213" t="s">
        <v>9393</v>
      </c>
      <c r="E9213" t="s">
        <v>10</v>
      </c>
    </row>
    <row r="9214" spans="1:5" hidden="1" outlineLevel="1">
      <c r="A9214" s="2">
        <v>0</v>
      </c>
      <c r="B9214" s="26" t="s">
        <v>9394</v>
      </c>
      <c r="C9214" s="27">
        <v>0</v>
      </c>
      <c r="D9214" s="27">
        <v>0</v>
      </c>
      <c r="E9214" s="27">
        <v>0</v>
      </c>
    </row>
    <row r="9215" spans="1:5" hidden="1" outlineLevel="2">
      <c r="A9215" s="3" t="e">
        <f>(HYPERLINK("http://www.autodoc.ru/Web/price/art/8301ALG?analog=on","8301ALG"))*1</f>
        <v>#VALUE!</v>
      </c>
      <c r="B9215" s="1">
        <v>6963429</v>
      </c>
      <c r="C9215" t="s">
        <v>240</v>
      </c>
      <c r="D9215" t="s">
        <v>9395</v>
      </c>
      <c r="E9215" t="s">
        <v>8</v>
      </c>
    </row>
    <row r="9216" spans="1:5" hidden="1" outlineLevel="2">
      <c r="A9216" s="3" t="e">
        <f>(HYPERLINK("http://www.autodoc.ru/Web/price/art/8301ALGGN?analog=on","8301ALGGN"))*1</f>
        <v>#VALUE!</v>
      </c>
      <c r="B9216" s="1">
        <v>6963430</v>
      </c>
      <c r="C9216" t="s">
        <v>240</v>
      </c>
      <c r="D9216" t="s">
        <v>9396</v>
      </c>
      <c r="E9216" t="s">
        <v>8</v>
      </c>
    </row>
    <row r="9217" spans="1:5" hidden="1" outlineLevel="2">
      <c r="A9217" s="3" t="e">
        <f>(HYPERLINK("http://www.autodoc.ru/Web/price/art/8301ASMR?analog=on","8301ASMR"))*1</f>
        <v>#VALUE!</v>
      </c>
      <c r="B9217" s="1">
        <v>6100618</v>
      </c>
      <c r="C9217" t="s">
        <v>19</v>
      </c>
      <c r="D9217" t="s">
        <v>9397</v>
      </c>
      <c r="E9217" t="s">
        <v>21</v>
      </c>
    </row>
    <row r="9218" spans="1:5" hidden="1" outlineLevel="2">
      <c r="A9218" s="3" t="e">
        <f>(HYPERLINK("http://www.autodoc.ru/Web/price/art/8301BLGR?analog=on","8301BLGR"))*1</f>
        <v>#VALUE!</v>
      </c>
      <c r="B9218" s="1">
        <v>6992514</v>
      </c>
      <c r="C9218" t="s">
        <v>240</v>
      </c>
      <c r="D9218" t="s">
        <v>9398</v>
      </c>
      <c r="E9218" t="s">
        <v>23</v>
      </c>
    </row>
    <row r="9219" spans="1:5" hidden="1" outlineLevel="2">
      <c r="A9219" s="3" t="e">
        <f>(HYPERLINK("http://www.autodoc.ru/Web/price/art/8301LLGR3FDW?analog=on","8301LLGR3FDW"))*1</f>
        <v>#VALUE!</v>
      </c>
      <c r="B9219" s="1">
        <v>6980060</v>
      </c>
      <c r="C9219" t="s">
        <v>240</v>
      </c>
      <c r="D9219" t="s">
        <v>9399</v>
      </c>
      <c r="E9219" t="s">
        <v>10</v>
      </c>
    </row>
    <row r="9220" spans="1:5" hidden="1" outlineLevel="2">
      <c r="A9220" s="3" t="e">
        <f>(HYPERLINK("http://www.autodoc.ru/Web/price/art/8301LLGR5RD?analog=on","8301LLGR5RD"))*1</f>
        <v>#VALUE!</v>
      </c>
      <c r="B9220" s="1">
        <v>6980609</v>
      </c>
      <c r="C9220" t="s">
        <v>240</v>
      </c>
      <c r="D9220" t="s">
        <v>9400</v>
      </c>
      <c r="E9220" t="s">
        <v>10</v>
      </c>
    </row>
    <row r="9221" spans="1:5" hidden="1" outlineLevel="2">
      <c r="A9221" s="3" t="e">
        <f>(HYPERLINK("http://www.autodoc.ru/Web/price/art/8301LLGR5RV?analog=on","8301LLGR5RV"))*1</f>
        <v>#VALUE!</v>
      </c>
      <c r="B9221" s="1">
        <v>6992434</v>
      </c>
      <c r="C9221" t="s">
        <v>240</v>
      </c>
      <c r="D9221" t="s">
        <v>9401</v>
      </c>
      <c r="E9221" t="s">
        <v>10</v>
      </c>
    </row>
    <row r="9222" spans="1:5" hidden="1" outlineLevel="2">
      <c r="A9222" s="3" t="e">
        <f>(HYPERLINK("http://www.autodoc.ru/Web/price/art/8301RLGR3FDW?analog=on","8301RLGR3FDW"))*1</f>
        <v>#VALUE!</v>
      </c>
      <c r="B9222" s="1">
        <v>6980061</v>
      </c>
      <c r="C9222" t="s">
        <v>240</v>
      </c>
      <c r="D9222" t="s">
        <v>9402</v>
      </c>
      <c r="E9222" t="s">
        <v>10</v>
      </c>
    </row>
    <row r="9223" spans="1:5" hidden="1" outlineLevel="2">
      <c r="A9223" s="3" t="e">
        <f>(HYPERLINK("http://www.autodoc.ru/Web/price/art/8301RLGR5RD?analog=on","8301RLGR5RD"))*1</f>
        <v>#VALUE!</v>
      </c>
      <c r="B9223" s="1">
        <v>6980610</v>
      </c>
      <c r="C9223" t="s">
        <v>240</v>
      </c>
      <c r="D9223" t="s">
        <v>9403</v>
      </c>
      <c r="E9223" t="s">
        <v>10</v>
      </c>
    </row>
    <row r="9224" spans="1:5" hidden="1" outlineLevel="2">
      <c r="A9224" s="3" t="e">
        <f>(HYPERLINK("http://www.autodoc.ru/Web/price/art/8301RLGR5RV?analog=on","8301RLGR5RV"))*1</f>
        <v>#VALUE!</v>
      </c>
      <c r="B9224" s="1">
        <v>6992435</v>
      </c>
      <c r="C9224" t="s">
        <v>240</v>
      </c>
      <c r="D9224" t="s">
        <v>9404</v>
      </c>
      <c r="E9224" t="s">
        <v>10</v>
      </c>
    </row>
    <row r="9225" spans="1:5" hidden="1" outlineLevel="1">
      <c r="A9225" s="2">
        <v>0</v>
      </c>
      <c r="B9225" s="26" t="s">
        <v>9405</v>
      </c>
      <c r="C9225" s="27">
        <v>0</v>
      </c>
      <c r="D9225" s="27">
        <v>0</v>
      </c>
      <c r="E9225" s="27">
        <v>0</v>
      </c>
    </row>
    <row r="9226" spans="1:5" hidden="1" outlineLevel="2">
      <c r="A9226" s="3" t="e">
        <f>(HYPERLINK("http://www.autodoc.ru/Web/price/art/8306AGNGN?analog=on","8306AGNGN"))*1</f>
        <v>#VALUE!</v>
      </c>
      <c r="B9226" s="1">
        <v>6963270</v>
      </c>
      <c r="C9226" t="s">
        <v>110</v>
      </c>
      <c r="D9226" t="s">
        <v>9406</v>
      </c>
      <c r="E9226" t="s">
        <v>8</v>
      </c>
    </row>
    <row r="9227" spans="1:5" hidden="1" outlineLevel="2">
      <c r="A9227" s="3" t="e">
        <f>(HYPERLINK("http://www.autodoc.ru/Web/price/art/8306AGNGNMV?analog=on","8306AGNGNMV"))*1</f>
        <v>#VALUE!</v>
      </c>
      <c r="B9227" s="1">
        <v>6962691</v>
      </c>
      <c r="C9227" t="s">
        <v>110</v>
      </c>
      <c r="D9227" t="s">
        <v>9407</v>
      </c>
      <c r="E9227" t="s">
        <v>8</v>
      </c>
    </row>
    <row r="9228" spans="1:5" hidden="1" outlineLevel="2">
      <c r="A9228" s="3" t="e">
        <f>(HYPERLINK("http://www.autodoc.ru/Web/price/art/8306AGNGNV?analog=on","8306AGNGNV"))*1</f>
        <v>#VALUE!</v>
      </c>
      <c r="B9228" s="1">
        <v>6962692</v>
      </c>
      <c r="C9228" t="s">
        <v>110</v>
      </c>
      <c r="D9228" t="s">
        <v>9408</v>
      </c>
      <c r="E9228" t="s">
        <v>8</v>
      </c>
    </row>
    <row r="9229" spans="1:5" hidden="1" outlineLevel="2">
      <c r="A9229" s="3" t="e">
        <f>(HYPERLINK("http://www.autodoc.ru/Web/price/art/8306ASMRT?analog=on","8306ASMRT"))*1</f>
        <v>#VALUE!</v>
      </c>
      <c r="B9229" s="1">
        <v>6100619</v>
      </c>
      <c r="C9229" t="s">
        <v>19</v>
      </c>
      <c r="D9229" t="s">
        <v>9409</v>
      </c>
      <c r="E9229" t="s">
        <v>21</v>
      </c>
    </row>
    <row r="9230" spans="1:5" hidden="1" outlineLevel="2">
      <c r="A9230" s="3" t="e">
        <f>(HYPERLINK("http://www.autodoc.ru/Web/price/art/8306BGNR?analog=on","8306BGNR"))*1</f>
        <v>#VALUE!</v>
      </c>
      <c r="B9230" s="1">
        <v>6998675</v>
      </c>
      <c r="C9230" t="s">
        <v>110</v>
      </c>
      <c r="D9230" t="s">
        <v>9410</v>
      </c>
      <c r="E9230" t="s">
        <v>23</v>
      </c>
    </row>
    <row r="9231" spans="1:5" hidden="1" outlineLevel="2">
      <c r="A9231" s="3" t="e">
        <f>(HYPERLINK("http://www.autodoc.ru/Web/price/art/8306LGNR5FDW?analog=on","8306LGNR5FDW"))*1</f>
        <v>#VALUE!</v>
      </c>
      <c r="B9231" s="1">
        <v>6994259</v>
      </c>
      <c r="C9231" t="s">
        <v>110</v>
      </c>
      <c r="D9231" t="s">
        <v>9411</v>
      </c>
      <c r="E9231" t="s">
        <v>10</v>
      </c>
    </row>
    <row r="9232" spans="1:5" hidden="1" outlineLevel="2">
      <c r="A9232" s="3" t="e">
        <f>(HYPERLINK("http://www.autodoc.ru/Web/price/art/8306LGNR5RD?analog=on","8306LGNR5RD"))*1</f>
        <v>#VALUE!</v>
      </c>
      <c r="B9232" s="1">
        <v>6994260</v>
      </c>
      <c r="C9232" t="s">
        <v>110</v>
      </c>
      <c r="D9232" t="s">
        <v>9412</v>
      </c>
      <c r="E9232" t="s">
        <v>10</v>
      </c>
    </row>
    <row r="9233" spans="1:5" hidden="1" outlineLevel="2">
      <c r="A9233" s="3" t="e">
        <f>(HYPERLINK("http://www.autodoc.ru/Web/price/art/8306LGNR5RV?analog=on","8306LGNR5RV"))*1</f>
        <v>#VALUE!</v>
      </c>
      <c r="B9233" s="1">
        <v>6994261</v>
      </c>
      <c r="C9233" t="s">
        <v>110</v>
      </c>
      <c r="D9233" t="s">
        <v>9413</v>
      </c>
      <c r="E9233" t="s">
        <v>10</v>
      </c>
    </row>
    <row r="9234" spans="1:5" hidden="1" outlineLevel="2">
      <c r="A9234" s="3" t="e">
        <f>(HYPERLINK("http://www.autodoc.ru/Web/price/art/8306RGNR5FDW?analog=on","8306RGNR5FDW"))*1</f>
        <v>#VALUE!</v>
      </c>
      <c r="B9234" s="1">
        <v>6994262</v>
      </c>
      <c r="C9234" t="s">
        <v>110</v>
      </c>
      <c r="D9234" t="s">
        <v>9414</v>
      </c>
      <c r="E9234" t="s">
        <v>10</v>
      </c>
    </row>
    <row r="9235" spans="1:5" hidden="1" outlineLevel="2">
      <c r="A9235" s="3" t="e">
        <f>(HYPERLINK("http://www.autodoc.ru/Web/price/art/8306RGNR5RD?analog=on","8306RGNR5RD"))*1</f>
        <v>#VALUE!</v>
      </c>
      <c r="B9235" s="1">
        <v>6994263</v>
      </c>
      <c r="C9235" t="s">
        <v>110</v>
      </c>
      <c r="D9235" t="s">
        <v>9415</v>
      </c>
      <c r="E9235" t="s">
        <v>10</v>
      </c>
    </row>
    <row r="9236" spans="1:5" hidden="1" outlineLevel="2">
      <c r="A9236" s="3" t="e">
        <f>(HYPERLINK("http://www.autodoc.ru/Web/price/art/8306RGNR5RV?analog=on","8306RGNR5RV"))*1</f>
        <v>#VALUE!</v>
      </c>
      <c r="B9236" s="1">
        <v>6994264</v>
      </c>
      <c r="C9236" t="s">
        <v>110</v>
      </c>
      <c r="D9236" t="s">
        <v>9416</v>
      </c>
      <c r="E9236" t="s">
        <v>10</v>
      </c>
    </row>
    <row r="9237" spans="1:5" hidden="1" outlineLevel="1">
      <c r="A9237" s="2">
        <v>0</v>
      </c>
      <c r="B9237" s="26" t="s">
        <v>9417</v>
      </c>
      <c r="C9237" s="27">
        <v>0</v>
      </c>
      <c r="D9237" s="27">
        <v>0</v>
      </c>
      <c r="E9237" s="27">
        <v>0</v>
      </c>
    </row>
    <row r="9238" spans="1:5" hidden="1" outlineLevel="2">
      <c r="A9238" s="3" t="e">
        <f>(HYPERLINK("http://www.autodoc.ru/Web/price/art/8341AGN?analog=on","8341AGN"))*1</f>
        <v>#VALUE!</v>
      </c>
      <c r="B9238" s="1">
        <v>6950144</v>
      </c>
      <c r="C9238" t="s">
        <v>782</v>
      </c>
      <c r="D9238" t="s">
        <v>9418</v>
      </c>
      <c r="E9238" t="s">
        <v>8</v>
      </c>
    </row>
    <row r="9239" spans="1:5" hidden="1" outlineLevel="2">
      <c r="A9239" s="3" t="e">
        <f>(HYPERLINK("http://www.autodoc.ru/Web/price/art/8341AGNGN?analog=on","8341AGNGN"))*1</f>
        <v>#VALUE!</v>
      </c>
      <c r="B9239" s="1">
        <v>6961093</v>
      </c>
      <c r="C9239" t="s">
        <v>782</v>
      </c>
      <c r="D9239" t="s">
        <v>9419</v>
      </c>
      <c r="E9239" t="s">
        <v>8</v>
      </c>
    </row>
    <row r="9240" spans="1:5" hidden="1" outlineLevel="2">
      <c r="A9240" s="3" t="e">
        <f>(HYPERLINK("http://www.autodoc.ru/Web/price/art/8341AGNGNMV?analog=on","8341AGNGNMV"))*1</f>
        <v>#VALUE!</v>
      </c>
      <c r="B9240" s="1">
        <v>6963027</v>
      </c>
      <c r="C9240" t="s">
        <v>1309</v>
      </c>
      <c r="D9240" t="s">
        <v>4397</v>
      </c>
      <c r="E9240" t="s">
        <v>8</v>
      </c>
    </row>
    <row r="9241" spans="1:5" hidden="1" outlineLevel="2">
      <c r="A9241" s="3" t="e">
        <f>(HYPERLINK("http://www.autodoc.ru/Web/price/art/8341AGNV?analog=on","8341AGNV"))*1</f>
        <v>#VALUE!</v>
      </c>
      <c r="B9241" s="1">
        <v>6961804</v>
      </c>
      <c r="C9241" t="s">
        <v>755</v>
      </c>
      <c r="D9241" t="s">
        <v>9420</v>
      </c>
      <c r="E9241" t="s">
        <v>8</v>
      </c>
    </row>
    <row r="9242" spans="1:5" hidden="1" outlineLevel="2">
      <c r="A9242" s="3" t="e">
        <f>(HYPERLINK("http://www.autodoc.ru/Web/price/art/8341AGNGNV?analog=on","8341AGNGNV"))*1</f>
        <v>#VALUE!</v>
      </c>
      <c r="B9242" s="1">
        <v>6961260</v>
      </c>
      <c r="C9242" t="s">
        <v>755</v>
      </c>
      <c r="D9242" t="s">
        <v>9421</v>
      </c>
      <c r="E9242" t="s">
        <v>8</v>
      </c>
    </row>
    <row r="9243" spans="1:5" hidden="1" outlineLevel="2">
      <c r="A9243" s="3" t="e">
        <f>(HYPERLINK("http://www.autodoc.ru/Web/price/art/8341ASMRT?analog=on","8341ASMRT"))*1</f>
        <v>#VALUE!</v>
      </c>
      <c r="B9243" s="1">
        <v>6101580</v>
      </c>
      <c r="C9243" t="s">
        <v>19</v>
      </c>
      <c r="D9243" t="s">
        <v>9422</v>
      </c>
      <c r="E9243" t="s">
        <v>21</v>
      </c>
    </row>
    <row r="9244" spans="1:5" hidden="1" outlineLevel="2">
      <c r="A9244" s="3" t="e">
        <f>(HYPERLINK("http://www.autodoc.ru/Web/price/art/8341BGNRW?analog=on","8341BGNRW"))*1</f>
        <v>#VALUE!</v>
      </c>
      <c r="B9244" s="1">
        <v>6902113</v>
      </c>
      <c r="C9244" t="s">
        <v>1309</v>
      </c>
      <c r="D9244" t="s">
        <v>9423</v>
      </c>
      <c r="E9244" t="s">
        <v>23</v>
      </c>
    </row>
    <row r="9245" spans="1:5" hidden="1" outlineLevel="2">
      <c r="A9245" s="3" t="e">
        <f>(HYPERLINK("http://www.autodoc.ru/Web/price/art/8341BGNRW1J?analog=on","8341BGNRW1J"))*1</f>
        <v>#VALUE!</v>
      </c>
      <c r="B9245" s="1">
        <v>6902114</v>
      </c>
      <c r="C9245" t="s">
        <v>1309</v>
      </c>
      <c r="D9245" t="s">
        <v>9424</v>
      </c>
      <c r="E9245" t="s">
        <v>23</v>
      </c>
    </row>
    <row r="9246" spans="1:5" hidden="1" outlineLevel="2">
      <c r="A9246" s="3" t="e">
        <f>(HYPERLINK("http://www.autodoc.ru/Web/price/art/8341LGNR3FDW?analog=on","8341LGNR3FDW"))*1</f>
        <v>#VALUE!</v>
      </c>
      <c r="B9246" s="1">
        <v>6900007</v>
      </c>
      <c r="C9246" t="s">
        <v>755</v>
      </c>
      <c r="D9246" t="s">
        <v>9425</v>
      </c>
      <c r="E9246" t="s">
        <v>10</v>
      </c>
    </row>
    <row r="9247" spans="1:5" hidden="1" outlineLevel="2">
      <c r="A9247" s="3" t="e">
        <f>(HYPERLINK("http://www.autodoc.ru/Web/price/art/8341LGNR5RD?analog=on","8341LGNR5RD"))*1</f>
        <v>#VALUE!</v>
      </c>
      <c r="B9247" s="1">
        <v>6995963</v>
      </c>
      <c r="C9247" t="s">
        <v>755</v>
      </c>
      <c r="D9247" t="s">
        <v>9426</v>
      </c>
      <c r="E9247" t="s">
        <v>10</v>
      </c>
    </row>
    <row r="9248" spans="1:5" hidden="1" outlineLevel="2">
      <c r="A9248" s="3" t="e">
        <f>(HYPERLINK("http://www.autodoc.ru/Web/price/art/8341LGNR5RV?analog=on","8341LGNR5RV"))*1</f>
        <v>#VALUE!</v>
      </c>
      <c r="B9248" s="1">
        <v>6995965</v>
      </c>
      <c r="C9248" t="s">
        <v>755</v>
      </c>
      <c r="D9248" t="s">
        <v>9427</v>
      </c>
      <c r="E9248" t="s">
        <v>10</v>
      </c>
    </row>
    <row r="9249" spans="1:5" hidden="1" outlineLevel="2">
      <c r="A9249" s="3" t="e">
        <f>(HYPERLINK("http://www.autodoc.ru/Web/price/art/8341RGNR3FDW?analog=on","8341RGNR3FDW"))*1</f>
        <v>#VALUE!</v>
      </c>
      <c r="B9249" s="1">
        <v>6996375</v>
      </c>
      <c r="C9249" t="s">
        <v>755</v>
      </c>
      <c r="D9249" t="s">
        <v>9428</v>
      </c>
      <c r="E9249" t="s">
        <v>10</v>
      </c>
    </row>
    <row r="9250" spans="1:5" hidden="1" outlineLevel="2">
      <c r="A9250" s="3" t="e">
        <f>(HYPERLINK("http://www.autodoc.ru/Web/price/art/8341RGNR5RD?analog=on","8341RGNR5RD"))*1</f>
        <v>#VALUE!</v>
      </c>
      <c r="B9250" s="1">
        <v>6995964</v>
      </c>
      <c r="C9250" t="s">
        <v>755</v>
      </c>
      <c r="D9250" t="s">
        <v>9429</v>
      </c>
      <c r="E9250" t="s">
        <v>10</v>
      </c>
    </row>
    <row r="9251" spans="1:5" hidden="1" outlineLevel="2">
      <c r="A9251" s="3" t="e">
        <f>(HYPERLINK("http://www.autodoc.ru/Web/price/art/8341RGNR5RV?analog=on","8341RGNR5RV"))*1</f>
        <v>#VALUE!</v>
      </c>
      <c r="B9251" s="1">
        <v>6995966</v>
      </c>
      <c r="C9251" t="s">
        <v>755</v>
      </c>
      <c r="D9251" t="s">
        <v>9430</v>
      </c>
      <c r="E9251" t="s">
        <v>10</v>
      </c>
    </row>
    <row r="9252" spans="1:5" hidden="1" outlineLevel="1">
      <c r="A9252" s="2">
        <v>0</v>
      </c>
      <c r="B9252" s="26" t="s">
        <v>9431</v>
      </c>
      <c r="C9252" s="27">
        <v>0</v>
      </c>
      <c r="D9252" s="27">
        <v>0</v>
      </c>
      <c r="E9252" s="27">
        <v>0</v>
      </c>
    </row>
    <row r="9253" spans="1:5" hidden="1" outlineLevel="2">
      <c r="A9253" s="3" t="e">
        <f>(HYPERLINK("http://www.autodoc.ru/Web/price/art/8378AGNGNV?analog=on","8378AGNGNV"))*1</f>
        <v>#VALUE!</v>
      </c>
      <c r="B9253" s="1">
        <v>6963179</v>
      </c>
      <c r="C9253" t="s">
        <v>366</v>
      </c>
      <c r="D9253" t="s">
        <v>9432</v>
      </c>
      <c r="E9253" t="s">
        <v>8</v>
      </c>
    </row>
    <row r="9254" spans="1:5" hidden="1" outlineLevel="2">
      <c r="A9254" s="3" t="e">
        <f>(HYPERLINK("http://www.autodoc.ru/Web/price/art/8378AGNGNHV?analog=on","8378AGNGNHV"))*1</f>
        <v>#VALUE!</v>
      </c>
      <c r="B9254" s="1">
        <v>6963180</v>
      </c>
      <c r="C9254" t="s">
        <v>366</v>
      </c>
      <c r="D9254" t="s">
        <v>9433</v>
      </c>
      <c r="E9254" t="s">
        <v>8</v>
      </c>
    </row>
    <row r="9255" spans="1:5" hidden="1" outlineLevel="2">
      <c r="A9255" s="3" t="e">
        <f>(HYPERLINK("http://www.autodoc.ru/Web/price/art/8378AGNGNHMV1B?analog=on","8378AGNGNHMV1B"))*1</f>
        <v>#VALUE!</v>
      </c>
      <c r="B9255" s="1">
        <v>6964664</v>
      </c>
      <c r="C9255" t="s">
        <v>366</v>
      </c>
      <c r="D9255" t="s">
        <v>9434</v>
      </c>
      <c r="E9255" t="s">
        <v>8</v>
      </c>
    </row>
    <row r="9256" spans="1:5" hidden="1" outlineLevel="2">
      <c r="A9256" s="3" t="e">
        <f>(HYPERLINK("http://www.autodoc.ru/Web/price/art/8378ASMRT?analog=on","8378ASMRT"))*1</f>
        <v>#VALUE!</v>
      </c>
      <c r="B9256" s="1">
        <v>6102632</v>
      </c>
      <c r="C9256" t="s">
        <v>366</v>
      </c>
      <c r="D9256" t="s">
        <v>9435</v>
      </c>
      <c r="E9256" t="s">
        <v>21</v>
      </c>
    </row>
    <row r="9257" spans="1:5" hidden="1" outlineLevel="1">
      <c r="A9257" s="2">
        <v>0</v>
      </c>
      <c r="B9257" s="26" t="s">
        <v>9436</v>
      </c>
      <c r="C9257" s="27">
        <v>0</v>
      </c>
      <c r="D9257" s="27">
        <v>0</v>
      </c>
      <c r="E9257" s="27">
        <v>0</v>
      </c>
    </row>
    <row r="9258" spans="1:5" hidden="1" outlineLevel="2">
      <c r="A9258" s="3" t="e">
        <f>(HYPERLINK("http://www.autodoc.ru/Web/price/art/8394AGAGNHMZ1B?analog=on","8394AGAGNHMZ1B"))*1</f>
        <v>#VALUE!</v>
      </c>
      <c r="B9258" s="1">
        <v>6965494</v>
      </c>
      <c r="C9258" t="s">
        <v>211</v>
      </c>
      <c r="D9258" t="s">
        <v>9437</v>
      </c>
      <c r="E9258" t="s">
        <v>8</v>
      </c>
    </row>
    <row r="9259" spans="1:5" hidden="1" outlineLevel="2">
      <c r="A9259" s="3" t="e">
        <f>(HYPERLINK("http://www.autodoc.ru/Web/price/art/8394AGNGNHMZ1B?analog=on","8394AGNGNHMZ1B"))*1</f>
        <v>#VALUE!</v>
      </c>
      <c r="B9259" s="1">
        <v>6965600</v>
      </c>
      <c r="C9259" t="s">
        <v>211</v>
      </c>
      <c r="D9259" t="s">
        <v>9438</v>
      </c>
      <c r="E9259" t="s">
        <v>8</v>
      </c>
    </row>
    <row r="9260" spans="1:5" hidden="1" outlineLevel="2">
      <c r="A9260" s="3" t="e">
        <f>(HYPERLINK("http://www.autodoc.ru/Web/price/art/8394AGAGNVZ?analog=on","8394AGAGNVZ"))*1</f>
        <v>#VALUE!</v>
      </c>
      <c r="B9260" s="1">
        <v>6965511</v>
      </c>
      <c r="C9260" t="s">
        <v>211</v>
      </c>
      <c r="D9260" t="s">
        <v>9439</v>
      </c>
      <c r="E9260" t="s">
        <v>8</v>
      </c>
    </row>
    <row r="9261" spans="1:5" hidden="1" outlineLevel="2">
      <c r="A9261" s="3" t="e">
        <f>(HYPERLINK("http://www.autodoc.ru/Web/price/art/8394AGNGNVZ?analog=on","8394AGNGNVZ"))*1</f>
        <v>#VALUE!</v>
      </c>
      <c r="B9261" s="1">
        <v>6965599</v>
      </c>
      <c r="C9261" t="s">
        <v>211</v>
      </c>
      <c r="D9261" t="s">
        <v>9439</v>
      </c>
      <c r="E9261" t="s">
        <v>8</v>
      </c>
    </row>
    <row r="9262" spans="1:5" hidden="1" outlineLevel="2">
      <c r="A9262" s="3" t="e">
        <f>(HYPERLINK("http://www.autodoc.ru/Web/price/art/8394AGAGNHZ?analog=on","8394AGAGNHZ"))*1</f>
        <v>#VALUE!</v>
      </c>
      <c r="B9262" s="1">
        <v>6965613</v>
      </c>
      <c r="C9262" t="s">
        <v>211</v>
      </c>
      <c r="D9262" t="s">
        <v>9440</v>
      </c>
      <c r="E9262" t="s">
        <v>8</v>
      </c>
    </row>
    <row r="9263" spans="1:5" hidden="1" outlineLevel="1">
      <c r="A9263" s="2">
        <v>0</v>
      </c>
      <c r="B9263" s="26" t="s">
        <v>9441</v>
      </c>
      <c r="C9263" s="27">
        <v>0</v>
      </c>
      <c r="D9263" s="27">
        <v>0</v>
      </c>
      <c r="E9263" s="27">
        <v>0</v>
      </c>
    </row>
    <row r="9264" spans="1:5" hidden="1" outlineLevel="2">
      <c r="A9264" s="3" t="e">
        <f>(HYPERLINK("http://www.autodoc.ru/Web/price/art/8240ACL?analog=on","8240ACL"))*1</f>
        <v>#VALUE!</v>
      </c>
      <c r="B9264" s="1">
        <v>6963673</v>
      </c>
      <c r="C9264" t="s">
        <v>4590</v>
      </c>
      <c r="D9264" t="s">
        <v>9442</v>
      </c>
      <c r="E9264" t="s">
        <v>8</v>
      </c>
    </row>
    <row r="9265" spans="1:5" hidden="1" outlineLevel="1">
      <c r="A9265" s="2">
        <v>0</v>
      </c>
      <c r="B9265" s="26" t="s">
        <v>9443</v>
      </c>
      <c r="C9265" s="27">
        <v>0</v>
      </c>
      <c r="D9265" s="27">
        <v>0</v>
      </c>
      <c r="E9265" s="27">
        <v>0</v>
      </c>
    </row>
    <row r="9266" spans="1:5" hidden="1" outlineLevel="2">
      <c r="A9266" s="3" t="e">
        <f>(HYPERLINK("http://www.autodoc.ru/Web/price/art/8256ABL?analog=on","8256ABL"))*1</f>
        <v>#VALUE!</v>
      </c>
      <c r="B9266" s="1">
        <v>6960908</v>
      </c>
      <c r="C9266" t="s">
        <v>25</v>
      </c>
      <c r="D9266" t="s">
        <v>9444</v>
      </c>
      <c r="E9266" t="s">
        <v>8</v>
      </c>
    </row>
    <row r="9267" spans="1:5" hidden="1" outlineLevel="2">
      <c r="A9267" s="3" t="e">
        <f>(HYPERLINK("http://www.autodoc.ru/Web/price/art/8256ACL?analog=on","8256ACL"))*1</f>
        <v>#VALUE!</v>
      </c>
      <c r="B9267" s="1">
        <v>6963518</v>
      </c>
      <c r="C9267" t="s">
        <v>25</v>
      </c>
      <c r="D9267" t="s">
        <v>9445</v>
      </c>
      <c r="E9267" t="s">
        <v>8</v>
      </c>
    </row>
    <row r="9268" spans="1:5" hidden="1" outlineLevel="1">
      <c r="A9268" s="2">
        <v>0</v>
      </c>
      <c r="B9268" s="26" t="s">
        <v>9446</v>
      </c>
      <c r="C9268" s="27">
        <v>0</v>
      </c>
      <c r="D9268" s="27">
        <v>0</v>
      </c>
      <c r="E9268" s="27">
        <v>0</v>
      </c>
    </row>
    <row r="9269" spans="1:5" hidden="1" outlineLevel="2">
      <c r="A9269" s="3" t="e">
        <f>(HYPERLINK("http://www.autodoc.ru/Web/price/art/8279ACL?analog=on","8279ACL"))*1</f>
        <v>#VALUE!</v>
      </c>
      <c r="B9269" s="1">
        <v>6963589</v>
      </c>
      <c r="C9269" t="s">
        <v>5602</v>
      </c>
      <c r="D9269" t="s">
        <v>9447</v>
      </c>
      <c r="E9269" t="s">
        <v>8</v>
      </c>
    </row>
    <row r="9270" spans="1:5" hidden="1" outlineLevel="1">
      <c r="A9270" s="2">
        <v>0</v>
      </c>
      <c r="B9270" s="26" t="s">
        <v>9448</v>
      </c>
      <c r="C9270" s="27">
        <v>0</v>
      </c>
      <c r="D9270" s="27">
        <v>0</v>
      </c>
      <c r="E9270" s="27">
        <v>0</v>
      </c>
    </row>
    <row r="9271" spans="1:5" hidden="1" outlineLevel="2">
      <c r="A9271" s="3" t="e">
        <f>(HYPERLINK("http://www.autodoc.ru/Web/price/art/8314LBLV4FDW?analog=on","8314LBLV4FDW"))*1</f>
        <v>#VALUE!</v>
      </c>
      <c r="B9271" s="1">
        <v>6190561</v>
      </c>
      <c r="C9271" t="s">
        <v>19</v>
      </c>
      <c r="D9271" t="s">
        <v>9449</v>
      </c>
      <c r="E9271" t="s">
        <v>10</v>
      </c>
    </row>
    <row r="9272" spans="1:5" hidden="1" outlineLevel="2">
      <c r="A9272" s="3" t="e">
        <f>(HYPERLINK("http://www.autodoc.ru/Web/price/art/8314RBLV4FDW?analog=on","8314RBLV4FDW"))*1</f>
        <v>#VALUE!</v>
      </c>
      <c r="B9272" s="1">
        <v>6190562</v>
      </c>
      <c r="C9272" t="s">
        <v>19</v>
      </c>
      <c r="D9272" t="s">
        <v>9450</v>
      </c>
      <c r="E9272" t="s">
        <v>10</v>
      </c>
    </row>
    <row r="9273" spans="1:5" hidden="1" outlineLevel="1">
      <c r="A9273" s="2">
        <v>0</v>
      </c>
      <c r="B9273" s="26" t="s">
        <v>9451</v>
      </c>
      <c r="C9273" s="27">
        <v>0</v>
      </c>
      <c r="D9273" s="27">
        <v>0</v>
      </c>
      <c r="E9273" s="27">
        <v>0</v>
      </c>
    </row>
    <row r="9274" spans="1:5" hidden="1" outlineLevel="2">
      <c r="A9274" s="3" t="e">
        <f>(HYPERLINK("http://www.autodoc.ru/Web/price/art/2302AGN?analog=on","2302AGN"))*1</f>
        <v>#VALUE!</v>
      </c>
      <c r="B9274" s="1">
        <v>6963028</v>
      </c>
      <c r="C9274" t="s">
        <v>782</v>
      </c>
      <c r="D9274" t="s">
        <v>9452</v>
      </c>
      <c r="E9274" t="s">
        <v>8</v>
      </c>
    </row>
    <row r="9275" spans="1:5" hidden="1" outlineLevel="1">
      <c r="A9275" s="2">
        <v>0</v>
      </c>
      <c r="B9275" s="26" t="s">
        <v>9453</v>
      </c>
      <c r="C9275" s="27">
        <v>0</v>
      </c>
      <c r="D9275" s="27">
        <v>0</v>
      </c>
      <c r="E9275" s="27">
        <v>0</v>
      </c>
    </row>
    <row r="9276" spans="1:5" hidden="1" outlineLevel="2">
      <c r="A9276" s="3" t="e">
        <f>(HYPERLINK("http://www.autodoc.ru/Web/price/art/8254ABL?analog=on","8254ABL"))*1</f>
        <v>#VALUE!</v>
      </c>
      <c r="B9276" s="1">
        <v>6963676</v>
      </c>
      <c r="C9276" t="s">
        <v>3431</v>
      </c>
      <c r="D9276" t="s">
        <v>9454</v>
      </c>
      <c r="E9276" t="s">
        <v>8</v>
      </c>
    </row>
    <row r="9277" spans="1:5" hidden="1" outlineLevel="1">
      <c r="A9277" s="2">
        <v>0</v>
      </c>
      <c r="B9277" s="26" t="s">
        <v>9455</v>
      </c>
      <c r="C9277" s="27">
        <v>0</v>
      </c>
      <c r="D9277" s="27">
        <v>0</v>
      </c>
      <c r="E9277" s="27">
        <v>0</v>
      </c>
    </row>
    <row r="9278" spans="1:5" hidden="1" outlineLevel="2">
      <c r="A9278" s="3" t="e">
        <f>(HYPERLINK("http://www.autodoc.ru/Web/price/art/8272ABL?analog=on","8272ABL"))*1</f>
        <v>#VALUE!</v>
      </c>
      <c r="B9278" s="1">
        <v>6963769</v>
      </c>
      <c r="C9278" t="s">
        <v>9456</v>
      </c>
      <c r="D9278" t="s">
        <v>9457</v>
      </c>
      <c r="E9278" t="s">
        <v>8</v>
      </c>
    </row>
    <row r="9279" spans="1:5" hidden="1" outlineLevel="2">
      <c r="A9279" s="3" t="e">
        <f>(HYPERLINK("http://www.autodoc.ru/Web/price/art/8272ASMC?analog=on","8272ASMC"))*1</f>
        <v>#VALUE!</v>
      </c>
      <c r="B9279" s="1">
        <v>6101001</v>
      </c>
      <c r="C9279" t="s">
        <v>19</v>
      </c>
      <c r="D9279" t="s">
        <v>9458</v>
      </c>
      <c r="E9279" t="s">
        <v>21</v>
      </c>
    </row>
    <row r="9280" spans="1:5" hidden="1" outlineLevel="1">
      <c r="A9280" s="2">
        <v>0</v>
      </c>
      <c r="B9280" s="26" t="s">
        <v>9459</v>
      </c>
      <c r="C9280" s="27">
        <v>0</v>
      </c>
      <c r="D9280" s="27">
        <v>0</v>
      </c>
      <c r="E9280" s="27">
        <v>0</v>
      </c>
    </row>
    <row r="9281" spans="1:5" hidden="1" outlineLevel="2">
      <c r="A9281" s="3" t="e">
        <f>(HYPERLINK("http://www.autodoc.ru/Web/price/art/8297ALG?analog=on","8297ALG"))*1</f>
        <v>#VALUE!</v>
      </c>
      <c r="B9281" s="1">
        <v>6963427</v>
      </c>
      <c r="C9281" t="s">
        <v>1495</v>
      </c>
      <c r="D9281" t="s">
        <v>9460</v>
      </c>
      <c r="E9281" t="s">
        <v>8</v>
      </c>
    </row>
    <row r="9282" spans="1:5" hidden="1" outlineLevel="2">
      <c r="A9282" s="3" t="e">
        <f>(HYPERLINK("http://www.autodoc.ru/Web/price/art/8297ALGBL?analog=on","8297ALGBL"))*1</f>
        <v>#VALUE!</v>
      </c>
      <c r="B9282" s="1">
        <v>6950253</v>
      </c>
      <c r="C9282" t="s">
        <v>1495</v>
      </c>
      <c r="D9282" t="s">
        <v>9461</v>
      </c>
      <c r="E9282" t="s">
        <v>8</v>
      </c>
    </row>
    <row r="9283" spans="1:5" hidden="1" outlineLevel="2">
      <c r="A9283" s="3" t="e">
        <f>(HYPERLINK("http://www.autodoc.ru/Web/price/art/8297LLGC2FDW?analog=on","8297LLGC2FDW"))*1</f>
        <v>#VALUE!</v>
      </c>
      <c r="B9283" s="1">
        <v>6900008</v>
      </c>
      <c r="C9283" t="s">
        <v>1495</v>
      </c>
      <c r="D9283" t="s">
        <v>9462</v>
      </c>
      <c r="E9283" t="s">
        <v>10</v>
      </c>
    </row>
    <row r="9284" spans="1:5" hidden="1" outlineLevel="1">
      <c r="A9284" s="2">
        <v>0</v>
      </c>
      <c r="B9284" s="26" t="s">
        <v>9463</v>
      </c>
      <c r="C9284" s="27">
        <v>0</v>
      </c>
      <c r="D9284" s="27">
        <v>0</v>
      </c>
      <c r="E9284" s="27">
        <v>0</v>
      </c>
    </row>
    <row r="9285" spans="1:5" hidden="1" outlineLevel="2">
      <c r="A9285" s="3" t="e">
        <f>(HYPERLINK("http://www.autodoc.ru/Web/price/art/8303ALG?analog=on","8303ALG"))*1</f>
        <v>#VALUE!</v>
      </c>
      <c r="B9285" s="1">
        <v>6963432</v>
      </c>
      <c r="C9285" t="s">
        <v>1173</v>
      </c>
      <c r="D9285" t="s">
        <v>9464</v>
      </c>
      <c r="E9285" t="s">
        <v>8</v>
      </c>
    </row>
    <row r="9286" spans="1:5" hidden="1" outlineLevel="2">
      <c r="A9286" s="3" t="e">
        <f>(HYPERLINK("http://www.autodoc.ru/Web/price/art/8303ALGBL?analog=on","8303ALGBL"))*1</f>
        <v>#VALUE!</v>
      </c>
      <c r="B9286" s="1">
        <v>6961021</v>
      </c>
      <c r="C9286" t="s">
        <v>1173</v>
      </c>
      <c r="D9286" t="s">
        <v>9465</v>
      </c>
      <c r="E9286" t="s">
        <v>8</v>
      </c>
    </row>
    <row r="9287" spans="1:5" hidden="1" outlineLevel="2">
      <c r="A9287" s="3" t="e">
        <f>(HYPERLINK("http://www.autodoc.ru/Web/price/art/8303ASMV?analog=on","8303ASMV"))*1</f>
        <v>#VALUE!</v>
      </c>
      <c r="B9287" s="1">
        <v>6100227</v>
      </c>
      <c r="C9287" t="s">
        <v>19</v>
      </c>
      <c r="D9287" t="s">
        <v>9466</v>
      </c>
      <c r="E9287" t="s">
        <v>21</v>
      </c>
    </row>
    <row r="9288" spans="1:5" hidden="1" outlineLevel="1">
      <c r="A9288" s="2">
        <v>0</v>
      </c>
      <c r="B9288" s="26" t="s">
        <v>9467</v>
      </c>
      <c r="C9288" s="27">
        <v>0</v>
      </c>
      <c r="D9288" s="27">
        <v>0</v>
      </c>
      <c r="E9288" s="27">
        <v>0</v>
      </c>
    </row>
    <row r="9289" spans="1:5" hidden="1" outlineLevel="2">
      <c r="A9289" s="3" t="e">
        <f>(HYPERLINK("http://www.autodoc.ru/Web/price/art/8312AGN?analog=on","8312AGN"))*1</f>
        <v>#VALUE!</v>
      </c>
      <c r="B9289" s="1">
        <v>6961158</v>
      </c>
      <c r="C9289" t="s">
        <v>3984</v>
      </c>
      <c r="D9289" t="s">
        <v>9468</v>
      </c>
      <c r="E9289" t="s">
        <v>8</v>
      </c>
    </row>
    <row r="9290" spans="1:5" hidden="1" outlineLevel="2">
      <c r="A9290" s="3" t="e">
        <f>(HYPERLINK("http://www.autodoc.ru/Web/price/art/8312ASMVT?analog=on","8312ASMVT"))*1</f>
        <v>#VALUE!</v>
      </c>
      <c r="B9290" s="1">
        <v>6101478</v>
      </c>
      <c r="C9290" t="s">
        <v>19</v>
      </c>
      <c r="D9290" t="s">
        <v>9469</v>
      </c>
      <c r="E9290" t="s">
        <v>21</v>
      </c>
    </row>
    <row r="9291" spans="1:5" hidden="1" outlineLevel="2">
      <c r="A9291" s="3" t="e">
        <f>(HYPERLINK("http://www.autodoc.ru/Web/price/art/8312LGNV5RDW?analog=on","8312LGNV5RDW"))*1</f>
        <v>#VALUE!</v>
      </c>
      <c r="B9291" s="1">
        <v>6900198</v>
      </c>
      <c r="C9291" t="s">
        <v>3984</v>
      </c>
      <c r="D9291" t="s">
        <v>9470</v>
      </c>
      <c r="E9291" t="s">
        <v>10</v>
      </c>
    </row>
    <row r="9292" spans="1:5" hidden="1" outlineLevel="2">
      <c r="A9292" s="3" t="e">
        <f>(HYPERLINK("http://www.autodoc.ru/Web/price/art/8312RGNV5FDW?analog=on","8312RGNV5FDW"))*1</f>
        <v>#VALUE!</v>
      </c>
      <c r="B9292" s="1">
        <v>6900096</v>
      </c>
      <c r="C9292" t="s">
        <v>3984</v>
      </c>
      <c r="D9292" t="s">
        <v>9471</v>
      </c>
      <c r="E9292" t="s">
        <v>10</v>
      </c>
    </row>
    <row r="9293" spans="1:5" hidden="1" outlineLevel="2">
      <c r="A9293" s="3" t="e">
        <f>(HYPERLINK("http://www.autodoc.ru/Web/price/art/8312RGNV5RDW?analog=on","8312RGNV5RDW"))*1</f>
        <v>#VALUE!</v>
      </c>
      <c r="B9293" s="1">
        <v>6900283</v>
      </c>
      <c r="C9293" t="s">
        <v>3984</v>
      </c>
      <c r="D9293" t="s">
        <v>9472</v>
      </c>
      <c r="E9293" t="s">
        <v>10</v>
      </c>
    </row>
    <row r="9294" spans="1:5" hidden="1" outlineLevel="1">
      <c r="A9294" s="2">
        <v>0</v>
      </c>
      <c r="B9294" s="26" t="s">
        <v>9473</v>
      </c>
      <c r="C9294" s="27">
        <v>0</v>
      </c>
      <c r="D9294" s="27">
        <v>0</v>
      </c>
      <c r="E9294" s="27">
        <v>0</v>
      </c>
    </row>
    <row r="9295" spans="1:5" hidden="1" outlineLevel="2">
      <c r="A9295" s="3" t="e">
        <f>(HYPERLINK("http://www.autodoc.ru/Web/price/art/8276ABL?analog=on","8276ABL"))*1</f>
        <v>#VALUE!</v>
      </c>
      <c r="B9295" s="1">
        <v>6963678</v>
      </c>
      <c r="C9295" t="s">
        <v>9474</v>
      </c>
      <c r="D9295" t="s">
        <v>9475</v>
      </c>
      <c r="E9295" t="s">
        <v>8</v>
      </c>
    </row>
    <row r="9296" spans="1:5" hidden="1" outlineLevel="2">
      <c r="A9296" s="3" t="e">
        <f>(HYPERLINK("http://www.autodoc.ru/Web/price/art/8276ABLBL?analog=on","8276ABLBL"))*1</f>
        <v>#VALUE!</v>
      </c>
      <c r="B9296" s="1">
        <v>6963679</v>
      </c>
      <c r="C9296" t="s">
        <v>9474</v>
      </c>
      <c r="D9296" t="s">
        <v>9476</v>
      </c>
      <c r="E9296" t="s">
        <v>8</v>
      </c>
    </row>
    <row r="9297" spans="1:5" hidden="1" outlineLevel="2">
      <c r="A9297" s="3" t="e">
        <f>(HYPERLINK("http://www.autodoc.ru/Web/price/art/8276ASMV?analog=on","8276ASMV"))*1</f>
        <v>#VALUE!</v>
      </c>
      <c r="B9297" s="1">
        <v>6100347</v>
      </c>
      <c r="C9297" t="s">
        <v>19</v>
      </c>
      <c r="D9297" t="s">
        <v>9477</v>
      </c>
      <c r="E9297" t="s">
        <v>21</v>
      </c>
    </row>
    <row r="9298" spans="1:5" hidden="1" outlineLevel="2">
      <c r="A9298" s="3" t="e">
        <f>(HYPERLINK("http://www.autodoc.ru/Web/price/art/8276BBLV?analog=on","8276BBLV"))*1</f>
        <v>#VALUE!</v>
      </c>
      <c r="B9298" s="1">
        <v>6998980</v>
      </c>
      <c r="C9298" t="s">
        <v>9474</v>
      </c>
      <c r="D9298" t="s">
        <v>9478</v>
      </c>
      <c r="E9298" t="s">
        <v>23</v>
      </c>
    </row>
    <row r="9299" spans="1:5" hidden="1" outlineLevel="2">
      <c r="A9299" s="3" t="e">
        <f>(HYPERLINK("http://www.autodoc.ru/Web/price/art/8276LBLV4FDW?analog=on","8276LBLV4FDW"))*1</f>
        <v>#VALUE!</v>
      </c>
      <c r="B9299" s="1">
        <v>6995859</v>
      </c>
      <c r="C9299" t="s">
        <v>9474</v>
      </c>
      <c r="D9299" t="s">
        <v>9479</v>
      </c>
      <c r="E9299" t="s">
        <v>10</v>
      </c>
    </row>
    <row r="9300" spans="1:5" hidden="1" outlineLevel="2">
      <c r="A9300" s="3" t="e">
        <f>(HYPERLINK("http://www.autodoc.ru/Web/price/art/8276RBLV4FDW?analog=on","8276RBLV4FDW"))*1</f>
        <v>#VALUE!</v>
      </c>
      <c r="B9300" s="1">
        <v>6995861</v>
      </c>
      <c r="C9300" t="s">
        <v>9474</v>
      </c>
      <c r="D9300" t="s">
        <v>9480</v>
      </c>
      <c r="E9300" t="s">
        <v>10</v>
      </c>
    </row>
    <row r="9301" spans="1:5" hidden="1" outlineLevel="1">
      <c r="A9301" s="2">
        <v>0</v>
      </c>
      <c r="B9301" s="26" t="s">
        <v>9481</v>
      </c>
      <c r="C9301" s="27">
        <v>0</v>
      </c>
      <c r="D9301" s="27">
        <v>0</v>
      </c>
      <c r="E9301" s="27">
        <v>0</v>
      </c>
    </row>
    <row r="9302" spans="1:5" hidden="1" outlineLevel="2">
      <c r="A9302" s="3" t="e">
        <f>(HYPERLINK("http://www.autodoc.ru/Web/price/art/8324AGN?analog=on","8324AGN"))*1</f>
        <v>#VALUE!</v>
      </c>
      <c r="B9302" s="1">
        <v>6960983</v>
      </c>
      <c r="C9302" t="s">
        <v>5213</v>
      </c>
      <c r="D9302" t="s">
        <v>9482</v>
      </c>
      <c r="E9302" t="s">
        <v>8</v>
      </c>
    </row>
    <row r="9303" spans="1:5" hidden="1" outlineLevel="2">
      <c r="A9303" s="3" t="e">
        <f>(HYPERLINK("http://www.autodoc.ru/Web/price/art/8324ASMH?analog=on","8324ASMH"))*1</f>
        <v>#VALUE!</v>
      </c>
      <c r="B9303" s="1">
        <v>6102093</v>
      </c>
      <c r="C9303" t="s">
        <v>19</v>
      </c>
      <c r="D9303" t="s">
        <v>9483</v>
      </c>
      <c r="E9303" t="s">
        <v>21</v>
      </c>
    </row>
    <row r="9304" spans="1:5" hidden="1" outlineLevel="1">
      <c r="A9304" s="2">
        <v>0</v>
      </c>
      <c r="B9304" s="26" t="s">
        <v>9484</v>
      </c>
      <c r="C9304" s="27">
        <v>0</v>
      </c>
      <c r="D9304" s="27">
        <v>0</v>
      </c>
      <c r="E9304" s="27">
        <v>0</v>
      </c>
    </row>
    <row r="9305" spans="1:5" hidden="1" outlineLevel="2">
      <c r="A9305" s="3" t="e">
        <f>(HYPERLINK("http://www.autodoc.ru/Web/price/art/8355AGN?analog=on","8355AGN"))*1</f>
        <v>#VALUE!</v>
      </c>
      <c r="B9305" s="1">
        <v>6961129</v>
      </c>
      <c r="C9305" t="s">
        <v>1309</v>
      </c>
      <c r="D9305" t="s">
        <v>9485</v>
      </c>
      <c r="E9305" t="s">
        <v>8</v>
      </c>
    </row>
    <row r="9306" spans="1:5" hidden="1" outlineLevel="2">
      <c r="A9306" s="3" t="e">
        <f>(HYPERLINK("http://www.autodoc.ru/Web/price/art/8355ASMH?analog=on","8355ASMH"))*1</f>
        <v>#VALUE!</v>
      </c>
      <c r="B9306" s="1">
        <v>6101479</v>
      </c>
      <c r="C9306" t="s">
        <v>19</v>
      </c>
      <c r="D9306" t="s">
        <v>9486</v>
      </c>
      <c r="E9306" t="s">
        <v>21</v>
      </c>
    </row>
    <row r="9307" spans="1:5" hidden="1" outlineLevel="1">
      <c r="A9307" s="2">
        <v>0</v>
      </c>
      <c r="B9307" s="26" t="s">
        <v>9487</v>
      </c>
      <c r="C9307" s="27">
        <v>0</v>
      </c>
      <c r="D9307" s="27">
        <v>0</v>
      </c>
      <c r="E9307" s="27">
        <v>0</v>
      </c>
    </row>
    <row r="9308" spans="1:5" hidden="1" outlineLevel="2">
      <c r="A9308" s="3" t="e">
        <f>(HYPERLINK("http://www.autodoc.ru/Web/price/art/8271ABL?analog=on","8271ABL"))*1</f>
        <v>#VALUE!</v>
      </c>
      <c r="B9308" s="1">
        <v>6964420</v>
      </c>
      <c r="C9308" t="s">
        <v>6212</v>
      </c>
      <c r="D9308" t="s">
        <v>9488</v>
      </c>
      <c r="E9308" t="s">
        <v>8</v>
      </c>
    </row>
    <row r="9309" spans="1:5" hidden="1" outlineLevel="2">
      <c r="A9309" s="3" t="e">
        <f>(HYPERLINK("http://www.autodoc.ru/Web/price/art/8271ABLBL?analog=on","8271ABLBL"))*1</f>
        <v>#VALUE!</v>
      </c>
      <c r="B9309" s="1">
        <v>6963588</v>
      </c>
      <c r="C9309" t="s">
        <v>6212</v>
      </c>
      <c r="D9309" t="s">
        <v>9489</v>
      </c>
      <c r="E9309" t="s">
        <v>8</v>
      </c>
    </row>
    <row r="9310" spans="1:5" hidden="1" outlineLevel="2">
      <c r="A9310" s="3" t="e">
        <f>(HYPERLINK("http://www.autodoc.ru/Web/price/art/8271AKCR?analog=on","8271AKCR"))*1</f>
        <v>#VALUE!</v>
      </c>
      <c r="B9310" s="1">
        <v>6101813</v>
      </c>
      <c r="C9310" t="s">
        <v>19</v>
      </c>
      <c r="D9310" t="s">
        <v>9490</v>
      </c>
      <c r="E9310" t="s">
        <v>21</v>
      </c>
    </row>
    <row r="9311" spans="1:5" hidden="1" outlineLevel="2">
      <c r="A9311" s="3" t="e">
        <f>(HYPERLINK("http://www.autodoc.ru/Web/price/art/8271ASMRT?analog=on","8271ASMRT"))*1</f>
        <v>#VALUE!</v>
      </c>
      <c r="B9311" s="1">
        <v>6101071</v>
      </c>
      <c r="C9311" t="s">
        <v>19</v>
      </c>
      <c r="D9311" t="s">
        <v>9491</v>
      </c>
      <c r="E9311" t="s">
        <v>21</v>
      </c>
    </row>
    <row r="9312" spans="1:5" hidden="1" outlineLevel="2">
      <c r="A9312" s="3" t="e">
        <f>(HYPERLINK("http://www.autodoc.ru/Web/price/art/8271ASMRTC?analog=on","8271ASMRTC"))*1</f>
        <v>#VALUE!</v>
      </c>
      <c r="B9312" s="1">
        <v>6101814</v>
      </c>
      <c r="C9312" t="s">
        <v>19</v>
      </c>
      <c r="D9312" t="s">
        <v>9492</v>
      </c>
      <c r="E9312" t="s">
        <v>21</v>
      </c>
    </row>
    <row r="9313" spans="1:5" hidden="1" outlineLevel="2">
      <c r="A9313" s="3" t="e">
        <f>(HYPERLINK("http://www.autodoc.ru/Web/price/art/8271LBLR5FD?analog=on","8271LBLR5FD"))*1</f>
        <v>#VALUE!</v>
      </c>
      <c r="B9313" s="1">
        <v>6999075</v>
      </c>
      <c r="C9313" t="s">
        <v>6212</v>
      </c>
      <c r="D9313" t="s">
        <v>9493</v>
      </c>
      <c r="E9313" t="s">
        <v>10</v>
      </c>
    </row>
    <row r="9314" spans="1:5" hidden="1" outlineLevel="1">
      <c r="A9314" s="2">
        <v>0</v>
      </c>
      <c r="B9314" s="26" t="s">
        <v>9494</v>
      </c>
      <c r="C9314" s="27">
        <v>0</v>
      </c>
      <c r="D9314" s="27">
        <v>0</v>
      </c>
      <c r="E9314" s="27">
        <v>0</v>
      </c>
    </row>
    <row r="9315" spans="1:5" hidden="1" outlineLevel="2">
      <c r="A9315" s="3" t="e">
        <f>(HYPERLINK("http://www.autodoc.ru/Web/price/art/8287ABL?analog=on","8287ABL"))*1</f>
        <v>#VALUE!</v>
      </c>
      <c r="B9315" s="1">
        <v>6963424</v>
      </c>
      <c r="C9315" t="s">
        <v>1491</v>
      </c>
      <c r="D9315" t="s">
        <v>9495</v>
      </c>
      <c r="E9315" t="s">
        <v>8</v>
      </c>
    </row>
    <row r="9316" spans="1:5" hidden="1" outlineLevel="2">
      <c r="A9316" s="3" t="e">
        <f>(HYPERLINK("http://www.autodoc.ru/Web/price/art/8287ALG?analog=on","8287ALG"))*1</f>
        <v>#VALUE!</v>
      </c>
      <c r="B9316" s="1">
        <v>6969418</v>
      </c>
      <c r="C9316" t="s">
        <v>1491</v>
      </c>
      <c r="D9316" t="s">
        <v>9496</v>
      </c>
      <c r="E9316" t="s">
        <v>8</v>
      </c>
    </row>
    <row r="9317" spans="1:5" hidden="1" outlineLevel="2">
      <c r="A9317" s="3" t="e">
        <f>(HYPERLINK("http://www.autodoc.ru/Web/price/art/8287ALGBL?analog=on","8287ALGBL"))*1</f>
        <v>#VALUE!</v>
      </c>
      <c r="B9317" s="1">
        <v>6964288</v>
      </c>
      <c r="C9317" t="s">
        <v>1491</v>
      </c>
      <c r="D9317" t="s">
        <v>9497</v>
      </c>
      <c r="E9317" t="s">
        <v>8</v>
      </c>
    </row>
    <row r="9318" spans="1:5" hidden="1" outlineLevel="2">
      <c r="A9318" s="3" t="e">
        <f>(HYPERLINK("http://www.autodoc.ru/Web/price/art/8287ALGGN?analog=on","8287ALGGN"))*1</f>
        <v>#VALUE!</v>
      </c>
      <c r="B9318" s="1">
        <v>6963919</v>
      </c>
      <c r="C9318" t="s">
        <v>1491</v>
      </c>
      <c r="D9318" t="s">
        <v>9498</v>
      </c>
      <c r="E9318" t="s">
        <v>8</v>
      </c>
    </row>
    <row r="9319" spans="1:5" hidden="1" outlineLevel="2">
      <c r="A9319" s="3" t="e">
        <f>(HYPERLINK("http://www.autodoc.ru/Web/price/art/8287ASMR?analog=on","8287ASMR"))*1</f>
        <v>#VALUE!</v>
      </c>
      <c r="B9319" s="1">
        <v>6100314</v>
      </c>
      <c r="C9319" t="s">
        <v>19</v>
      </c>
      <c r="D9319" t="s">
        <v>9499</v>
      </c>
      <c r="E9319" t="s">
        <v>21</v>
      </c>
    </row>
    <row r="9320" spans="1:5" hidden="1" outlineLevel="2">
      <c r="A9320" s="3" t="e">
        <f>(HYPERLINK("http://www.autodoc.ru/Web/price/art/8287ASMR1H?analog=on","8287ASMR1H"))*1</f>
        <v>#VALUE!</v>
      </c>
      <c r="B9320" s="1">
        <v>6102167</v>
      </c>
      <c r="C9320" t="s">
        <v>19</v>
      </c>
      <c r="D9320" t="s">
        <v>9500</v>
      </c>
      <c r="E9320" t="s">
        <v>21</v>
      </c>
    </row>
    <row r="9321" spans="1:5" hidden="1" outlineLevel="2">
      <c r="A9321" s="3" t="e">
        <f>(HYPERLINK("http://www.autodoc.ru/Web/price/art/8287BLGR?analog=on","8287BLGR"))*1</f>
        <v>#VALUE!</v>
      </c>
      <c r="B9321" s="1">
        <v>6999923</v>
      </c>
      <c r="C9321" t="s">
        <v>1491</v>
      </c>
      <c r="D9321" t="s">
        <v>9501</v>
      </c>
      <c r="E9321" t="s">
        <v>23</v>
      </c>
    </row>
    <row r="9322" spans="1:5" hidden="1" outlineLevel="2">
      <c r="A9322" s="3" t="e">
        <f>(HYPERLINK("http://www.autodoc.ru/Web/price/art/8287LLGR3FDW?analog=on","8287LLGR3FDW"))*1</f>
        <v>#VALUE!</v>
      </c>
      <c r="B9322" s="1">
        <v>6992516</v>
      </c>
      <c r="C9322" t="s">
        <v>1491</v>
      </c>
      <c r="D9322" t="s">
        <v>9502</v>
      </c>
      <c r="E9322" t="s">
        <v>10</v>
      </c>
    </row>
    <row r="9323" spans="1:5" hidden="1" outlineLevel="2">
      <c r="A9323" s="3" t="e">
        <f>(HYPERLINK("http://www.autodoc.ru/Web/price/art/8287LLGR5FDW?analog=on","8287LLGR5FDW"))*1</f>
        <v>#VALUE!</v>
      </c>
      <c r="B9323" s="1">
        <v>6900009</v>
      </c>
      <c r="C9323" t="s">
        <v>1491</v>
      </c>
      <c r="D9323" t="s">
        <v>9503</v>
      </c>
      <c r="E9323" t="s">
        <v>10</v>
      </c>
    </row>
    <row r="9324" spans="1:5" hidden="1" outlineLevel="2">
      <c r="A9324" s="3" t="e">
        <f>(HYPERLINK("http://www.autodoc.ru/Web/price/art/8287LLGR5RD?analog=on","8287LLGR5RD"))*1</f>
        <v>#VALUE!</v>
      </c>
      <c r="B9324" s="1">
        <v>6900199</v>
      </c>
      <c r="C9324" t="s">
        <v>1491</v>
      </c>
      <c r="D9324" t="s">
        <v>9504</v>
      </c>
      <c r="E9324" t="s">
        <v>10</v>
      </c>
    </row>
    <row r="9325" spans="1:5" hidden="1" outlineLevel="2">
      <c r="A9325" s="3" t="e">
        <f>(HYPERLINK("http://www.autodoc.ru/Web/price/art/8287LLGR5RV?analog=on","8287LLGR5RV"))*1</f>
        <v>#VALUE!</v>
      </c>
      <c r="B9325" s="1">
        <v>6980607</v>
      </c>
      <c r="C9325" t="s">
        <v>1491</v>
      </c>
      <c r="D9325" t="s">
        <v>9505</v>
      </c>
      <c r="E9325" t="s">
        <v>10</v>
      </c>
    </row>
    <row r="9326" spans="1:5" hidden="1" outlineLevel="2">
      <c r="A9326" s="3" t="e">
        <f>(HYPERLINK("http://www.autodoc.ru/Web/price/art/8287RLGR3FDW?analog=on","8287RLGR3FDW"))*1</f>
        <v>#VALUE!</v>
      </c>
      <c r="B9326" s="1">
        <v>6992517</v>
      </c>
      <c r="C9326" t="s">
        <v>1491</v>
      </c>
      <c r="D9326" t="s">
        <v>9506</v>
      </c>
      <c r="E9326" t="s">
        <v>10</v>
      </c>
    </row>
    <row r="9327" spans="1:5" hidden="1" outlineLevel="2">
      <c r="A9327" s="3" t="e">
        <f>(HYPERLINK("http://www.autodoc.ru/Web/price/art/8287RLGR5FDW?analog=on","8287RLGR5FDW"))*1</f>
        <v>#VALUE!</v>
      </c>
      <c r="B9327" s="1">
        <v>6900097</v>
      </c>
      <c r="C9327" t="s">
        <v>1491</v>
      </c>
      <c r="D9327" t="s">
        <v>9507</v>
      </c>
      <c r="E9327" t="s">
        <v>10</v>
      </c>
    </row>
    <row r="9328" spans="1:5" hidden="1" outlineLevel="2">
      <c r="A9328" s="3" t="e">
        <f>(HYPERLINK("http://www.autodoc.ru/Web/price/art/8287RLGR5RD?analog=on","8287RLGR5RD"))*1</f>
        <v>#VALUE!</v>
      </c>
      <c r="B9328" s="1">
        <v>6900284</v>
      </c>
      <c r="C9328" t="s">
        <v>1491</v>
      </c>
      <c r="D9328" t="s">
        <v>9508</v>
      </c>
      <c r="E9328" t="s">
        <v>10</v>
      </c>
    </row>
    <row r="9329" spans="1:5" hidden="1" outlineLevel="2">
      <c r="A9329" s="3" t="e">
        <f>(HYPERLINK("http://www.autodoc.ru/Web/price/art/8287RLGR5RV?analog=on","8287RLGR5RV"))*1</f>
        <v>#VALUE!</v>
      </c>
      <c r="B9329" s="1">
        <v>6980608</v>
      </c>
      <c r="C9329" t="s">
        <v>1491</v>
      </c>
      <c r="D9329" t="s">
        <v>9509</v>
      </c>
      <c r="E9329" t="s">
        <v>10</v>
      </c>
    </row>
    <row r="9330" spans="1:5" hidden="1" outlineLevel="1">
      <c r="A9330" s="2">
        <v>0</v>
      </c>
      <c r="B9330" s="26" t="s">
        <v>9510</v>
      </c>
      <c r="C9330" s="27">
        <v>0</v>
      </c>
      <c r="D9330" s="27">
        <v>0</v>
      </c>
      <c r="E9330" s="27">
        <v>0</v>
      </c>
    </row>
    <row r="9331" spans="1:5" hidden="1" outlineLevel="2">
      <c r="A9331" s="3" t="e">
        <f>(HYPERLINK("http://www.autodoc.ru/Web/price/art/8323AGN?analog=on","8323AGN"))*1</f>
        <v>#VALUE!</v>
      </c>
      <c r="B9331" s="1">
        <v>6960693</v>
      </c>
      <c r="C9331" t="s">
        <v>831</v>
      </c>
      <c r="D9331" t="s">
        <v>9511</v>
      </c>
      <c r="E9331" t="s">
        <v>8</v>
      </c>
    </row>
    <row r="9332" spans="1:5" hidden="1" outlineLevel="2">
      <c r="A9332" s="3" t="e">
        <f>(HYPERLINK("http://www.autodoc.ru/Web/price/art/8323AGN1B?analog=on","8323AGN1B"))*1</f>
        <v>#VALUE!</v>
      </c>
      <c r="B9332" s="1">
        <v>6961176</v>
      </c>
      <c r="C9332" t="s">
        <v>831</v>
      </c>
      <c r="D9332" t="s">
        <v>9512</v>
      </c>
      <c r="E9332" t="s">
        <v>8</v>
      </c>
    </row>
    <row r="9333" spans="1:5" hidden="1" outlineLevel="2">
      <c r="A9333" s="3" t="e">
        <f>(HYPERLINK("http://www.autodoc.ru/Web/price/art/8323AGNBL?analog=on","8323AGNBL"))*1</f>
        <v>#VALUE!</v>
      </c>
      <c r="B9333" s="1">
        <v>6964828</v>
      </c>
      <c r="C9333" t="s">
        <v>5213</v>
      </c>
      <c r="D9333" t="s">
        <v>9513</v>
      </c>
      <c r="E9333" t="s">
        <v>8</v>
      </c>
    </row>
    <row r="9334" spans="1:5" hidden="1" outlineLevel="2">
      <c r="A9334" s="3" t="e">
        <f>(HYPERLINK("http://www.autodoc.ru/Web/price/art/8323AGNBL1B?analog=on","8323AGNBL1B"))*1</f>
        <v>#VALUE!</v>
      </c>
      <c r="B9334" s="1">
        <v>6962057</v>
      </c>
      <c r="C9334" t="s">
        <v>831</v>
      </c>
      <c r="D9334" t="s">
        <v>9514</v>
      </c>
      <c r="E9334" t="s">
        <v>8</v>
      </c>
    </row>
    <row r="9335" spans="1:5" hidden="1" outlineLevel="2">
      <c r="A9335" s="3" t="e">
        <f>(HYPERLINK("http://www.autodoc.ru/Web/price/art/8323AGNGN?analog=on","8323AGNGN"))*1</f>
        <v>#VALUE!</v>
      </c>
      <c r="B9335" s="1">
        <v>6950146</v>
      </c>
      <c r="C9335" t="s">
        <v>831</v>
      </c>
      <c r="D9335" t="s">
        <v>9515</v>
      </c>
      <c r="E9335" t="s">
        <v>8</v>
      </c>
    </row>
    <row r="9336" spans="1:5" hidden="1" outlineLevel="2">
      <c r="A9336" s="3" t="e">
        <f>(HYPERLINK("http://www.autodoc.ru/Web/price/art/8323AGNGN1B?analog=on","8323AGNGN1B"))*1</f>
        <v>#VALUE!</v>
      </c>
      <c r="B9336" s="1">
        <v>6962715</v>
      </c>
      <c r="C9336" t="s">
        <v>831</v>
      </c>
      <c r="D9336" t="s">
        <v>9516</v>
      </c>
      <c r="E9336" t="s">
        <v>8</v>
      </c>
    </row>
    <row r="9337" spans="1:5" hidden="1" outlineLevel="2">
      <c r="A9337" s="3" t="e">
        <f>(HYPERLINK("http://www.autodoc.ru/Web/price/art/8323AGNV?analog=on","8323AGNV"))*1</f>
        <v>#VALUE!</v>
      </c>
      <c r="B9337" s="1">
        <v>6962959</v>
      </c>
      <c r="C9337" t="s">
        <v>831</v>
      </c>
      <c r="D9337" t="s">
        <v>9517</v>
      </c>
      <c r="E9337" t="s">
        <v>8</v>
      </c>
    </row>
    <row r="9338" spans="1:5" hidden="1" outlineLevel="2">
      <c r="A9338" s="3" t="e">
        <f>(HYPERLINK("http://www.autodoc.ru/Web/price/art/8323AGNV1P?analog=on","8323AGNV1P"))*1</f>
        <v>#VALUE!</v>
      </c>
      <c r="B9338" s="1">
        <v>6961177</v>
      </c>
      <c r="C9338" t="s">
        <v>879</v>
      </c>
      <c r="D9338" t="s">
        <v>9518</v>
      </c>
      <c r="E9338" t="s">
        <v>8</v>
      </c>
    </row>
    <row r="9339" spans="1:5" hidden="1" outlineLevel="2">
      <c r="A9339" s="3" t="e">
        <f>(HYPERLINK("http://www.autodoc.ru/Web/price/art/8323ASMRT?analog=on","8323ASMRT"))*1</f>
        <v>#VALUE!</v>
      </c>
      <c r="B9339" s="1">
        <v>6100621</v>
      </c>
      <c r="C9339" t="s">
        <v>19</v>
      </c>
      <c r="D9339" t="s">
        <v>9519</v>
      </c>
      <c r="E9339" t="s">
        <v>21</v>
      </c>
    </row>
    <row r="9340" spans="1:5" hidden="1" outlineLevel="2">
      <c r="A9340" s="3" t="e">
        <f>(HYPERLINK("http://www.autodoc.ru/Web/price/art/8323BGNRB?analog=on","8323BGNRB"))*1</f>
        <v>#VALUE!</v>
      </c>
      <c r="B9340" s="1">
        <v>6992783</v>
      </c>
      <c r="C9340" t="s">
        <v>831</v>
      </c>
      <c r="D9340" t="s">
        <v>9520</v>
      </c>
      <c r="E9340" t="s">
        <v>23</v>
      </c>
    </row>
    <row r="9341" spans="1:5" hidden="1" outlineLevel="2">
      <c r="A9341" s="3" t="e">
        <f>(HYPERLINK("http://www.autodoc.ru/Web/price/art/8323LGNR3FDW?analog=on","8323LGNR3FDW"))*1</f>
        <v>#VALUE!</v>
      </c>
      <c r="B9341" s="1">
        <v>6993157</v>
      </c>
      <c r="C9341" t="s">
        <v>831</v>
      </c>
      <c r="D9341" t="s">
        <v>9521</v>
      </c>
      <c r="E9341" t="s">
        <v>10</v>
      </c>
    </row>
    <row r="9342" spans="1:5" hidden="1" outlineLevel="2">
      <c r="A9342" s="3" t="e">
        <f>(HYPERLINK("http://www.autodoc.ru/Web/price/art/8323LGNR5FDW?analog=on","8323LGNR5FDW"))*1</f>
        <v>#VALUE!</v>
      </c>
      <c r="B9342" s="1">
        <v>6992784</v>
      </c>
      <c r="C9342" t="s">
        <v>831</v>
      </c>
      <c r="D9342" t="s">
        <v>9522</v>
      </c>
      <c r="E9342" t="s">
        <v>10</v>
      </c>
    </row>
    <row r="9343" spans="1:5" hidden="1" outlineLevel="2">
      <c r="A9343" s="3" t="e">
        <f>(HYPERLINK("http://www.autodoc.ru/Web/price/art/8323LGNR5RD?analog=on","8323LGNR5RD"))*1</f>
        <v>#VALUE!</v>
      </c>
      <c r="B9343" s="1">
        <v>6980157</v>
      </c>
      <c r="C9343" t="s">
        <v>831</v>
      </c>
      <c r="D9343" t="s">
        <v>9523</v>
      </c>
      <c r="E9343" t="s">
        <v>10</v>
      </c>
    </row>
    <row r="9344" spans="1:5" hidden="1" outlineLevel="2">
      <c r="A9344" s="3" t="e">
        <f>(HYPERLINK("http://www.autodoc.ru/Web/price/art/8323LGNR5RV?analog=on","8323LGNR5RV"))*1</f>
        <v>#VALUE!</v>
      </c>
      <c r="B9344" s="1">
        <v>6992622</v>
      </c>
      <c r="C9344" t="s">
        <v>831</v>
      </c>
      <c r="D9344" t="s">
        <v>9524</v>
      </c>
      <c r="E9344" t="s">
        <v>10</v>
      </c>
    </row>
    <row r="9345" spans="1:5" hidden="1" outlineLevel="2">
      <c r="A9345" s="3" t="e">
        <f>(HYPERLINK("http://www.autodoc.ru/Web/price/art/8323RGNR3FDW?analog=on","8323RGNR3FDW"))*1</f>
        <v>#VALUE!</v>
      </c>
      <c r="B9345" s="1">
        <v>6993158</v>
      </c>
      <c r="C9345" t="s">
        <v>831</v>
      </c>
      <c r="D9345" t="s">
        <v>9525</v>
      </c>
      <c r="E9345" t="s">
        <v>10</v>
      </c>
    </row>
    <row r="9346" spans="1:5" hidden="1" outlineLevel="2">
      <c r="A9346" s="3" t="e">
        <f>(HYPERLINK("http://www.autodoc.ru/Web/price/art/8323RGNR5FDW?analog=on","8323RGNR5FDW"))*1</f>
        <v>#VALUE!</v>
      </c>
      <c r="B9346" s="1">
        <v>6992785</v>
      </c>
      <c r="C9346" t="s">
        <v>831</v>
      </c>
      <c r="D9346" t="s">
        <v>9526</v>
      </c>
      <c r="E9346" t="s">
        <v>10</v>
      </c>
    </row>
    <row r="9347" spans="1:5" hidden="1" outlineLevel="2">
      <c r="A9347" s="3" t="e">
        <f>(HYPERLINK("http://www.autodoc.ru/Web/price/art/8323RGNR5RD?analog=on","8323RGNR5RD"))*1</f>
        <v>#VALUE!</v>
      </c>
      <c r="B9347" s="1">
        <v>6980613</v>
      </c>
      <c r="C9347" t="s">
        <v>831</v>
      </c>
      <c r="D9347" t="s">
        <v>9527</v>
      </c>
      <c r="E9347" t="s">
        <v>10</v>
      </c>
    </row>
    <row r="9348" spans="1:5" hidden="1" outlineLevel="2">
      <c r="A9348" s="3" t="e">
        <f>(HYPERLINK("http://www.autodoc.ru/Web/price/art/8323RGNR5RV?analog=on","8323RGNR5RV"))*1</f>
        <v>#VALUE!</v>
      </c>
      <c r="B9348" s="1">
        <v>6992623</v>
      </c>
      <c r="C9348" t="s">
        <v>831</v>
      </c>
      <c r="D9348" t="s">
        <v>9528</v>
      </c>
      <c r="E9348" t="s">
        <v>10</v>
      </c>
    </row>
    <row r="9349" spans="1:5" hidden="1" outlineLevel="1">
      <c r="A9349" s="2">
        <v>0</v>
      </c>
      <c r="B9349" s="26" t="s">
        <v>9529</v>
      </c>
      <c r="C9349" s="27">
        <v>0</v>
      </c>
      <c r="D9349" s="27">
        <v>0</v>
      </c>
      <c r="E9349" s="27">
        <v>0</v>
      </c>
    </row>
    <row r="9350" spans="1:5" hidden="1" outlineLevel="2">
      <c r="A9350" s="3" t="e">
        <f>(HYPERLINK("http://www.autodoc.ru/Web/price/art/8372AGAHMW1B?analog=on","8372AGAHMW1B"))*1</f>
        <v>#VALUE!</v>
      </c>
      <c r="B9350" s="1">
        <v>6962717</v>
      </c>
      <c r="C9350" t="s">
        <v>997</v>
      </c>
      <c r="D9350" t="s">
        <v>9530</v>
      </c>
      <c r="E9350" t="s">
        <v>8</v>
      </c>
    </row>
    <row r="9351" spans="1:5" hidden="1" outlineLevel="2">
      <c r="A9351" s="3" t="e">
        <f>(HYPERLINK("http://www.autodoc.ru/Web/price/art/8372AGNHMVW1B?analog=on","8372AGNHMVW1B"))*1</f>
        <v>#VALUE!</v>
      </c>
      <c r="B9351" s="1">
        <v>6964673</v>
      </c>
      <c r="C9351" t="s">
        <v>997</v>
      </c>
      <c r="D9351" t="s">
        <v>9531</v>
      </c>
      <c r="E9351" t="s">
        <v>8</v>
      </c>
    </row>
    <row r="9352" spans="1:5" hidden="1" outlineLevel="2">
      <c r="A9352" s="3" t="e">
        <f>(HYPERLINK("http://www.autodoc.ru/Web/price/art/8372AGNHVW?analog=on","8372AGNHVW"))*1</f>
        <v>#VALUE!</v>
      </c>
      <c r="B9352" s="1">
        <v>6964674</v>
      </c>
      <c r="C9352" t="s">
        <v>997</v>
      </c>
      <c r="D9352" t="s">
        <v>9532</v>
      </c>
      <c r="E9352" t="s">
        <v>8</v>
      </c>
    </row>
    <row r="9353" spans="1:5" hidden="1" outlineLevel="2">
      <c r="A9353" s="3" t="e">
        <f>(HYPERLINK("http://www.autodoc.ru/Web/price/art/8372AGAHVW?analog=on","8372AGAHVW"))*1</f>
        <v>#VALUE!</v>
      </c>
      <c r="B9353" s="1">
        <v>6962716</v>
      </c>
      <c r="C9353" t="s">
        <v>997</v>
      </c>
      <c r="D9353" t="s">
        <v>9532</v>
      </c>
      <c r="E9353" t="s">
        <v>8</v>
      </c>
    </row>
    <row r="9354" spans="1:5" hidden="1" outlineLevel="2">
      <c r="A9354" s="3" t="e">
        <f>(HYPERLINK("http://www.autodoc.ru/Web/price/art/8372AGAMW1B?analog=on","8372AGAMW1B"))*1</f>
        <v>#VALUE!</v>
      </c>
      <c r="B9354" s="1">
        <v>6961606</v>
      </c>
      <c r="C9354" t="s">
        <v>997</v>
      </c>
      <c r="D9354" t="s">
        <v>9533</v>
      </c>
      <c r="E9354" t="s">
        <v>8</v>
      </c>
    </row>
    <row r="9355" spans="1:5" hidden="1" outlineLevel="2">
      <c r="A9355" s="3" t="e">
        <f>(HYPERLINK("http://www.autodoc.ru/Web/price/art/8372AGAVW?analog=on","8372AGAVW"))*1</f>
        <v>#VALUE!</v>
      </c>
      <c r="B9355" s="1">
        <v>6961605</v>
      </c>
      <c r="C9355" t="s">
        <v>997</v>
      </c>
      <c r="D9355" t="s">
        <v>9534</v>
      </c>
      <c r="E9355" t="s">
        <v>8</v>
      </c>
    </row>
    <row r="9356" spans="1:5" hidden="1" outlineLevel="2">
      <c r="A9356" s="3" t="e">
        <f>(HYPERLINK("http://www.autodoc.ru/Web/price/art/8372BGSRAW?analog=on","8372BGSRAW"))*1</f>
        <v>#VALUE!</v>
      </c>
      <c r="B9356" s="1">
        <v>6901032</v>
      </c>
      <c r="C9356" t="s">
        <v>997</v>
      </c>
      <c r="D9356" t="s">
        <v>9535</v>
      </c>
      <c r="E9356" t="s">
        <v>23</v>
      </c>
    </row>
    <row r="9357" spans="1:5" hidden="1" outlineLevel="2">
      <c r="A9357" s="3" t="e">
        <f>(HYPERLINK("http://www.autodoc.ru/Web/price/art/8372LGSR5RV?analog=on","8372LGSR5RV"))*1</f>
        <v>#VALUE!</v>
      </c>
      <c r="B9357" s="1">
        <v>6900305</v>
      </c>
      <c r="C9357" t="s">
        <v>997</v>
      </c>
      <c r="D9357" t="s">
        <v>9536</v>
      </c>
      <c r="E9357" t="s">
        <v>10</v>
      </c>
    </row>
    <row r="9358" spans="1:5" hidden="1" outlineLevel="2">
      <c r="A9358" s="3" t="e">
        <f>(HYPERLINK("http://www.autodoc.ru/Web/price/art/8372RGSR5RV?analog=on","8372RGSR5RV"))*1</f>
        <v>#VALUE!</v>
      </c>
      <c r="B9358" s="1">
        <v>6900323</v>
      </c>
      <c r="C9358" t="s">
        <v>997</v>
      </c>
      <c r="D9358" t="s">
        <v>9537</v>
      </c>
      <c r="E9358" t="s">
        <v>10</v>
      </c>
    </row>
    <row r="9359" spans="1:5" hidden="1" outlineLevel="2">
      <c r="A9359" s="3" t="e">
        <f>(HYPERLINK("http://www.autodoc.ru/Web/price/art/8372LGSR5RDW?analog=on","8372LGSR5RDW"))*1</f>
        <v>#VALUE!</v>
      </c>
      <c r="B9359" s="1">
        <v>6901943</v>
      </c>
      <c r="C9359" t="s">
        <v>997</v>
      </c>
      <c r="D9359" t="s">
        <v>9538</v>
      </c>
      <c r="E9359" t="s">
        <v>10</v>
      </c>
    </row>
    <row r="9360" spans="1:5" hidden="1" outlineLevel="2">
      <c r="A9360" s="3" t="e">
        <f>(HYPERLINK("http://www.autodoc.ru/Web/price/art/8372LGSR5FDW?analog=on","8372LGSR5FDW"))*1</f>
        <v>#VALUE!</v>
      </c>
      <c r="B9360" s="1">
        <v>6901941</v>
      </c>
      <c r="C9360" t="s">
        <v>997</v>
      </c>
      <c r="D9360" t="s">
        <v>9539</v>
      </c>
      <c r="E9360" t="s">
        <v>10</v>
      </c>
    </row>
    <row r="9361" spans="1:5" hidden="1" outlineLevel="2">
      <c r="A9361" s="3" t="e">
        <f>(HYPERLINK("http://www.autodoc.ru/Web/price/art/8372RGSR5FDW?analog=on","8372RGSR5FDW"))*1</f>
        <v>#VALUE!</v>
      </c>
      <c r="B9361" s="1">
        <v>6901940</v>
      </c>
      <c r="C9361" t="s">
        <v>997</v>
      </c>
      <c r="D9361" t="s">
        <v>9540</v>
      </c>
      <c r="E9361" t="s">
        <v>10</v>
      </c>
    </row>
    <row r="9362" spans="1:5" hidden="1" outlineLevel="2">
      <c r="A9362" s="3" t="e">
        <f>(HYPERLINK("http://www.autodoc.ru/Web/price/art/8372RGSR5RDW?analog=on","8372RGSR5RDW"))*1</f>
        <v>#VALUE!</v>
      </c>
      <c r="B9362" s="1">
        <v>6901942</v>
      </c>
      <c r="C9362" t="s">
        <v>997</v>
      </c>
      <c r="D9362" t="s">
        <v>9541</v>
      </c>
      <c r="E9362" t="s">
        <v>10</v>
      </c>
    </row>
    <row r="9363" spans="1:5" hidden="1" outlineLevel="1">
      <c r="A9363" s="2">
        <v>0</v>
      </c>
      <c r="B9363" s="26" t="s">
        <v>9542</v>
      </c>
      <c r="C9363" s="27">
        <v>0</v>
      </c>
      <c r="D9363" s="27">
        <v>0</v>
      </c>
      <c r="E9363" s="27">
        <v>0</v>
      </c>
    </row>
    <row r="9364" spans="1:5" hidden="1" outlineLevel="2">
      <c r="A9364" s="3" t="e">
        <f>(HYPERLINK("http://www.autodoc.ru/Web/price/art/83B3AGSBLV?analog=on","83B3AGSBLV"))*1</f>
        <v>#VALUE!</v>
      </c>
      <c r="B9364" s="1">
        <v>6962972</v>
      </c>
      <c r="C9364" t="s">
        <v>753</v>
      </c>
      <c r="D9364" t="s">
        <v>9543</v>
      </c>
      <c r="E9364" t="s">
        <v>8</v>
      </c>
    </row>
    <row r="9365" spans="1:5" hidden="1" outlineLevel="1">
      <c r="A9365" s="2">
        <v>0</v>
      </c>
      <c r="B9365" s="26" t="s">
        <v>9544</v>
      </c>
      <c r="C9365" s="27">
        <v>0</v>
      </c>
      <c r="D9365" s="27">
        <v>0</v>
      </c>
      <c r="E9365" s="27">
        <v>0</v>
      </c>
    </row>
    <row r="9366" spans="1:5" hidden="1" outlineLevel="2">
      <c r="A9366" s="3" t="e">
        <f>(HYPERLINK("http://www.autodoc.ru/Web/price/art/8252ABL?analog=on","8252ABL"))*1</f>
        <v>#VALUE!</v>
      </c>
      <c r="B9366" s="1">
        <v>6963585</v>
      </c>
      <c r="C9366" t="s">
        <v>3199</v>
      </c>
      <c r="D9366" t="s">
        <v>9545</v>
      </c>
      <c r="E9366" t="s">
        <v>8</v>
      </c>
    </row>
    <row r="9367" spans="1:5" hidden="1" outlineLevel="2">
      <c r="A9367" s="3" t="e">
        <f>(HYPERLINK("http://www.autodoc.ru/Web/price/art/8252ACL?analog=on","8252ACL"))*1</f>
        <v>#VALUE!</v>
      </c>
      <c r="B9367" s="1">
        <v>6963586</v>
      </c>
      <c r="C9367" t="s">
        <v>3199</v>
      </c>
      <c r="D9367" t="s">
        <v>9546</v>
      </c>
      <c r="E9367" t="s">
        <v>8</v>
      </c>
    </row>
    <row r="9368" spans="1:5" hidden="1" outlineLevel="2">
      <c r="A9368" s="3" t="e">
        <f>(HYPERLINK("http://www.autodoc.ru/Web/price/art/8252LBLH3FD?analog=on","8252LBLH3FD"))*1</f>
        <v>#VALUE!</v>
      </c>
      <c r="B9368" s="1">
        <v>6996899</v>
      </c>
      <c r="C9368" t="s">
        <v>3199</v>
      </c>
      <c r="D9368" t="s">
        <v>9547</v>
      </c>
      <c r="E9368" t="s">
        <v>10</v>
      </c>
    </row>
    <row r="9369" spans="1:5" hidden="1" outlineLevel="2">
      <c r="A9369" s="3" t="e">
        <f>(HYPERLINK("http://www.autodoc.ru/Web/price/art/8252LCLH3FD?analog=on","8252LCLH3FD"))*1</f>
        <v>#VALUE!</v>
      </c>
      <c r="B9369" s="1">
        <v>6900010</v>
      </c>
      <c r="C9369" t="s">
        <v>3199</v>
      </c>
      <c r="D9369" t="s">
        <v>9548</v>
      </c>
      <c r="E9369" t="s">
        <v>10</v>
      </c>
    </row>
    <row r="9370" spans="1:5" hidden="1" outlineLevel="2">
      <c r="A9370" s="3" t="e">
        <f>(HYPERLINK("http://www.autodoc.ru/Web/price/art/8252RBLH3FD?analog=on","8252RBLH3FD"))*1</f>
        <v>#VALUE!</v>
      </c>
      <c r="B9370" s="1">
        <v>6996900</v>
      </c>
      <c r="C9370" t="s">
        <v>3199</v>
      </c>
      <c r="D9370" t="s">
        <v>9549</v>
      </c>
      <c r="E9370" t="s">
        <v>10</v>
      </c>
    </row>
    <row r="9371" spans="1:5" hidden="1" outlineLevel="1">
      <c r="A9371" s="2">
        <v>0</v>
      </c>
      <c r="B9371" s="26" t="s">
        <v>9550</v>
      </c>
      <c r="C9371" s="27">
        <v>0</v>
      </c>
      <c r="D9371" s="27">
        <v>0</v>
      </c>
      <c r="E9371" s="27">
        <v>0</v>
      </c>
    </row>
    <row r="9372" spans="1:5" hidden="1" outlineLevel="2">
      <c r="A9372" s="3" t="e">
        <f>(HYPERLINK("http://www.autodoc.ru/Web/price/art/8273ABL?analog=on","8273ABL"))*1</f>
        <v>#VALUE!</v>
      </c>
      <c r="B9372" s="1">
        <v>6969414</v>
      </c>
      <c r="C9372" t="s">
        <v>6212</v>
      </c>
      <c r="D9372" t="s">
        <v>9551</v>
      </c>
      <c r="E9372" t="s">
        <v>8</v>
      </c>
    </row>
    <row r="9373" spans="1:5" hidden="1" outlineLevel="2">
      <c r="A9373" s="3" t="e">
        <f>(HYPERLINK("http://www.autodoc.ru/Web/price/art/8273ACL?analog=on","8273ACL"))*1</f>
        <v>#VALUE!</v>
      </c>
      <c r="B9373" s="1">
        <v>6969413</v>
      </c>
      <c r="C9373" t="s">
        <v>6212</v>
      </c>
      <c r="D9373" t="s">
        <v>9552</v>
      </c>
      <c r="E9373" t="s">
        <v>8</v>
      </c>
    </row>
    <row r="9374" spans="1:5" hidden="1" outlineLevel="2">
      <c r="A9374" s="3" t="e">
        <f>(HYPERLINK("http://www.autodoc.ru/Web/price/art/8273ASMH?analog=on","8273ASMH"))*1</f>
        <v>#VALUE!</v>
      </c>
      <c r="B9374" s="1">
        <v>6100348</v>
      </c>
      <c r="C9374" t="s">
        <v>19</v>
      </c>
      <c r="D9374" t="s">
        <v>9553</v>
      </c>
      <c r="E9374" t="s">
        <v>21</v>
      </c>
    </row>
    <row r="9375" spans="1:5" hidden="1" outlineLevel="2">
      <c r="A9375" s="3" t="e">
        <f>(HYPERLINK("http://www.autodoc.ru/Web/price/art/8273BBLH?analog=on","8273BBLH"))*1</f>
        <v>#VALUE!</v>
      </c>
      <c r="B9375" s="1">
        <v>6992438</v>
      </c>
      <c r="C9375" t="s">
        <v>6223</v>
      </c>
      <c r="D9375" t="s">
        <v>9554</v>
      </c>
      <c r="E9375" t="s">
        <v>23</v>
      </c>
    </row>
    <row r="9376" spans="1:5" hidden="1" outlineLevel="2">
      <c r="A9376" s="3" t="e">
        <f>(HYPERLINK("http://www.autodoc.ru/Web/price/art/8273BCLH?analog=on","8273BCLH"))*1</f>
        <v>#VALUE!</v>
      </c>
      <c r="B9376" s="1">
        <v>6992439</v>
      </c>
      <c r="C9376" t="s">
        <v>6223</v>
      </c>
      <c r="D9376" t="s">
        <v>9555</v>
      </c>
      <c r="E9376" t="s">
        <v>23</v>
      </c>
    </row>
    <row r="9377" spans="1:5" hidden="1" outlineLevel="1">
      <c r="A9377" s="2">
        <v>0</v>
      </c>
      <c r="B9377" s="26" t="s">
        <v>9556</v>
      </c>
      <c r="C9377" s="27">
        <v>0</v>
      </c>
      <c r="D9377" s="27">
        <v>0</v>
      </c>
      <c r="E9377" s="27">
        <v>0</v>
      </c>
    </row>
    <row r="9378" spans="1:5" hidden="1" outlineLevel="2">
      <c r="A9378" s="3" t="e">
        <f>(HYPERLINK("http://www.autodoc.ru/Web/price/art/8298AGN?analog=on","8298AGN"))*1</f>
        <v>#VALUE!</v>
      </c>
      <c r="B9378" s="1">
        <v>6963428</v>
      </c>
      <c r="C9378" t="s">
        <v>1495</v>
      </c>
      <c r="D9378" t="s">
        <v>9557</v>
      </c>
      <c r="E9378" t="s">
        <v>8</v>
      </c>
    </row>
    <row r="9379" spans="1:5" hidden="1" outlineLevel="2">
      <c r="A9379" s="3" t="e">
        <f>(HYPERLINK("http://www.autodoc.ru/Web/price/art/8298ASMH?analog=on","8298ASMH"))*1</f>
        <v>#VALUE!</v>
      </c>
      <c r="B9379" s="1">
        <v>6100346</v>
      </c>
      <c r="C9379" t="s">
        <v>19</v>
      </c>
      <c r="D9379" t="s">
        <v>9558</v>
      </c>
      <c r="E9379" t="s">
        <v>21</v>
      </c>
    </row>
    <row r="9380" spans="1:5" hidden="1" outlineLevel="2">
      <c r="A9380" s="3" t="e">
        <f>(HYPERLINK("http://www.autodoc.ru/Web/price/art/8298BGNH?analog=on","8298BGNH"))*1</f>
        <v>#VALUE!</v>
      </c>
      <c r="B9380" s="1">
        <v>6992518</v>
      </c>
      <c r="C9380" t="s">
        <v>1495</v>
      </c>
      <c r="D9380" t="s">
        <v>9559</v>
      </c>
      <c r="E9380" t="s">
        <v>23</v>
      </c>
    </row>
    <row r="9381" spans="1:5" hidden="1" outlineLevel="2">
      <c r="A9381" s="3" t="e">
        <f>(HYPERLINK("http://www.autodoc.ru/Web/price/art/8298LGNH3FD1H?analog=on","8298LGNH3FD1H"))*1</f>
        <v>#VALUE!</v>
      </c>
      <c r="B9381" s="1">
        <v>6980160</v>
      </c>
      <c r="C9381" t="s">
        <v>1495</v>
      </c>
      <c r="D9381" t="s">
        <v>9560</v>
      </c>
      <c r="E9381" t="s">
        <v>10</v>
      </c>
    </row>
    <row r="9382" spans="1:5" hidden="1" outlineLevel="2">
      <c r="A9382" s="3" t="e">
        <f>(HYPERLINK("http://www.autodoc.ru/Web/price/art/8298LGNH5FD1H?analog=on","8298LGNH5FD1H"))*1</f>
        <v>#VALUE!</v>
      </c>
      <c r="B9382" s="1">
        <v>6995499</v>
      </c>
      <c r="C9382" t="s">
        <v>1495</v>
      </c>
      <c r="D9382" t="s">
        <v>9561</v>
      </c>
      <c r="E9382" t="s">
        <v>10</v>
      </c>
    </row>
    <row r="9383" spans="1:5" hidden="1" outlineLevel="2">
      <c r="A9383" s="3" t="e">
        <f>(HYPERLINK("http://www.autodoc.ru/Web/price/art/8298LGNH5RV?analog=on","8298LGNH5RV"))*1</f>
        <v>#VALUE!</v>
      </c>
      <c r="B9383" s="1">
        <v>6995501</v>
      </c>
      <c r="C9383" t="s">
        <v>1495</v>
      </c>
      <c r="D9383" t="s">
        <v>9562</v>
      </c>
      <c r="E9383" t="s">
        <v>10</v>
      </c>
    </row>
    <row r="9384" spans="1:5" hidden="1" outlineLevel="2">
      <c r="A9384" s="3" t="e">
        <f>(HYPERLINK("http://www.autodoc.ru/Web/price/art/8298RGNH3FD1H?analog=on","8298RGNH3FD1H"))*1</f>
        <v>#VALUE!</v>
      </c>
      <c r="B9384" s="1">
        <v>6993240</v>
      </c>
      <c r="C9384" t="s">
        <v>1495</v>
      </c>
      <c r="D9384" t="s">
        <v>9563</v>
      </c>
      <c r="E9384" t="s">
        <v>10</v>
      </c>
    </row>
    <row r="9385" spans="1:5" hidden="1" outlineLevel="2">
      <c r="A9385" s="3" t="e">
        <f>(HYPERLINK("http://www.autodoc.ru/Web/price/art/8298RGNH5FD1H?analog=on","8298RGNH5FD1H"))*1</f>
        <v>#VALUE!</v>
      </c>
      <c r="B9385" s="1">
        <v>6995502</v>
      </c>
      <c r="C9385" t="s">
        <v>1495</v>
      </c>
      <c r="D9385" t="s">
        <v>9564</v>
      </c>
      <c r="E9385" t="s">
        <v>10</v>
      </c>
    </row>
    <row r="9386" spans="1:5" hidden="1" outlineLevel="2">
      <c r="A9386" s="3" t="e">
        <f>(HYPERLINK("http://www.autodoc.ru/Web/price/art/8298RGNH5RV?analog=on","8298RGNH5RV"))*1</f>
        <v>#VALUE!</v>
      </c>
      <c r="B9386" s="1">
        <v>6995504</v>
      </c>
      <c r="C9386" t="s">
        <v>1495</v>
      </c>
      <c r="D9386" t="s">
        <v>9565</v>
      </c>
      <c r="E9386" t="s">
        <v>10</v>
      </c>
    </row>
    <row r="9387" spans="1:5" hidden="1" outlineLevel="1">
      <c r="A9387" s="2">
        <v>0</v>
      </c>
      <c r="B9387" s="26" t="s">
        <v>9566</v>
      </c>
      <c r="C9387" s="27">
        <v>0</v>
      </c>
      <c r="D9387" s="27">
        <v>0</v>
      </c>
      <c r="E9387" s="27">
        <v>0</v>
      </c>
    </row>
    <row r="9388" spans="1:5" hidden="1" outlineLevel="2">
      <c r="A9388" s="3" t="e">
        <f>(HYPERLINK("http://www.autodoc.ru/Web/price/art/8257ABL?analog=on","8257ABL"))*1</f>
        <v>#VALUE!</v>
      </c>
      <c r="B9388" s="1">
        <v>6963416</v>
      </c>
      <c r="C9388" t="s">
        <v>2989</v>
      </c>
      <c r="D9388" t="s">
        <v>9567</v>
      </c>
      <c r="E9388" t="s">
        <v>8</v>
      </c>
    </row>
    <row r="9389" spans="1:5" hidden="1" outlineLevel="1">
      <c r="A9389" s="2">
        <v>0</v>
      </c>
      <c r="B9389" s="26" t="s">
        <v>9568</v>
      </c>
      <c r="C9389" s="27">
        <v>0</v>
      </c>
      <c r="D9389" s="27">
        <v>0</v>
      </c>
      <c r="E9389" s="27">
        <v>0</v>
      </c>
    </row>
    <row r="9390" spans="1:5" hidden="1" outlineLevel="2">
      <c r="A9390" s="3" t="e">
        <f>(HYPERLINK("http://www.autodoc.ru/Web/price/art/8243ABL?analog=on","8243ABL"))*1</f>
        <v>#VALUE!</v>
      </c>
      <c r="B9390" s="1">
        <v>6963674</v>
      </c>
      <c r="C9390" t="s">
        <v>6316</v>
      </c>
      <c r="D9390" t="s">
        <v>9569</v>
      </c>
      <c r="E9390" t="s">
        <v>8</v>
      </c>
    </row>
    <row r="9391" spans="1:5" hidden="1" outlineLevel="1">
      <c r="A9391" s="2">
        <v>0</v>
      </c>
      <c r="B9391" s="26" t="s">
        <v>9570</v>
      </c>
      <c r="C9391" s="27">
        <v>0</v>
      </c>
      <c r="D9391" s="27">
        <v>0</v>
      </c>
      <c r="E9391" s="27">
        <v>0</v>
      </c>
    </row>
    <row r="9392" spans="1:5" hidden="1" outlineLevel="2">
      <c r="A9392" s="3" t="e">
        <f>(HYPERLINK("http://www.autodoc.ru/Web/price/art/8310AGN?analog=on","8310AGN"))*1</f>
        <v>#VALUE!</v>
      </c>
      <c r="B9392" s="1">
        <v>6960657</v>
      </c>
      <c r="C9392" t="s">
        <v>1134</v>
      </c>
      <c r="D9392" t="s">
        <v>9571</v>
      </c>
      <c r="E9392" t="s">
        <v>8</v>
      </c>
    </row>
    <row r="9393" spans="1:5" hidden="1" outlineLevel="2">
      <c r="A9393" s="3" t="e">
        <f>(HYPERLINK("http://www.autodoc.ru/Web/price/art/8310AGN1C?analog=on","8310AGN1C"))*1</f>
        <v>#VALUE!</v>
      </c>
      <c r="B9393" s="1">
        <v>6960211</v>
      </c>
      <c r="C9393" t="s">
        <v>1134</v>
      </c>
      <c r="D9393" t="s">
        <v>9572</v>
      </c>
      <c r="E9393" t="s">
        <v>8</v>
      </c>
    </row>
    <row r="9394" spans="1:5" hidden="1" outlineLevel="2">
      <c r="A9394" s="3" t="e">
        <f>(HYPERLINK("http://www.autodoc.ru/Web/price/art/8310AGN2C?analog=on","8310AGN2C"))*1</f>
        <v>#VALUE!</v>
      </c>
      <c r="B9394" s="1">
        <v>6961287</v>
      </c>
      <c r="C9394" t="s">
        <v>1137</v>
      </c>
      <c r="D9394" t="s">
        <v>9573</v>
      </c>
      <c r="E9394" t="s">
        <v>8</v>
      </c>
    </row>
    <row r="9395" spans="1:5" hidden="1" outlineLevel="2">
      <c r="A9395" s="3" t="e">
        <f>(HYPERLINK("http://www.autodoc.ru/Web/price/art/8310AGNBL?analog=on","8310AGNBL"))*1</f>
        <v>#VALUE!</v>
      </c>
      <c r="B9395" s="1">
        <v>6960694</v>
      </c>
      <c r="C9395" t="s">
        <v>1134</v>
      </c>
      <c r="D9395" t="s">
        <v>9574</v>
      </c>
      <c r="E9395" t="s">
        <v>8</v>
      </c>
    </row>
    <row r="9396" spans="1:5" hidden="1" outlineLevel="2">
      <c r="A9396" s="3" t="e">
        <f>(HYPERLINK("http://www.autodoc.ru/Web/price/art/8310AGNGN1C?analog=on","8310AGNGN1C"))*1</f>
        <v>#VALUE!</v>
      </c>
      <c r="B9396" s="1">
        <v>6950011</v>
      </c>
      <c r="C9396" t="s">
        <v>1134</v>
      </c>
      <c r="D9396" t="s">
        <v>9575</v>
      </c>
      <c r="E9396" t="s">
        <v>8</v>
      </c>
    </row>
    <row r="9397" spans="1:5" hidden="1" outlineLevel="2">
      <c r="A9397" s="3" t="e">
        <f>(HYPERLINK("http://www.autodoc.ru/Web/price/art/8310ASMH?analog=on","8310ASMH"))*1</f>
        <v>#VALUE!</v>
      </c>
      <c r="B9397" s="1">
        <v>6100315</v>
      </c>
      <c r="C9397" t="s">
        <v>19</v>
      </c>
      <c r="D9397" t="s">
        <v>9576</v>
      </c>
      <c r="E9397" t="s">
        <v>21</v>
      </c>
    </row>
    <row r="9398" spans="1:5" hidden="1" outlineLevel="2">
      <c r="A9398" s="3" t="e">
        <f>(HYPERLINK("http://www.autodoc.ru/Web/price/art/8310BGNHZ?analog=on","8310BGNHZ"))*1</f>
        <v>#VALUE!</v>
      </c>
      <c r="B9398" s="1">
        <v>6993979</v>
      </c>
      <c r="C9398" t="s">
        <v>1134</v>
      </c>
      <c r="D9398" t="s">
        <v>9577</v>
      </c>
      <c r="E9398" t="s">
        <v>23</v>
      </c>
    </row>
    <row r="9399" spans="1:5" hidden="1" outlineLevel="2">
      <c r="A9399" s="3" t="e">
        <f>(HYPERLINK("http://www.autodoc.ru/Web/price/art/8310LGNH3FDW?analog=on","8310LGNH3FDW"))*1</f>
        <v>#VALUE!</v>
      </c>
      <c r="B9399" s="1">
        <v>6992440</v>
      </c>
      <c r="C9399" t="s">
        <v>1134</v>
      </c>
      <c r="D9399" t="s">
        <v>9578</v>
      </c>
      <c r="E9399" t="s">
        <v>10</v>
      </c>
    </row>
    <row r="9400" spans="1:5" hidden="1" outlineLevel="2">
      <c r="A9400" s="3" t="e">
        <f>(HYPERLINK("http://www.autodoc.ru/Web/price/art/8310LGNH3RQ?analog=on","8310LGNH3RQ"))*1</f>
        <v>#VALUE!</v>
      </c>
      <c r="B9400" s="1">
        <v>6992445</v>
      </c>
      <c r="C9400" t="s">
        <v>1134</v>
      </c>
      <c r="D9400" t="s">
        <v>9579</v>
      </c>
      <c r="E9400" t="s">
        <v>10</v>
      </c>
    </row>
    <row r="9401" spans="1:5" hidden="1" outlineLevel="2">
      <c r="A9401" s="3" t="e">
        <f>(HYPERLINK("http://www.autodoc.ru/Web/price/art/8310LGNH5FDW?analog=on","8310LGNH5FDW"))*1</f>
        <v>#VALUE!</v>
      </c>
      <c r="B9401" s="1">
        <v>6990672</v>
      </c>
      <c r="C9401" t="s">
        <v>1134</v>
      </c>
      <c r="D9401" t="s">
        <v>9580</v>
      </c>
      <c r="E9401" t="s">
        <v>10</v>
      </c>
    </row>
    <row r="9402" spans="1:5" hidden="1" outlineLevel="2">
      <c r="A9402" s="3" t="e">
        <f>(HYPERLINK("http://www.autodoc.ru/Web/price/art/8310LGNH5RD?analog=on","8310LGNH5RD"))*1</f>
        <v>#VALUE!</v>
      </c>
      <c r="B9402" s="1">
        <v>6990673</v>
      </c>
      <c r="C9402" t="s">
        <v>1134</v>
      </c>
      <c r="D9402" t="s">
        <v>9581</v>
      </c>
      <c r="E9402" t="s">
        <v>10</v>
      </c>
    </row>
    <row r="9403" spans="1:5" hidden="1" outlineLevel="2">
      <c r="A9403" s="3" t="e">
        <f>(HYPERLINK("http://www.autodoc.ru/Web/price/art/8310LGNH5RV?analog=on","8310LGNH5RV"))*1</f>
        <v>#VALUE!</v>
      </c>
      <c r="B9403" s="1">
        <v>6990945</v>
      </c>
      <c r="C9403" t="s">
        <v>1134</v>
      </c>
      <c r="D9403" t="s">
        <v>9582</v>
      </c>
      <c r="E9403" t="s">
        <v>10</v>
      </c>
    </row>
    <row r="9404" spans="1:5" hidden="1" outlineLevel="2">
      <c r="A9404" s="3" t="e">
        <f>(HYPERLINK("http://www.autodoc.ru/Web/price/art/8310RGNH3FDW?analog=on","8310RGNH3FDW"))*1</f>
        <v>#VALUE!</v>
      </c>
      <c r="B9404" s="1">
        <v>6992441</v>
      </c>
      <c r="C9404" t="s">
        <v>1134</v>
      </c>
      <c r="D9404" t="s">
        <v>9583</v>
      </c>
      <c r="E9404" t="s">
        <v>10</v>
      </c>
    </row>
    <row r="9405" spans="1:5" hidden="1" outlineLevel="2">
      <c r="A9405" s="3" t="e">
        <f>(HYPERLINK("http://www.autodoc.ru/Web/price/art/8310RGNH3RQ?analog=on","8310RGNH3RQ"))*1</f>
        <v>#VALUE!</v>
      </c>
      <c r="B9405" s="1">
        <v>6992444</v>
      </c>
      <c r="C9405" t="s">
        <v>1134</v>
      </c>
      <c r="D9405" t="s">
        <v>9584</v>
      </c>
      <c r="E9405" t="s">
        <v>10</v>
      </c>
    </row>
    <row r="9406" spans="1:5" hidden="1" outlineLevel="2">
      <c r="A9406" s="3" t="e">
        <f>(HYPERLINK("http://www.autodoc.ru/Web/price/art/8310RGNH5FDW?analog=on","8310RGNH5FDW"))*1</f>
        <v>#VALUE!</v>
      </c>
      <c r="B9406" s="1">
        <v>6990670</v>
      </c>
      <c r="C9406" t="s">
        <v>1134</v>
      </c>
      <c r="D9406" t="s">
        <v>9585</v>
      </c>
      <c r="E9406" t="s">
        <v>10</v>
      </c>
    </row>
    <row r="9407" spans="1:5" hidden="1" outlineLevel="2">
      <c r="A9407" s="3" t="e">
        <f>(HYPERLINK("http://www.autodoc.ru/Web/price/art/8310RGNH5RD?analog=on","8310RGNH5RD"))*1</f>
        <v>#VALUE!</v>
      </c>
      <c r="B9407" s="1">
        <v>6990671</v>
      </c>
      <c r="C9407" t="s">
        <v>1134</v>
      </c>
      <c r="D9407" t="s">
        <v>9586</v>
      </c>
      <c r="E9407" t="s">
        <v>10</v>
      </c>
    </row>
    <row r="9408" spans="1:5" hidden="1" outlineLevel="2">
      <c r="A9408" s="3" t="e">
        <f>(HYPERLINK("http://www.autodoc.ru/Web/price/art/8310RGNH5RV?analog=on","8310RGNH5RV"))*1</f>
        <v>#VALUE!</v>
      </c>
      <c r="B9408" s="1">
        <v>6990944</v>
      </c>
      <c r="C9408" t="s">
        <v>1134</v>
      </c>
      <c r="D9408" t="s">
        <v>9587</v>
      </c>
      <c r="E9408" t="s">
        <v>10</v>
      </c>
    </row>
    <row r="9409" spans="1:5" hidden="1" outlineLevel="1">
      <c r="A9409" s="2">
        <v>0</v>
      </c>
      <c r="B9409" s="26" t="s">
        <v>9588</v>
      </c>
      <c r="C9409" s="27">
        <v>0</v>
      </c>
      <c r="D9409" s="27">
        <v>0</v>
      </c>
      <c r="E9409" s="27">
        <v>0</v>
      </c>
    </row>
    <row r="9410" spans="1:5" hidden="1" outlineLevel="2">
      <c r="A9410" s="3" t="e">
        <f>(HYPERLINK("http://www.autodoc.ru/Web/price/art/8370AGNZ?analog=on","8370AGNZ"))*1</f>
        <v>#VALUE!</v>
      </c>
      <c r="B9410" s="1">
        <v>6961501</v>
      </c>
      <c r="C9410" t="s">
        <v>956</v>
      </c>
      <c r="D9410" t="s">
        <v>9589</v>
      </c>
      <c r="E9410" t="s">
        <v>8</v>
      </c>
    </row>
    <row r="9411" spans="1:5" hidden="1" outlineLevel="2">
      <c r="A9411" s="3" t="e">
        <f>(HYPERLINK("http://www.autodoc.ru/Web/price/art/8370AGSZ1C?analog=on","8370AGSZ1C"))*1</f>
        <v>#VALUE!</v>
      </c>
      <c r="B9411" s="1">
        <v>6961730</v>
      </c>
      <c r="C9411" t="s">
        <v>956</v>
      </c>
      <c r="D9411" t="s">
        <v>9590</v>
      </c>
      <c r="E9411" t="s">
        <v>8</v>
      </c>
    </row>
    <row r="9412" spans="1:5" hidden="1" outlineLevel="2">
      <c r="A9412" s="3" t="e">
        <f>(HYPERLINK("http://www.autodoc.ru/Web/price/art/8370LGSH3FDW?analog=on","8370LGSH3FDW"))*1</f>
        <v>#VALUE!</v>
      </c>
      <c r="B9412" s="1">
        <v>6993388</v>
      </c>
      <c r="C9412" t="s">
        <v>956</v>
      </c>
      <c r="D9412" t="s">
        <v>9591</v>
      </c>
      <c r="E9412" t="s">
        <v>10</v>
      </c>
    </row>
    <row r="9413" spans="1:5" hidden="1" outlineLevel="2">
      <c r="A9413" s="3" t="e">
        <f>(HYPERLINK("http://www.autodoc.ru/Web/price/art/8370RGSH3RQ?analog=on","8370RGSH3RQ"))*1</f>
        <v>#VALUE!</v>
      </c>
      <c r="B9413" s="1">
        <v>6993382</v>
      </c>
      <c r="C9413" t="s">
        <v>956</v>
      </c>
      <c r="D9413" t="s">
        <v>9592</v>
      </c>
      <c r="E9413" t="s">
        <v>10</v>
      </c>
    </row>
    <row r="9414" spans="1:5" hidden="1" outlineLevel="2">
      <c r="A9414" s="3" t="e">
        <f>(HYPERLINK("http://www.autodoc.ru/Web/price/art/8370LGNH5FDW?analog=on","8370LGNH5FDW"))*1</f>
        <v>#VALUE!</v>
      </c>
      <c r="B9414" s="1">
        <v>6900464</v>
      </c>
      <c r="C9414" t="s">
        <v>956</v>
      </c>
      <c r="D9414" t="s">
        <v>9593</v>
      </c>
      <c r="E9414" t="s">
        <v>10</v>
      </c>
    </row>
    <row r="9415" spans="1:5" hidden="1" outlineLevel="2">
      <c r="A9415" s="3" t="e">
        <f>(HYPERLINK("http://www.autodoc.ru/Web/price/art/8370LGSH5RDW?analog=on","8370LGSH5RDW"))*1</f>
        <v>#VALUE!</v>
      </c>
      <c r="B9415" s="1">
        <v>6992358</v>
      </c>
      <c r="C9415" t="s">
        <v>956</v>
      </c>
      <c r="D9415" t="s">
        <v>9594</v>
      </c>
      <c r="E9415" t="s">
        <v>10</v>
      </c>
    </row>
    <row r="9416" spans="1:5" hidden="1" outlineLevel="2">
      <c r="A9416" s="3" t="e">
        <f>(HYPERLINK("http://www.autodoc.ru/Web/price/art/8370LGSH5RV?analog=on","8370LGSH5RV"))*1</f>
        <v>#VALUE!</v>
      </c>
      <c r="B9416" s="1">
        <v>6992360</v>
      </c>
      <c r="C9416" t="s">
        <v>956</v>
      </c>
      <c r="D9416" t="s">
        <v>9595</v>
      </c>
      <c r="E9416" t="s">
        <v>10</v>
      </c>
    </row>
    <row r="9417" spans="1:5" hidden="1" outlineLevel="2">
      <c r="A9417" s="3" t="e">
        <f>(HYPERLINK("http://www.autodoc.ru/Web/price/art/8370LYPH5RV?analog=on","8370LYPH5RV"))*1</f>
        <v>#VALUE!</v>
      </c>
      <c r="B9417" s="1">
        <v>6997688</v>
      </c>
      <c r="C9417" t="s">
        <v>956</v>
      </c>
      <c r="D9417" t="s">
        <v>9596</v>
      </c>
      <c r="E9417" t="s">
        <v>10</v>
      </c>
    </row>
    <row r="9418" spans="1:5" hidden="1" outlineLevel="2">
      <c r="A9418" s="3" t="e">
        <f>(HYPERLINK("http://www.autodoc.ru/Web/price/art/8370RGSH3FDW?analog=on","8370RGSH3FDW"))*1</f>
        <v>#VALUE!</v>
      </c>
      <c r="B9418" s="1">
        <v>6993389</v>
      </c>
      <c r="C9418" t="s">
        <v>956</v>
      </c>
      <c r="D9418" t="s">
        <v>9597</v>
      </c>
      <c r="E9418" t="s">
        <v>10</v>
      </c>
    </row>
    <row r="9419" spans="1:5" hidden="1" outlineLevel="2">
      <c r="A9419" s="3" t="e">
        <f>(HYPERLINK("http://www.autodoc.ru/Web/price/art/8370LGSH3RQ?analog=on","8370LGSH3RQ"))*1</f>
        <v>#VALUE!</v>
      </c>
      <c r="B9419" s="1">
        <v>6993383</v>
      </c>
      <c r="C9419" t="s">
        <v>956</v>
      </c>
      <c r="D9419" t="s">
        <v>9598</v>
      </c>
      <c r="E9419" t="s">
        <v>10</v>
      </c>
    </row>
    <row r="9420" spans="1:5" hidden="1" outlineLevel="2">
      <c r="A9420" s="3" t="e">
        <f>(HYPERLINK("http://www.autodoc.ru/Web/price/art/8370RGNH5FDW?analog=on","8370RGNH5FDW"))*1</f>
        <v>#VALUE!</v>
      </c>
      <c r="B9420" s="1">
        <v>6900465</v>
      </c>
      <c r="C9420" t="s">
        <v>956</v>
      </c>
      <c r="D9420" t="s">
        <v>9599</v>
      </c>
      <c r="E9420" t="s">
        <v>10</v>
      </c>
    </row>
    <row r="9421" spans="1:5" hidden="1" outlineLevel="2">
      <c r="A9421" s="3" t="e">
        <f>(HYPERLINK("http://www.autodoc.ru/Web/price/art/8370RGSH5RDW?analog=on","8370RGSH5RDW"))*1</f>
        <v>#VALUE!</v>
      </c>
      <c r="B9421" s="1">
        <v>6992359</v>
      </c>
      <c r="C9421" t="s">
        <v>956</v>
      </c>
      <c r="D9421" t="s">
        <v>9600</v>
      </c>
      <c r="E9421" t="s">
        <v>10</v>
      </c>
    </row>
    <row r="9422" spans="1:5" hidden="1" outlineLevel="2">
      <c r="A9422" s="3" t="e">
        <f>(HYPERLINK("http://www.autodoc.ru/Web/price/art/8370RGSH5RV?analog=on","8370RGSH5RV"))*1</f>
        <v>#VALUE!</v>
      </c>
      <c r="B9422" s="1">
        <v>6992361</v>
      </c>
      <c r="C9422" t="s">
        <v>956</v>
      </c>
      <c r="D9422" t="s">
        <v>9601</v>
      </c>
      <c r="E9422" t="s">
        <v>10</v>
      </c>
    </row>
    <row r="9423" spans="1:5" hidden="1" outlineLevel="2">
      <c r="A9423" s="3" t="e">
        <f>(HYPERLINK("http://www.autodoc.ru/Web/price/art/8370RYPH5RV?analog=on","8370RYPH5RV"))*1</f>
        <v>#VALUE!</v>
      </c>
      <c r="B9423" s="1">
        <v>6997689</v>
      </c>
      <c r="C9423" t="s">
        <v>956</v>
      </c>
      <c r="D9423" t="s">
        <v>9602</v>
      </c>
      <c r="E9423" t="s">
        <v>10</v>
      </c>
    </row>
    <row r="9424" spans="1:5" hidden="1" outlineLevel="1">
      <c r="A9424" s="2">
        <v>0</v>
      </c>
      <c r="B9424" s="26" t="s">
        <v>9603</v>
      </c>
      <c r="C9424" s="27">
        <v>0</v>
      </c>
      <c r="D9424" s="27">
        <v>0</v>
      </c>
      <c r="E9424" s="27">
        <v>0</v>
      </c>
    </row>
    <row r="9425" spans="1:5" hidden="1" outlineLevel="2">
      <c r="A9425" s="3" t="e">
        <f>(HYPERLINK("http://www.autodoc.ru/Web/price/art/8317AGN?analog=on","8317AGN"))*1</f>
        <v>#VALUE!</v>
      </c>
      <c r="B9425" s="1">
        <v>6960695</v>
      </c>
      <c r="C9425" t="s">
        <v>3841</v>
      </c>
      <c r="D9425" t="s">
        <v>9604</v>
      </c>
      <c r="E9425" t="s">
        <v>8</v>
      </c>
    </row>
    <row r="9426" spans="1:5" hidden="1" outlineLevel="2">
      <c r="A9426" s="3" t="e">
        <f>(HYPERLINK("http://www.autodoc.ru/Web/price/art/8317AGN1P?analog=on","8317AGN1P"))*1</f>
        <v>#VALUE!</v>
      </c>
      <c r="B9426" s="1">
        <v>6961288</v>
      </c>
      <c r="C9426" t="s">
        <v>3841</v>
      </c>
      <c r="D9426" t="s">
        <v>9605</v>
      </c>
      <c r="E9426" t="s">
        <v>8</v>
      </c>
    </row>
    <row r="9427" spans="1:5" hidden="1" outlineLevel="2">
      <c r="A9427" s="3" t="e">
        <f>(HYPERLINK("http://www.autodoc.ru/Web/price/art/8317ASMV?analog=on","8317ASMV"))*1</f>
        <v>#VALUE!</v>
      </c>
      <c r="B9427" s="1">
        <v>6100316</v>
      </c>
      <c r="C9427" t="s">
        <v>19</v>
      </c>
      <c r="D9427" t="s">
        <v>9606</v>
      </c>
      <c r="E9427" t="s">
        <v>21</v>
      </c>
    </row>
    <row r="9428" spans="1:5" hidden="1" outlineLevel="2">
      <c r="A9428" s="3" t="e">
        <f>(HYPERLINK("http://www.autodoc.ru/Web/price/art/8317BGNV?analog=on","8317BGNV"))*1</f>
        <v>#VALUE!</v>
      </c>
      <c r="B9428" s="1">
        <v>6980357</v>
      </c>
      <c r="C9428" t="s">
        <v>3841</v>
      </c>
      <c r="D9428" t="s">
        <v>9607</v>
      </c>
      <c r="E9428" t="s">
        <v>23</v>
      </c>
    </row>
    <row r="9429" spans="1:5" hidden="1" outlineLevel="2">
      <c r="A9429" s="3" t="e">
        <f>(HYPERLINK("http://www.autodoc.ru/Web/price/art/8317LGNV5FDW?analog=on","8317LGNV5FDW"))*1</f>
        <v>#VALUE!</v>
      </c>
      <c r="B9429" s="1">
        <v>6992443</v>
      </c>
      <c r="C9429" t="s">
        <v>3841</v>
      </c>
      <c r="D9429" t="s">
        <v>9608</v>
      </c>
      <c r="E9429" t="s">
        <v>10</v>
      </c>
    </row>
    <row r="9430" spans="1:5" hidden="1" outlineLevel="2">
      <c r="A9430" s="3" t="e">
        <f>(HYPERLINK("http://www.autodoc.ru/Web/price/art/8317LGNV5RDW?analog=on","8317LGNV5RDW"))*1</f>
        <v>#VALUE!</v>
      </c>
      <c r="B9430" s="1">
        <v>6992449</v>
      </c>
      <c r="C9430" t="s">
        <v>3841</v>
      </c>
      <c r="D9430" t="s">
        <v>9609</v>
      </c>
      <c r="E9430" t="s">
        <v>10</v>
      </c>
    </row>
    <row r="9431" spans="1:5" hidden="1" outlineLevel="2">
      <c r="A9431" s="3" t="e">
        <f>(HYPERLINK("http://www.autodoc.ru/Web/price/art/8317LGNV5RQ?analog=on","8317LGNV5RQ"))*1</f>
        <v>#VALUE!</v>
      </c>
      <c r="B9431" s="1">
        <v>6992447</v>
      </c>
      <c r="C9431" t="s">
        <v>3841</v>
      </c>
      <c r="D9431" t="s">
        <v>9610</v>
      </c>
      <c r="E9431" t="s">
        <v>10</v>
      </c>
    </row>
    <row r="9432" spans="1:5" hidden="1" outlineLevel="2">
      <c r="A9432" s="3" t="e">
        <f>(HYPERLINK("http://www.autodoc.ru/Web/price/art/8317RGNV5FDW?analog=on","8317RGNV5FDW"))*1</f>
        <v>#VALUE!</v>
      </c>
      <c r="B9432" s="1">
        <v>6992442</v>
      </c>
      <c r="C9432" t="s">
        <v>3841</v>
      </c>
      <c r="D9432" t="s">
        <v>9611</v>
      </c>
      <c r="E9432" t="s">
        <v>10</v>
      </c>
    </row>
    <row r="9433" spans="1:5" hidden="1" outlineLevel="2">
      <c r="A9433" s="3" t="e">
        <f>(HYPERLINK("http://www.autodoc.ru/Web/price/art/8317RGNV5RDW?analog=on","8317RGNV5RDW"))*1</f>
        <v>#VALUE!</v>
      </c>
      <c r="B9433" s="1">
        <v>6992448</v>
      </c>
      <c r="C9433" t="s">
        <v>3841</v>
      </c>
      <c r="D9433" t="s">
        <v>9612</v>
      </c>
      <c r="E9433" t="s">
        <v>10</v>
      </c>
    </row>
    <row r="9434" spans="1:5" hidden="1" outlineLevel="2">
      <c r="A9434" s="3" t="e">
        <f>(HYPERLINK("http://www.autodoc.ru/Web/price/art/8317RGNV5RQ?analog=on","8317RGNV5RQ"))*1</f>
        <v>#VALUE!</v>
      </c>
      <c r="B9434" s="1">
        <v>6992446</v>
      </c>
      <c r="C9434" t="s">
        <v>3841</v>
      </c>
      <c r="D9434" t="s">
        <v>9613</v>
      </c>
      <c r="E9434" t="s">
        <v>10</v>
      </c>
    </row>
    <row r="9435" spans="1:5" hidden="1" outlineLevel="1">
      <c r="A9435" s="2">
        <v>0</v>
      </c>
      <c r="B9435" s="26" t="s">
        <v>9603</v>
      </c>
      <c r="C9435" s="27">
        <v>0</v>
      </c>
      <c r="D9435" s="27">
        <v>0</v>
      </c>
      <c r="E9435" s="27">
        <v>0</v>
      </c>
    </row>
    <row r="9436" spans="1:5" hidden="1" outlineLevel="2">
      <c r="A9436" s="3" t="e">
        <f>(HYPERLINK("http://www.autodoc.ru/Web/price/art/OLD-8320AGNB?analog=on","OLD-8320AGNB"))*1</f>
        <v>#VALUE!</v>
      </c>
      <c r="B9436" s="1">
        <v>6962720</v>
      </c>
      <c r="C9436" t="s">
        <v>3841</v>
      </c>
      <c r="D9436" t="s">
        <v>9614</v>
      </c>
      <c r="E9436" t="s">
        <v>8</v>
      </c>
    </row>
    <row r="9437" spans="1:5" hidden="1" outlineLevel="2">
      <c r="A9437" s="3" t="e">
        <f>(HYPERLINK("http://www.autodoc.ru/Web/price/art/8320AGN1P?analog=on","8320AGN1P"))*1</f>
        <v>#VALUE!</v>
      </c>
      <c r="B9437" s="1">
        <v>6962721</v>
      </c>
      <c r="C9437" t="s">
        <v>3841</v>
      </c>
      <c r="D9437" t="s">
        <v>9615</v>
      </c>
      <c r="E9437" t="s">
        <v>8</v>
      </c>
    </row>
    <row r="9438" spans="1:5" collapsed="1">
      <c r="A9438" s="28" t="s">
        <v>9616</v>
      </c>
      <c r="B9438" s="28">
        <v>0</v>
      </c>
      <c r="C9438" s="28">
        <v>0</v>
      </c>
      <c r="D9438" s="28">
        <v>0</v>
      </c>
      <c r="E9438" s="28">
        <v>0</v>
      </c>
    </row>
    <row r="9439" spans="1:5" hidden="1" outlineLevel="1">
      <c r="A9439" s="2">
        <v>0</v>
      </c>
      <c r="B9439" s="26" t="s">
        <v>9617</v>
      </c>
      <c r="C9439" s="27">
        <v>0</v>
      </c>
      <c r="D9439" s="27">
        <v>0</v>
      </c>
      <c r="E9439" s="27">
        <v>0</v>
      </c>
    </row>
    <row r="9440" spans="1:5" hidden="1" outlineLevel="2">
      <c r="A9440" s="3" t="e">
        <f>(HYPERLINK("http://www.autodoc.ru/Web/price/art/8609AGSVW1B?analog=on","8609AGSVW1B"))*1</f>
        <v>#VALUE!</v>
      </c>
      <c r="B9440" s="1">
        <v>6965481</v>
      </c>
      <c r="C9440" t="s">
        <v>341</v>
      </c>
      <c r="D9440" t="s">
        <v>9618</v>
      </c>
      <c r="E9440" t="s">
        <v>8</v>
      </c>
    </row>
    <row r="9441" spans="1:5" hidden="1" outlineLevel="1">
      <c r="A9441" s="2">
        <v>0</v>
      </c>
      <c r="B9441" s="26" t="s">
        <v>9619</v>
      </c>
      <c r="C9441" s="27">
        <v>0</v>
      </c>
      <c r="D9441" s="27">
        <v>0</v>
      </c>
      <c r="E9441" s="27">
        <v>0</v>
      </c>
    </row>
    <row r="9442" spans="1:5" hidden="1" outlineLevel="2">
      <c r="A9442" s="3" t="e">
        <f>(HYPERLINK("http://www.autodoc.ru/Web/price/art/8515ACL?analog=on","8515ACL"))*1</f>
        <v>#VALUE!</v>
      </c>
      <c r="B9442" s="1">
        <v>6963682</v>
      </c>
      <c r="C9442" t="s">
        <v>9620</v>
      </c>
      <c r="D9442" t="s">
        <v>9621</v>
      </c>
      <c r="E9442" t="s">
        <v>8</v>
      </c>
    </row>
    <row r="9443" spans="1:5" hidden="1" outlineLevel="2">
      <c r="A9443" s="3" t="e">
        <f>(HYPERLINK("http://www.autodoc.ru/Web/price/art/8515ASRS?analog=on","8515ASRS"))*1</f>
        <v>#VALUE!</v>
      </c>
      <c r="B9443" s="1">
        <v>6101076</v>
      </c>
      <c r="C9443" t="s">
        <v>19</v>
      </c>
      <c r="D9443" t="s">
        <v>9622</v>
      </c>
      <c r="E9443" t="s">
        <v>21</v>
      </c>
    </row>
    <row r="9444" spans="1:5" hidden="1" outlineLevel="1">
      <c r="A9444" s="2">
        <v>0</v>
      </c>
      <c r="B9444" s="26" t="s">
        <v>9623</v>
      </c>
      <c r="C9444" s="27">
        <v>0</v>
      </c>
      <c r="D9444" s="27">
        <v>0</v>
      </c>
      <c r="E9444" s="27">
        <v>0</v>
      </c>
    </row>
    <row r="9445" spans="1:5" hidden="1" outlineLevel="2">
      <c r="A9445" s="3" t="e">
        <f>(HYPERLINK("http://www.autodoc.ru/Web/price/art/8506ACL?analog=on","8506ACL"))*1</f>
        <v>#VALUE!</v>
      </c>
      <c r="B9445" s="1">
        <v>6963594</v>
      </c>
      <c r="C9445" t="s">
        <v>9624</v>
      </c>
      <c r="D9445" t="s">
        <v>9625</v>
      </c>
      <c r="E9445" t="s">
        <v>8</v>
      </c>
    </row>
    <row r="9446" spans="1:5" hidden="1" outlineLevel="2">
      <c r="A9446" s="3" t="e">
        <f>(HYPERLINK("http://www.autodoc.ru/Web/price/art/8506ASRS?analog=on","8506ASRS"))*1</f>
        <v>#VALUE!</v>
      </c>
      <c r="B9446" s="1">
        <v>6101105</v>
      </c>
      <c r="C9446" t="s">
        <v>19</v>
      </c>
      <c r="D9446" t="s">
        <v>9626</v>
      </c>
      <c r="E9446" t="s">
        <v>21</v>
      </c>
    </row>
    <row r="9447" spans="1:5" hidden="1" outlineLevel="1">
      <c r="A9447" s="2">
        <v>0</v>
      </c>
      <c r="B9447" s="26" t="s">
        <v>9627</v>
      </c>
      <c r="C9447" s="27">
        <v>0</v>
      </c>
      <c r="D9447" s="27">
        <v>0</v>
      </c>
      <c r="E9447" s="27">
        <v>0</v>
      </c>
    </row>
    <row r="9448" spans="1:5" hidden="1" outlineLevel="2">
      <c r="A9448" s="3" t="e">
        <f>(HYPERLINK("http://www.autodoc.ru/Web/price/art/8559AGNGYZ?analog=on","8559AGNGYZ"))*1</f>
        <v>#VALUE!</v>
      </c>
      <c r="B9448" s="1">
        <v>6960619</v>
      </c>
      <c r="C9448" t="s">
        <v>654</v>
      </c>
      <c r="D9448" t="s">
        <v>9628</v>
      </c>
      <c r="E9448" t="s">
        <v>8</v>
      </c>
    </row>
    <row r="9449" spans="1:5" hidden="1" outlineLevel="2">
      <c r="A9449" s="3" t="e">
        <f>(HYPERLINK("http://www.autodoc.ru/Web/price/art/8559BGNSZ?analog=on","8559BGNSZ"))*1</f>
        <v>#VALUE!</v>
      </c>
      <c r="B9449" s="1">
        <v>6998840</v>
      </c>
      <c r="C9449" t="s">
        <v>654</v>
      </c>
      <c r="D9449" t="s">
        <v>9629</v>
      </c>
      <c r="E9449" t="s">
        <v>23</v>
      </c>
    </row>
    <row r="9450" spans="1:5" hidden="1" outlineLevel="2">
      <c r="A9450" s="3" t="e">
        <f>(HYPERLINK("http://www.autodoc.ru/Web/price/art/8559LGNS2FD?analog=on","8559LGNS2FD"))*1</f>
        <v>#VALUE!</v>
      </c>
      <c r="B9450" s="1">
        <v>6994689</v>
      </c>
      <c r="C9450" t="s">
        <v>654</v>
      </c>
      <c r="D9450" t="s">
        <v>9630</v>
      </c>
      <c r="E9450" t="s">
        <v>10</v>
      </c>
    </row>
    <row r="9451" spans="1:5" hidden="1" outlineLevel="2">
      <c r="A9451" s="3" t="e">
        <f>(HYPERLINK("http://www.autodoc.ru/Web/price/art/8559RGNS2FD?analog=on","8559RGNS2FD"))*1</f>
        <v>#VALUE!</v>
      </c>
      <c r="B9451" s="1">
        <v>6994690</v>
      </c>
      <c r="C9451" t="s">
        <v>654</v>
      </c>
      <c r="D9451" t="s">
        <v>9631</v>
      </c>
      <c r="E9451" t="s">
        <v>10</v>
      </c>
    </row>
    <row r="9452" spans="1:5" hidden="1" outlineLevel="1">
      <c r="A9452" s="2">
        <v>0</v>
      </c>
      <c r="B9452" s="26" t="s">
        <v>9632</v>
      </c>
      <c r="C9452" s="27">
        <v>0</v>
      </c>
      <c r="D9452" s="27">
        <v>0</v>
      </c>
      <c r="E9452" s="27">
        <v>0</v>
      </c>
    </row>
    <row r="9453" spans="1:5" hidden="1" outlineLevel="2">
      <c r="A9453" s="3" t="e">
        <f>(HYPERLINK("http://www.autodoc.ru/Web/price/art/8555ACL1P?analog=on","8555ACL1P"))*1</f>
        <v>#VALUE!</v>
      </c>
      <c r="B9453" s="1">
        <v>6190509</v>
      </c>
      <c r="C9453" t="s">
        <v>1542</v>
      </c>
      <c r="D9453" t="s">
        <v>9633</v>
      </c>
      <c r="E9453" t="s">
        <v>8</v>
      </c>
    </row>
    <row r="9454" spans="1:5" hidden="1" outlineLevel="2">
      <c r="A9454" s="3" t="e">
        <f>(HYPERLINK("http://www.autodoc.ru/Web/price/art/8555AGN1P?analog=on","8555AGN1P"))*1</f>
        <v>#VALUE!</v>
      </c>
      <c r="B9454" s="1">
        <v>6190510</v>
      </c>
      <c r="C9454" t="s">
        <v>1542</v>
      </c>
      <c r="D9454" t="s">
        <v>9634</v>
      </c>
      <c r="E9454" t="s">
        <v>8</v>
      </c>
    </row>
    <row r="9455" spans="1:5" hidden="1" outlineLevel="2">
      <c r="A9455" s="3" t="e">
        <f>(HYPERLINK("http://www.autodoc.ru/Web/price/art/8555AGNBL1P?analog=on","8555AGNBL1P"))*1</f>
        <v>#VALUE!</v>
      </c>
      <c r="B9455" s="1">
        <v>6190511</v>
      </c>
      <c r="C9455" t="s">
        <v>1542</v>
      </c>
      <c r="D9455" t="s">
        <v>9635</v>
      </c>
      <c r="E9455" t="s">
        <v>8</v>
      </c>
    </row>
    <row r="9456" spans="1:5" hidden="1" outlineLevel="2">
      <c r="A9456" s="3" t="e">
        <f>(HYPERLINK("http://www.autodoc.ru/Web/price/art/8555LCLP2FD?analog=on","8555LCLP2FD"))*1</f>
        <v>#VALUE!</v>
      </c>
      <c r="B9456" s="1">
        <v>6190512</v>
      </c>
      <c r="C9456" t="s">
        <v>1542</v>
      </c>
      <c r="D9456" t="s">
        <v>9636</v>
      </c>
      <c r="E9456" t="s">
        <v>10</v>
      </c>
    </row>
    <row r="9457" spans="1:5" hidden="1" outlineLevel="2">
      <c r="A9457" s="3" t="e">
        <f>(HYPERLINK("http://www.autodoc.ru/Web/price/art/8555LGNP2FD?analog=on","8555LGNP2FD"))*1</f>
        <v>#VALUE!</v>
      </c>
      <c r="B9457" s="1">
        <v>6190513</v>
      </c>
      <c r="C9457" t="s">
        <v>1542</v>
      </c>
      <c r="D9457" t="s">
        <v>9637</v>
      </c>
      <c r="E9457" t="s">
        <v>10</v>
      </c>
    </row>
    <row r="9458" spans="1:5" hidden="1" outlineLevel="2">
      <c r="A9458" s="3" t="e">
        <f>(HYPERLINK("http://www.autodoc.ru/Web/price/art/8555RCLP2FD?analog=on","8555RCLP2FD"))*1</f>
        <v>#VALUE!</v>
      </c>
      <c r="B9458" s="1">
        <v>6190514</v>
      </c>
      <c r="C9458" t="s">
        <v>1542</v>
      </c>
      <c r="D9458" t="s">
        <v>9638</v>
      </c>
      <c r="E9458" t="s">
        <v>10</v>
      </c>
    </row>
    <row r="9459" spans="1:5" hidden="1" outlineLevel="2">
      <c r="A9459" s="3" t="e">
        <f>(HYPERLINK("http://www.autodoc.ru/Web/price/art/8555RGNP2FD?analog=on","8555RGNP2FD"))*1</f>
        <v>#VALUE!</v>
      </c>
      <c r="B9459" s="1">
        <v>6190515</v>
      </c>
      <c r="C9459" t="s">
        <v>1542</v>
      </c>
      <c r="D9459" t="s">
        <v>9639</v>
      </c>
      <c r="E9459" t="s">
        <v>10</v>
      </c>
    </row>
    <row r="9460" spans="1:5" hidden="1" outlineLevel="1">
      <c r="A9460" s="2">
        <v>0</v>
      </c>
      <c r="B9460" s="26" t="s">
        <v>9640</v>
      </c>
      <c r="C9460" s="27">
        <v>0</v>
      </c>
      <c r="D9460" s="27">
        <v>0</v>
      </c>
      <c r="E9460" s="27">
        <v>0</v>
      </c>
    </row>
    <row r="9461" spans="1:5" hidden="1" outlineLevel="2">
      <c r="A9461" s="3" t="e">
        <f>(HYPERLINK("http://www.autodoc.ru/Web/price/art/8581AGBABVZ1F?analog=on","8581AGBABVZ1F"))*1</f>
        <v>#VALUE!</v>
      </c>
      <c r="B9461" s="1">
        <v>6961360</v>
      </c>
      <c r="C9461" t="s">
        <v>425</v>
      </c>
      <c r="D9461" t="s">
        <v>9641</v>
      </c>
      <c r="E9461" t="s">
        <v>8</v>
      </c>
    </row>
    <row r="9462" spans="1:5" hidden="1" outlineLevel="2">
      <c r="A9462" s="3" t="e">
        <f>(HYPERLINK("http://www.autodoc.ru/Web/price/art/8581AGBAVZ1F?analog=on","8581AGBAVZ1F"))*1</f>
        <v>#VALUE!</v>
      </c>
      <c r="B9462" s="1">
        <v>6961357</v>
      </c>
      <c r="C9462" t="s">
        <v>425</v>
      </c>
      <c r="D9462" t="s">
        <v>9642</v>
      </c>
      <c r="E9462" t="s">
        <v>8</v>
      </c>
    </row>
    <row r="9463" spans="1:5" hidden="1" outlineLevel="2">
      <c r="A9463" s="3" t="e">
        <f>(HYPERLINK("http://www.autodoc.ru/Web/price/art/8581AGBGYABVZ1F?analog=on","8581AGBGYABVZ1F"))*1</f>
        <v>#VALUE!</v>
      </c>
      <c r="B9463" s="1">
        <v>6960759</v>
      </c>
      <c r="C9463" t="s">
        <v>425</v>
      </c>
      <c r="D9463" t="s">
        <v>9643</v>
      </c>
      <c r="E9463" t="s">
        <v>8</v>
      </c>
    </row>
    <row r="9464" spans="1:5" hidden="1" outlineLevel="2">
      <c r="A9464" s="3" t="e">
        <f>(HYPERLINK("http://www.autodoc.ru/Web/price/art/8581AGBGYAVZ1F?analog=on","8581AGBGYAVZ1F"))*1</f>
        <v>#VALUE!</v>
      </c>
      <c r="B9464" s="1">
        <v>6960758</v>
      </c>
      <c r="C9464" t="s">
        <v>425</v>
      </c>
      <c r="D9464" t="s">
        <v>9644</v>
      </c>
      <c r="E9464" t="s">
        <v>8</v>
      </c>
    </row>
    <row r="9465" spans="1:5" hidden="1" outlineLevel="2">
      <c r="A9465" s="3" t="e">
        <f>(HYPERLINK("http://www.autodoc.ru/Web/price/art/8581AGSABGVZ?analog=on","8581AGSABGVZ"))*1</f>
        <v>#VALUE!</v>
      </c>
      <c r="B9465" s="1">
        <v>6961298</v>
      </c>
      <c r="C9465" t="s">
        <v>425</v>
      </c>
      <c r="D9465" t="s">
        <v>9645</v>
      </c>
      <c r="E9465" t="s">
        <v>8</v>
      </c>
    </row>
    <row r="9466" spans="1:5" hidden="1" outlineLevel="2">
      <c r="A9466" s="3" t="e">
        <f>(HYPERLINK("http://www.autodoc.ru/Web/price/art/8581AGSABVZ?analog=on","8581AGSABVZ"))*1</f>
        <v>#VALUE!</v>
      </c>
      <c r="B9466" s="1">
        <v>6961297</v>
      </c>
      <c r="C9466" t="s">
        <v>425</v>
      </c>
      <c r="D9466" t="s">
        <v>9646</v>
      </c>
      <c r="E9466" t="s">
        <v>8</v>
      </c>
    </row>
    <row r="9467" spans="1:5" hidden="1" outlineLevel="2">
      <c r="A9467" s="3" t="e">
        <f>(HYPERLINK("http://www.autodoc.ru/Web/price/art/8581AGSAVZ1F?analog=on","8581AGSAVZ1F"))*1</f>
        <v>#VALUE!</v>
      </c>
      <c r="B9467" s="1">
        <v>6961190</v>
      </c>
      <c r="C9467" t="s">
        <v>425</v>
      </c>
      <c r="D9467" t="s">
        <v>9647</v>
      </c>
      <c r="E9467" t="s">
        <v>8</v>
      </c>
    </row>
    <row r="9468" spans="1:5" hidden="1" outlineLevel="2">
      <c r="A9468" s="3" t="e">
        <f>(HYPERLINK("http://www.autodoc.ru/Web/price/art/8581AGSAMVZ1B?analog=on","8581AGSAMVZ1B"))*1</f>
        <v>#VALUE!</v>
      </c>
      <c r="B9468" s="1">
        <v>6961862</v>
      </c>
      <c r="C9468" t="s">
        <v>425</v>
      </c>
      <c r="D9468" t="s">
        <v>9648</v>
      </c>
      <c r="E9468" t="s">
        <v>8</v>
      </c>
    </row>
    <row r="9469" spans="1:5" hidden="1" outlineLevel="2">
      <c r="A9469" s="3" t="e">
        <f>(HYPERLINK("http://www.autodoc.ru/Web/price/art/8581AGSMVZ1P?analog=on","8581AGSMVZ1P"))*1</f>
        <v>#VALUE!</v>
      </c>
      <c r="B9469" s="1">
        <v>6961866</v>
      </c>
      <c r="C9469" t="s">
        <v>425</v>
      </c>
      <c r="D9469" t="s">
        <v>9649</v>
      </c>
      <c r="E9469" t="s">
        <v>8</v>
      </c>
    </row>
    <row r="9470" spans="1:5" hidden="1" outlineLevel="2">
      <c r="A9470" s="3" t="e">
        <f>(HYPERLINK("http://www.autodoc.ru/Web/price/art/8581AGSAVZ?analog=on","8581AGSAVZ"))*1</f>
        <v>#VALUE!</v>
      </c>
      <c r="B9470" s="1">
        <v>6961296</v>
      </c>
      <c r="C9470" t="s">
        <v>425</v>
      </c>
      <c r="D9470" t="s">
        <v>9650</v>
      </c>
      <c r="E9470" t="s">
        <v>8</v>
      </c>
    </row>
    <row r="9471" spans="1:5" hidden="1" outlineLevel="2">
      <c r="A9471" s="3" t="e">
        <f>(HYPERLINK("http://www.autodoc.ru/Web/price/art/8581AGSGYABVZ1F?analog=on","8581AGSGYABVZ1F"))*1</f>
        <v>#VALUE!</v>
      </c>
      <c r="B9471" s="1">
        <v>6960723</v>
      </c>
      <c r="C9471" t="s">
        <v>425</v>
      </c>
      <c r="D9471" t="s">
        <v>9651</v>
      </c>
      <c r="E9471" t="s">
        <v>8</v>
      </c>
    </row>
    <row r="9472" spans="1:5" hidden="1" outlineLevel="2">
      <c r="A9472" s="3" t="e">
        <f>(HYPERLINK("http://www.autodoc.ru/Web/price/art/8581AGSGYABVZ?analog=on","8581AGSGYABVZ"))*1</f>
        <v>#VALUE!</v>
      </c>
      <c r="B9472" s="1">
        <v>6960721</v>
      </c>
      <c r="C9472" t="s">
        <v>425</v>
      </c>
      <c r="D9472" t="s">
        <v>9652</v>
      </c>
      <c r="E9472" t="s">
        <v>8</v>
      </c>
    </row>
    <row r="9473" spans="1:5" hidden="1" outlineLevel="2">
      <c r="A9473" s="3" t="e">
        <f>(HYPERLINK("http://www.autodoc.ru/Web/price/art/8581AGSGYAVZ1F?analog=on","8581AGSGYAVZ1F"))*1</f>
        <v>#VALUE!</v>
      </c>
      <c r="B9473" s="1">
        <v>6960724</v>
      </c>
      <c r="C9473" t="s">
        <v>425</v>
      </c>
      <c r="D9473" t="s">
        <v>9653</v>
      </c>
      <c r="E9473" t="s">
        <v>8</v>
      </c>
    </row>
    <row r="9474" spans="1:5" hidden="1" outlineLevel="2">
      <c r="A9474" s="3" t="e">
        <f>(HYPERLINK("http://www.autodoc.ru/Web/price/art/8581AGSGYAVZ?analog=on","8581AGSGYAVZ"))*1</f>
        <v>#VALUE!</v>
      </c>
      <c r="B9474" s="1">
        <v>6960722</v>
      </c>
      <c r="C9474" t="s">
        <v>425</v>
      </c>
      <c r="D9474" t="s">
        <v>9654</v>
      </c>
      <c r="E9474" t="s">
        <v>8</v>
      </c>
    </row>
    <row r="9475" spans="1:5" hidden="1" outlineLevel="2">
      <c r="A9475" s="3" t="e">
        <f>(HYPERLINK("http://www.autodoc.ru/Web/price/art/8581AGSGYVZ?analog=on","8581AGSGYVZ"))*1</f>
        <v>#VALUE!</v>
      </c>
      <c r="B9475" s="1">
        <v>6960461</v>
      </c>
      <c r="C9475" t="s">
        <v>425</v>
      </c>
      <c r="D9475" t="s">
        <v>9655</v>
      </c>
      <c r="E9475" t="s">
        <v>8</v>
      </c>
    </row>
    <row r="9476" spans="1:5" hidden="1" outlineLevel="2">
      <c r="A9476" s="3" t="e">
        <f>(HYPERLINK("http://www.autodoc.ru/Web/price/art/8581AGSVZ?analog=on","8581AGSVZ"))*1</f>
        <v>#VALUE!</v>
      </c>
      <c r="B9476" s="1">
        <v>6961295</v>
      </c>
      <c r="C9476" t="s">
        <v>425</v>
      </c>
      <c r="D9476" t="s">
        <v>9656</v>
      </c>
      <c r="E9476" t="s">
        <v>8</v>
      </c>
    </row>
    <row r="9477" spans="1:5" hidden="1" outlineLevel="2">
      <c r="A9477" s="3" t="e">
        <f>(HYPERLINK("http://www.autodoc.ru/Web/price/art/8581BGDVL?analog=on","8581BGDVL"))*1</f>
        <v>#VALUE!</v>
      </c>
      <c r="B9477" s="1">
        <v>6992401</v>
      </c>
      <c r="C9477" t="s">
        <v>425</v>
      </c>
      <c r="D9477" t="s">
        <v>9657</v>
      </c>
      <c r="E9477" t="s">
        <v>23</v>
      </c>
    </row>
    <row r="9478" spans="1:5" hidden="1" outlineLevel="2">
      <c r="A9478" s="3" t="e">
        <f>(HYPERLINK("http://www.autodoc.ru/Web/price/art/8581BGDVR1J?analog=on","8581BGDVR1J"))*1</f>
        <v>#VALUE!</v>
      </c>
      <c r="B9478" s="1">
        <v>6992404</v>
      </c>
      <c r="C9478" t="s">
        <v>425</v>
      </c>
      <c r="D9478" t="s">
        <v>9658</v>
      </c>
      <c r="E9478" t="s">
        <v>23</v>
      </c>
    </row>
    <row r="9479" spans="1:5" hidden="1" outlineLevel="2">
      <c r="A9479" s="3" t="e">
        <f>(HYPERLINK("http://www.autodoc.ru/Web/price/art/8581BGSVL?analog=on","8581BGSVL"))*1</f>
        <v>#VALUE!</v>
      </c>
      <c r="B9479" s="1">
        <v>6991869</v>
      </c>
      <c r="C9479" t="s">
        <v>425</v>
      </c>
      <c r="D9479" t="s">
        <v>9659</v>
      </c>
      <c r="E9479" t="s">
        <v>23</v>
      </c>
    </row>
    <row r="9480" spans="1:5" hidden="1" outlineLevel="2">
      <c r="A9480" s="3" t="e">
        <f>(HYPERLINK("http://www.autodoc.ru/Web/price/art/8581BGSVR1J?analog=on","8581BGSVR1J"))*1</f>
        <v>#VALUE!</v>
      </c>
      <c r="B9480" s="1">
        <v>6992392</v>
      </c>
      <c r="C9480" t="s">
        <v>425</v>
      </c>
      <c r="D9480" t="s">
        <v>9660</v>
      </c>
      <c r="E9480" t="s">
        <v>23</v>
      </c>
    </row>
    <row r="9481" spans="1:5" hidden="1" outlineLevel="2">
      <c r="A9481" s="3" t="e">
        <f>(HYPERLINK("http://www.autodoc.ru/Web/price/art/8581BGSVI?analog=on","8581BGSVI"))*1</f>
        <v>#VALUE!</v>
      </c>
      <c r="B9481" s="1">
        <v>6996565</v>
      </c>
      <c r="C9481" t="s">
        <v>425</v>
      </c>
      <c r="D9481" t="s">
        <v>9661</v>
      </c>
      <c r="E9481" t="s">
        <v>23</v>
      </c>
    </row>
    <row r="9482" spans="1:5" hidden="1" outlineLevel="2">
      <c r="A9482" s="3" t="e">
        <f>(HYPERLINK("http://www.autodoc.ru/Web/price/art/8581BYPVL?analog=on","8581BYPVL"))*1</f>
        <v>#VALUE!</v>
      </c>
      <c r="B9482" s="1">
        <v>6993693</v>
      </c>
      <c r="C9482" t="s">
        <v>425</v>
      </c>
      <c r="D9482" t="s">
        <v>9662</v>
      </c>
      <c r="E9482" t="s">
        <v>23</v>
      </c>
    </row>
    <row r="9483" spans="1:5" hidden="1" outlineLevel="2">
      <c r="A9483" s="3" t="e">
        <f>(HYPERLINK("http://www.autodoc.ru/Web/price/art/8581LGSV2FD?analog=on","8581LGSV2FD"))*1</f>
        <v>#VALUE!</v>
      </c>
      <c r="B9483" s="1">
        <v>6996325</v>
      </c>
      <c r="C9483" t="s">
        <v>425</v>
      </c>
      <c r="D9483" t="s">
        <v>9663</v>
      </c>
      <c r="E9483" t="s">
        <v>10</v>
      </c>
    </row>
    <row r="9484" spans="1:5" hidden="1" outlineLevel="2">
      <c r="A9484" s="3" t="e">
        <f>(HYPERLINK("http://www.autodoc.ru/Web/price/art/8581LGSV2FQZ?analog=on","8581LGSV2FQZ"))*1</f>
        <v>#VALUE!</v>
      </c>
      <c r="B9484" s="1">
        <v>6996326</v>
      </c>
      <c r="C9484" t="s">
        <v>425</v>
      </c>
      <c r="D9484" t="s">
        <v>9664</v>
      </c>
      <c r="E9484" t="s">
        <v>10</v>
      </c>
    </row>
    <row r="9485" spans="1:5" hidden="1" outlineLevel="2">
      <c r="A9485" s="3" t="e">
        <f>(HYPERLINK("http://www.autodoc.ru/Web/price/art/8581LGSV3MQW?analog=on","8581LGSV3MQW"))*1</f>
        <v>#VALUE!</v>
      </c>
      <c r="B9485" s="1">
        <v>6997425</v>
      </c>
      <c r="C9485" t="s">
        <v>425</v>
      </c>
      <c r="D9485" t="s">
        <v>9665</v>
      </c>
      <c r="E9485" t="s">
        <v>10</v>
      </c>
    </row>
    <row r="9486" spans="1:5" hidden="1" outlineLevel="2">
      <c r="A9486" s="3" t="e">
        <f>(HYPERLINK("http://www.autodoc.ru/Web/price/art/8581RGSV2FD?analog=on","8581RGSV2FD"))*1</f>
        <v>#VALUE!</v>
      </c>
      <c r="B9486" s="1">
        <v>6996327</v>
      </c>
      <c r="C9486" t="s">
        <v>425</v>
      </c>
      <c r="D9486" t="s">
        <v>9666</v>
      </c>
      <c r="E9486" t="s">
        <v>10</v>
      </c>
    </row>
    <row r="9487" spans="1:5" hidden="1" outlineLevel="2">
      <c r="A9487" s="3" t="e">
        <f>(HYPERLINK("http://www.autodoc.ru/Web/price/art/8581RGSV2FQZ?analog=on","8581RGSV2FQZ"))*1</f>
        <v>#VALUE!</v>
      </c>
      <c r="B9487" s="1">
        <v>6996328</v>
      </c>
      <c r="C9487" t="s">
        <v>425</v>
      </c>
      <c r="D9487" t="s">
        <v>9667</v>
      </c>
      <c r="E9487" t="s">
        <v>10</v>
      </c>
    </row>
    <row r="9488" spans="1:5" hidden="1" outlineLevel="2">
      <c r="A9488" s="3" t="e">
        <f>(HYPERLINK("http://www.autodoc.ru/Web/price/art/8581RGSV3MQW?analog=on","8581RGSV3MQW"))*1</f>
        <v>#VALUE!</v>
      </c>
      <c r="B9488" s="1">
        <v>6997459</v>
      </c>
      <c r="C9488" t="s">
        <v>425</v>
      </c>
      <c r="D9488" t="s">
        <v>9668</v>
      </c>
      <c r="E9488" t="s">
        <v>10</v>
      </c>
    </row>
    <row r="9489" spans="1:5" hidden="1" outlineLevel="1">
      <c r="A9489" s="2">
        <v>0</v>
      </c>
      <c r="B9489" s="26" t="s">
        <v>9669</v>
      </c>
      <c r="C9489" s="27">
        <v>0</v>
      </c>
      <c r="D9489" s="27">
        <v>0</v>
      </c>
      <c r="E9489" s="27">
        <v>0</v>
      </c>
    </row>
    <row r="9490" spans="1:5" hidden="1" outlineLevel="2">
      <c r="A9490" s="3" t="e">
        <f>(HYPERLINK("http://www.autodoc.ru/Web/price/art/8510ACL?analog=on","8510ACL"))*1</f>
        <v>#VALUE!</v>
      </c>
      <c r="B9490" s="1">
        <v>6963522</v>
      </c>
      <c r="C9490" t="s">
        <v>9670</v>
      </c>
      <c r="D9490" t="s">
        <v>9671</v>
      </c>
      <c r="E9490" t="s">
        <v>8</v>
      </c>
    </row>
    <row r="9491" spans="1:5" hidden="1" outlineLevel="2">
      <c r="A9491" s="3" t="e">
        <f>(HYPERLINK("http://www.autodoc.ru/Web/price/art/8510ASRV?analog=on","8510ASRV"))*1</f>
        <v>#VALUE!</v>
      </c>
      <c r="B9491" s="1">
        <v>6100345</v>
      </c>
      <c r="C9491" t="s">
        <v>19</v>
      </c>
      <c r="D9491" t="s">
        <v>9672</v>
      </c>
      <c r="E9491" t="s">
        <v>21</v>
      </c>
    </row>
    <row r="9492" spans="1:5" hidden="1" outlineLevel="1">
      <c r="A9492" s="2">
        <v>0</v>
      </c>
      <c r="B9492" s="26" t="s">
        <v>9673</v>
      </c>
      <c r="C9492" s="27">
        <v>0</v>
      </c>
      <c r="D9492" s="27">
        <v>0</v>
      </c>
      <c r="E9492" s="27">
        <v>0</v>
      </c>
    </row>
    <row r="9493" spans="1:5" hidden="1" outlineLevel="2">
      <c r="A9493" s="3" t="e">
        <f>(HYPERLINK("http://www.autodoc.ru/Web/price/art/8538AGNBL?analog=on","8538AGNBL"))*1</f>
        <v>#VALUE!</v>
      </c>
      <c r="B9493" s="1">
        <v>6963599</v>
      </c>
      <c r="C9493" t="s">
        <v>6401</v>
      </c>
      <c r="D9493" t="s">
        <v>9674</v>
      </c>
      <c r="E9493" t="s">
        <v>8</v>
      </c>
    </row>
    <row r="9494" spans="1:5" hidden="1" outlineLevel="2">
      <c r="A9494" s="3" t="e">
        <f>(HYPERLINK("http://www.autodoc.ru/Web/price/art/8538AGNGN?analog=on","8538AGNGN"))*1</f>
        <v>#VALUE!</v>
      </c>
      <c r="B9494" s="1">
        <v>6963719</v>
      </c>
      <c r="C9494" t="s">
        <v>6401</v>
      </c>
      <c r="D9494" t="s">
        <v>9675</v>
      </c>
      <c r="E9494" t="s">
        <v>8</v>
      </c>
    </row>
    <row r="9495" spans="1:5" hidden="1" outlineLevel="2">
      <c r="A9495" s="3" t="e">
        <f>(HYPERLINK("http://www.autodoc.ru/Web/price/art/8538AKMC?analog=on","8538AKMC"))*1</f>
        <v>#VALUE!</v>
      </c>
      <c r="B9495" s="1">
        <v>6100239</v>
      </c>
      <c r="C9495" t="s">
        <v>19</v>
      </c>
      <c r="D9495" t="s">
        <v>9676</v>
      </c>
      <c r="E9495" t="s">
        <v>21</v>
      </c>
    </row>
    <row r="9496" spans="1:5" hidden="1" outlineLevel="1">
      <c r="A9496" s="2">
        <v>0</v>
      </c>
      <c r="B9496" s="26" t="s">
        <v>9677</v>
      </c>
      <c r="C9496" s="27">
        <v>0</v>
      </c>
      <c r="D9496" s="27">
        <v>0</v>
      </c>
      <c r="E9496" s="27">
        <v>0</v>
      </c>
    </row>
    <row r="9497" spans="1:5" hidden="1" outlineLevel="2">
      <c r="A9497" s="3" t="e">
        <f>(HYPERLINK("http://www.autodoc.ru/Web/price/art/8585AGSAW?analog=on","8585AGSAW"))*1</f>
        <v>#VALUE!</v>
      </c>
      <c r="B9497" s="1">
        <v>6961446</v>
      </c>
      <c r="C9497" t="s">
        <v>890</v>
      </c>
      <c r="D9497" t="s">
        <v>9678</v>
      </c>
      <c r="E9497" t="s">
        <v>8</v>
      </c>
    </row>
    <row r="9498" spans="1:5" hidden="1" outlineLevel="2">
      <c r="A9498" s="3" t="e">
        <f>(HYPERLINK("http://www.autodoc.ru/Web/price/art/8538AKMC?analog=on","8538AKMC"))*1</f>
        <v>#VALUE!</v>
      </c>
      <c r="B9498" s="1">
        <v>6100239</v>
      </c>
      <c r="C9498" t="s">
        <v>19</v>
      </c>
      <c r="D9498" t="s">
        <v>9679</v>
      </c>
      <c r="E9498" t="s">
        <v>21</v>
      </c>
    </row>
    <row r="9499" spans="1:5" hidden="1" outlineLevel="1">
      <c r="A9499" s="2">
        <v>0</v>
      </c>
      <c r="B9499" s="26" t="s">
        <v>9680</v>
      </c>
      <c r="C9499" s="27">
        <v>0</v>
      </c>
      <c r="D9499" s="27">
        <v>0</v>
      </c>
      <c r="E9499" s="27">
        <v>0</v>
      </c>
    </row>
    <row r="9500" spans="1:5" hidden="1" outlineLevel="2">
      <c r="A9500" s="3" t="e">
        <f>(HYPERLINK("http://www.autodoc.ru/Web/price/art/8519ACL?analog=on","8519ACL"))*1</f>
        <v>#VALUE!</v>
      </c>
      <c r="B9500" s="1">
        <v>6967402</v>
      </c>
      <c r="C9500" t="s">
        <v>9681</v>
      </c>
      <c r="D9500" t="s">
        <v>9682</v>
      </c>
      <c r="E9500" t="s">
        <v>8</v>
      </c>
    </row>
    <row r="9501" spans="1:5" hidden="1" outlineLevel="2">
      <c r="A9501" s="3" t="e">
        <f>(HYPERLINK("http://www.autodoc.ru/Web/price/art/8519AGN?analog=on","8519AGN"))*1</f>
        <v>#VALUE!</v>
      </c>
      <c r="B9501" s="1">
        <v>6967400</v>
      </c>
      <c r="C9501" t="s">
        <v>9681</v>
      </c>
      <c r="D9501" t="s">
        <v>9683</v>
      </c>
      <c r="E9501" t="s">
        <v>8</v>
      </c>
    </row>
    <row r="9502" spans="1:5" hidden="1" outlineLevel="2">
      <c r="A9502" s="3" t="e">
        <f>(HYPERLINK("http://www.autodoc.ru/Web/price/art/8519AGNBL?analog=on","8519AGNBL"))*1</f>
        <v>#VALUE!</v>
      </c>
      <c r="B9502" s="1">
        <v>6967405</v>
      </c>
      <c r="C9502" t="s">
        <v>9681</v>
      </c>
      <c r="D9502" t="s">
        <v>9684</v>
      </c>
      <c r="E9502" t="s">
        <v>8</v>
      </c>
    </row>
    <row r="9503" spans="1:5" hidden="1" outlineLevel="2">
      <c r="A9503" s="3" t="e">
        <f>(HYPERLINK("http://www.autodoc.ru/Web/price/art/8519AGNGN?analog=on","8519AGNGN"))*1</f>
        <v>#VALUE!</v>
      </c>
      <c r="B9503" s="1">
        <v>6967404</v>
      </c>
      <c r="C9503" t="s">
        <v>9681</v>
      </c>
      <c r="D9503" t="s">
        <v>9685</v>
      </c>
      <c r="E9503" t="s">
        <v>8</v>
      </c>
    </row>
    <row r="9504" spans="1:5" hidden="1" outlineLevel="2">
      <c r="A9504" s="3" t="e">
        <f>(HYPERLINK("http://www.autodoc.ru/Web/price/art/8519ASRH?analog=on","8519ASRH"))*1</f>
        <v>#VALUE!</v>
      </c>
      <c r="B9504" s="1">
        <v>6101265</v>
      </c>
      <c r="C9504" t="s">
        <v>19</v>
      </c>
      <c r="D9504" t="s">
        <v>9686</v>
      </c>
      <c r="E9504" t="s">
        <v>21</v>
      </c>
    </row>
    <row r="9505" spans="1:5" hidden="1" outlineLevel="2">
      <c r="A9505" s="3" t="e">
        <f>(HYPERLINK("http://www.autodoc.ru/Web/price/art/8519LGNH3FV?analog=on","8519LGNH3FV"))*1</f>
        <v>#VALUE!</v>
      </c>
      <c r="B9505" s="1">
        <v>6996905</v>
      </c>
      <c r="C9505" t="s">
        <v>9681</v>
      </c>
      <c r="D9505" t="s">
        <v>9687</v>
      </c>
      <c r="E9505" t="s">
        <v>10</v>
      </c>
    </row>
    <row r="9506" spans="1:5" hidden="1" outlineLevel="1">
      <c r="A9506" s="2">
        <v>0</v>
      </c>
      <c r="B9506" s="26" t="s">
        <v>9688</v>
      </c>
      <c r="C9506" s="27">
        <v>0</v>
      </c>
      <c r="D9506" s="27">
        <v>0</v>
      </c>
      <c r="E9506" s="27">
        <v>0</v>
      </c>
    </row>
    <row r="9507" spans="1:5" hidden="1" outlineLevel="2">
      <c r="A9507" s="3" t="e">
        <f>(HYPERLINK("http://www.autodoc.ru/Web/price/art/8533ACL?analog=on","8533ACL"))*1</f>
        <v>#VALUE!</v>
      </c>
      <c r="B9507" s="1">
        <v>6967409</v>
      </c>
      <c r="C9507" t="s">
        <v>180</v>
      </c>
      <c r="D9507" t="s">
        <v>9689</v>
      </c>
      <c r="E9507" t="s">
        <v>8</v>
      </c>
    </row>
    <row r="9508" spans="1:5" hidden="1" outlineLevel="2">
      <c r="A9508" s="3" t="e">
        <f>(HYPERLINK("http://www.autodoc.ru/Web/price/art/8533AGN?analog=on","8533AGN"))*1</f>
        <v>#VALUE!</v>
      </c>
      <c r="B9508" s="1">
        <v>6967410</v>
      </c>
      <c r="C9508" t="s">
        <v>180</v>
      </c>
      <c r="D9508" t="s">
        <v>9690</v>
      </c>
      <c r="E9508" t="s">
        <v>8</v>
      </c>
    </row>
    <row r="9509" spans="1:5" hidden="1" outlineLevel="2">
      <c r="A9509" s="3" t="e">
        <f>(HYPERLINK("http://www.autodoc.ru/Web/price/art/8533AGNBL?analog=on","8533AGNBL"))*1</f>
        <v>#VALUE!</v>
      </c>
      <c r="B9509" s="1">
        <v>6967406</v>
      </c>
      <c r="C9509" t="s">
        <v>180</v>
      </c>
      <c r="D9509" t="s">
        <v>9691</v>
      </c>
      <c r="E9509" t="s">
        <v>8</v>
      </c>
    </row>
    <row r="9510" spans="1:5" hidden="1" outlineLevel="2">
      <c r="A9510" s="3" t="e">
        <f>(HYPERLINK("http://www.autodoc.ru/Web/price/art/8533AGNGN?analog=on","8533AGNGN"))*1</f>
        <v>#VALUE!</v>
      </c>
      <c r="B9510" s="1">
        <v>6967411</v>
      </c>
      <c r="C9510" t="s">
        <v>180</v>
      </c>
      <c r="D9510" t="s">
        <v>9692</v>
      </c>
      <c r="E9510" t="s">
        <v>8</v>
      </c>
    </row>
    <row r="9511" spans="1:5" hidden="1" outlineLevel="2">
      <c r="A9511" s="3" t="e">
        <f>(HYPERLINK("http://www.autodoc.ru/Web/price/art/8533ASRH1H?analog=on","8533ASRH1H"))*1</f>
        <v>#VALUE!</v>
      </c>
      <c r="B9511" s="1">
        <v>6101288</v>
      </c>
      <c r="C9511" t="s">
        <v>19</v>
      </c>
      <c r="D9511" t="s">
        <v>9693</v>
      </c>
      <c r="E9511" t="s">
        <v>21</v>
      </c>
    </row>
    <row r="9512" spans="1:5" hidden="1" outlineLevel="2">
      <c r="A9512" s="3" t="e">
        <f>(HYPERLINK("http://www.autodoc.ru/Web/price/art/8533BCLH?analog=on","8533BCLH"))*1</f>
        <v>#VALUE!</v>
      </c>
      <c r="B9512" s="1">
        <v>6998526</v>
      </c>
      <c r="C9512" t="s">
        <v>180</v>
      </c>
      <c r="D9512" t="s">
        <v>9694</v>
      </c>
      <c r="E9512" t="s">
        <v>23</v>
      </c>
    </row>
    <row r="9513" spans="1:5" hidden="1" outlineLevel="2">
      <c r="A9513" s="3" t="e">
        <f>(HYPERLINK("http://www.autodoc.ru/Web/price/art/8533BCLH1H?analog=on","8533BCLH1H"))*1</f>
        <v>#VALUE!</v>
      </c>
      <c r="B9513" s="1">
        <v>6997320</v>
      </c>
      <c r="C9513" t="s">
        <v>180</v>
      </c>
      <c r="D9513" t="s">
        <v>9695</v>
      </c>
      <c r="E9513" t="s">
        <v>23</v>
      </c>
    </row>
    <row r="9514" spans="1:5" hidden="1" outlineLevel="2">
      <c r="A9514" s="3" t="e">
        <f>(HYPERLINK("http://www.autodoc.ru/Web/price/art/8533BCLS?analog=on","8533BCLS"))*1</f>
        <v>#VALUE!</v>
      </c>
      <c r="B9514" s="1">
        <v>6997321</v>
      </c>
      <c r="C9514" t="s">
        <v>180</v>
      </c>
      <c r="D9514" t="s">
        <v>9696</v>
      </c>
      <c r="E9514" t="s">
        <v>23</v>
      </c>
    </row>
    <row r="9515" spans="1:5" hidden="1" outlineLevel="2">
      <c r="A9515" s="3" t="e">
        <f>(HYPERLINK("http://www.autodoc.ru/Web/price/art/8533BGNH?analog=on","8533BGNH"))*1</f>
        <v>#VALUE!</v>
      </c>
      <c r="B9515" s="1">
        <v>6990675</v>
      </c>
      <c r="C9515" t="s">
        <v>180</v>
      </c>
      <c r="D9515" t="s">
        <v>9697</v>
      </c>
      <c r="E9515" t="s">
        <v>23</v>
      </c>
    </row>
    <row r="9516" spans="1:5" hidden="1" outlineLevel="2">
      <c r="A9516" s="3" t="e">
        <f>(HYPERLINK("http://www.autodoc.ru/Web/price/art/8533BGNH1H?analog=on","8533BGNH1H"))*1</f>
        <v>#VALUE!</v>
      </c>
      <c r="B9516" s="1">
        <v>6990682</v>
      </c>
      <c r="C9516" t="s">
        <v>180</v>
      </c>
      <c r="D9516" t="s">
        <v>9698</v>
      </c>
      <c r="E9516" t="s">
        <v>23</v>
      </c>
    </row>
    <row r="9517" spans="1:5" hidden="1" outlineLevel="2">
      <c r="A9517" s="3" t="e">
        <f>(HYPERLINK("http://www.autodoc.ru/Web/price/art/8533BGNS?analog=on","8533BGNS"))*1</f>
        <v>#VALUE!</v>
      </c>
      <c r="B9517" s="1">
        <v>6998985</v>
      </c>
      <c r="C9517" t="s">
        <v>180</v>
      </c>
      <c r="D9517" t="s">
        <v>9699</v>
      </c>
      <c r="E9517" t="s">
        <v>23</v>
      </c>
    </row>
    <row r="9518" spans="1:5" hidden="1" outlineLevel="2">
      <c r="A9518" s="3" t="e">
        <f>(HYPERLINK("http://www.autodoc.ru/Web/price/art/8533BSRH?analog=on","8533BSRH"))*1</f>
        <v>#VALUE!</v>
      </c>
      <c r="B9518" s="1">
        <v>6100342</v>
      </c>
      <c r="C9518" t="s">
        <v>19</v>
      </c>
      <c r="D9518" t="s">
        <v>9700</v>
      </c>
      <c r="E9518" t="s">
        <v>21</v>
      </c>
    </row>
    <row r="9519" spans="1:5" hidden="1" outlineLevel="2">
      <c r="A9519" s="3" t="e">
        <f>(HYPERLINK("http://www.autodoc.ru/Web/price/art/8533LCLH3FD?analog=on","8533LCLH3FD"))*1</f>
        <v>#VALUE!</v>
      </c>
      <c r="B9519" s="1">
        <v>6999008</v>
      </c>
      <c r="C9519" t="s">
        <v>180</v>
      </c>
      <c r="D9519" t="s">
        <v>9701</v>
      </c>
      <c r="E9519" t="s">
        <v>10</v>
      </c>
    </row>
    <row r="9520" spans="1:5" hidden="1" outlineLevel="2">
      <c r="A9520" s="3" t="e">
        <f>(HYPERLINK("http://www.autodoc.ru/Web/price/art/8533LCLH3FD1J?analog=on","8533LCLH3FD1J"))*1</f>
        <v>#VALUE!</v>
      </c>
      <c r="B9520" s="1">
        <v>6999004</v>
      </c>
      <c r="C9520" t="s">
        <v>180</v>
      </c>
      <c r="D9520" t="s">
        <v>9701</v>
      </c>
      <c r="E9520" t="s">
        <v>10</v>
      </c>
    </row>
    <row r="9521" spans="1:5" hidden="1" outlineLevel="2">
      <c r="A9521" s="3" t="e">
        <f>(HYPERLINK("http://www.autodoc.ru/Web/price/art/8533LCLH3RQ?analog=on","8533LCLH3RQ"))*1</f>
        <v>#VALUE!</v>
      </c>
      <c r="B9521" s="1">
        <v>6996920</v>
      </c>
      <c r="C9521" t="s">
        <v>180</v>
      </c>
      <c r="D9521" t="s">
        <v>9702</v>
      </c>
      <c r="E9521" t="s">
        <v>10</v>
      </c>
    </row>
    <row r="9522" spans="1:5" hidden="1" outlineLevel="2">
      <c r="A9522" s="3" t="e">
        <f>(HYPERLINK("http://www.autodoc.ru/Web/price/art/8533LCLH5FD?analog=on","8533LCLH5FD"))*1</f>
        <v>#VALUE!</v>
      </c>
      <c r="B9522" s="1">
        <v>6999018</v>
      </c>
      <c r="C9522" t="s">
        <v>180</v>
      </c>
      <c r="D9522" t="s">
        <v>9703</v>
      </c>
      <c r="E9522" t="s">
        <v>10</v>
      </c>
    </row>
    <row r="9523" spans="1:5" hidden="1" outlineLevel="2">
      <c r="A9523" s="3" t="e">
        <f>(HYPERLINK("http://www.autodoc.ru/Web/price/art/8533LCLH5FD1J?analog=on","8533LCLH5FD1J"))*1</f>
        <v>#VALUE!</v>
      </c>
      <c r="B9523" s="1">
        <v>6999014</v>
      </c>
      <c r="C9523" t="s">
        <v>180</v>
      </c>
      <c r="D9523" t="s">
        <v>9703</v>
      </c>
      <c r="E9523" t="s">
        <v>10</v>
      </c>
    </row>
    <row r="9524" spans="1:5" hidden="1" outlineLevel="2">
      <c r="A9524" s="3" t="e">
        <f>(HYPERLINK("http://www.autodoc.ru/Web/price/art/8533LCLH5RD?analog=on","8533LCLH5RD"))*1</f>
        <v>#VALUE!</v>
      </c>
      <c r="B9524" s="1">
        <v>6996921</v>
      </c>
      <c r="C9524" t="s">
        <v>180</v>
      </c>
      <c r="D9524" t="s">
        <v>9704</v>
      </c>
      <c r="E9524" t="s">
        <v>10</v>
      </c>
    </row>
    <row r="9525" spans="1:5" hidden="1" outlineLevel="2">
      <c r="A9525" s="3" t="e">
        <f>(HYPERLINK("http://www.autodoc.ru/Web/price/art/8533LCLH5RV?analog=on","8533LCLH5RV"))*1</f>
        <v>#VALUE!</v>
      </c>
      <c r="B9525" s="1">
        <v>6996922</v>
      </c>
      <c r="C9525" t="s">
        <v>180</v>
      </c>
      <c r="D9525" t="s">
        <v>9705</v>
      </c>
      <c r="E9525" t="s">
        <v>10</v>
      </c>
    </row>
    <row r="9526" spans="1:5" hidden="1" outlineLevel="2">
      <c r="A9526" s="3" t="e">
        <f>(HYPERLINK("http://www.autodoc.ru/Web/price/art/8533LGNH3FD?analog=on","8533LGNH3FD"))*1</f>
        <v>#VALUE!</v>
      </c>
      <c r="B9526" s="1">
        <v>6999006</v>
      </c>
      <c r="C9526" t="s">
        <v>180</v>
      </c>
      <c r="D9526" t="s">
        <v>9706</v>
      </c>
      <c r="E9526" t="s">
        <v>10</v>
      </c>
    </row>
    <row r="9527" spans="1:5" hidden="1" outlineLevel="2">
      <c r="A9527" s="3" t="e">
        <f>(HYPERLINK("http://www.autodoc.ru/Web/price/art/8533LGNH3FD1J?analog=on","8533LGNH3FD1J"))*1</f>
        <v>#VALUE!</v>
      </c>
      <c r="B9527" s="1">
        <v>6999002</v>
      </c>
      <c r="C9527" t="s">
        <v>180</v>
      </c>
      <c r="D9527" t="s">
        <v>9706</v>
      </c>
      <c r="E9527" t="s">
        <v>10</v>
      </c>
    </row>
    <row r="9528" spans="1:5" hidden="1" outlineLevel="2">
      <c r="A9528" s="3" t="e">
        <f>(HYPERLINK("http://www.autodoc.ru/Web/price/art/8533LGNH3RQ?analog=on","8533LGNH3RQ"))*1</f>
        <v>#VALUE!</v>
      </c>
      <c r="B9528" s="1">
        <v>6996926</v>
      </c>
      <c r="C9528" t="s">
        <v>180</v>
      </c>
      <c r="D9528" t="s">
        <v>9707</v>
      </c>
      <c r="E9528" t="s">
        <v>10</v>
      </c>
    </row>
    <row r="9529" spans="1:5" hidden="1" outlineLevel="2">
      <c r="A9529" s="3" t="e">
        <f>(HYPERLINK("http://www.autodoc.ru/Web/price/art/8533LGNH5FD1J?analog=on","8533LGNH5FD1J"))*1</f>
        <v>#VALUE!</v>
      </c>
      <c r="B9529" s="1">
        <v>6999016</v>
      </c>
      <c r="C9529" t="s">
        <v>180</v>
      </c>
      <c r="D9529" t="s">
        <v>9708</v>
      </c>
      <c r="E9529" t="s">
        <v>10</v>
      </c>
    </row>
    <row r="9530" spans="1:5" hidden="1" outlineLevel="2">
      <c r="A9530" s="3" t="e">
        <f>(HYPERLINK("http://www.autodoc.ru/Web/price/art/8533LGNH5RD?analog=on","8533LGNH5RD"))*1</f>
        <v>#VALUE!</v>
      </c>
      <c r="B9530" s="1">
        <v>6996927</v>
      </c>
      <c r="C9530" t="s">
        <v>180</v>
      </c>
      <c r="D9530" t="s">
        <v>9709</v>
      </c>
      <c r="E9530" t="s">
        <v>10</v>
      </c>
    </row>
    <row r="9531" spans="1:5" hidden="1" outlineLevel="2">
      <c r="A9531" s="3" t="e">
        <f>(HYPERLINK("http://www.autodoc.ru/Web/price/art/8533LGNH5RV?analog=on","8533LGNH5RV"))*1</f>
        <v>#VALUE!</v>
      </c>
      <c r="B9531" s="1">
        <v>6999103</v>
      </c>
      <c r="C9531" t="s">
        <v>180</v>
      </c>
      <c r="D9531" t="s">
        <v>9710</v>
      </c>
      <c r="E9531" t="s">
        <v>10</v>
      </c>
    </row>
    <row r="9532" spans="1:5" hidden="1" outlineLevel="2">
      <c r="A9532" s="3" t="e">
        <f>(HYPERLINK("http://www.autodoc.ru/Web/price/art/8533RCLH3FD?analog=on","8533RCLH3FD"))*1</f>
        <v>#VALUE!</v>
      </c>
      <c r="B9532" s="1">
        <v>6999007</v>
      </c>
      <c r="C9532" t="s">
        <v>180</v>
      </c>
      <c r="D9532" t="s">
        <v>9711</v>
      </c>
      <c r="E9532" t="s">
        <v>10</v>
      </c>
    </row>
    <row r="9533" spans="1:5" hidden="1" outlineLevel="2">
      <c r="A9533" s="3" t="e">
        <f>(HYPERLINK("http://www.autodoc.ru/Web/price/art/8533RCLH3FD1J?analog=on","8533RCLH3FD1J"))*1</f>
        <v>#VALUE!</v>
      </c>
      <c r="B9533" s="1">
        <v>6999003</v>
      </c>
      <c r="C9533" t="s">
        <v>180</v>
      </c>
      <c r="D9533" t="s">
        <v>9711</v>
      </c>
      <c r="E9533" t="s">
        <v>10</v>
      </c>
    </row>
    <row r="9534" spans="1:5" hidden="1" outlineLevel="2">
      <c r="A9534" s="3" t="e">
        <f>(HYPERLINK("http://www.autodoc.ru/Web/price/art/8533RCLH3RQ?analog=on","8533RCLH3RQ"))*1</f>
        <v>#VALUE!</v>
      </c>
      <c r="B9534" s="1">
        <v>6996923</v>
      </c>
      <c r="C9534" t="s">
        <v>180</v>
      </c>
      <c r="D9534" t="s">
        <v>9712</v>
      </c>
      <c r="E9534" t="s">
        <v>10</v>
      </c>
    </row>
    <row r="9535" spans="1:5" hidden="1" outlineLevel="2">
      <c r="A9535" s="3" t="e">
        <f>(HYPERLINK("http://www.autodoc.ru/Web/price/art/8533RCLH5FD?analog=on","8533RCLH5FD"))*1</f>
        <v>#VALUE!</v>
      </c>
      <c r="B9535" s="1">
        <v>6999017</v>
      </c>
      <c r="C9535" t="s">
        <v>180</v>
      </c>
      <c r="D9535" t="s">
        <v>9713</v>
      </c>
      <c r="E9535" t="s">
        <v>10</v>
      </c>
    </row>
    <row r="9536" spans="1:5" hidden="1" outlineLevel="2">
      <c r="A9536" s="3" t="e">
        <f>(HYPERLINK("http://www.autodoc.ru/Web/price/art/8533RCLH5FD1J?analog=on","8533RCLH5FD1J"))*1</f>
        <v>#VALUE!</v>
      </c>
      <c r="B9536" s="1">
        <v>6999013</v>
      </c>
      <c r="C9536" t="s">
        <v>180</v>
      </c>
      <c r="D9536" t="s">
        <v>9713</v>
      </c>
      <c r="E9536" t="s">
        <v>10</v>
      </c>
    </row>
    <row r="9537" spans="1:5" hidden="1" outlineLevel="2">
      <c r="A9537" s="3" t="e">
        <f>(HYPERLINK("http://www.autodoc.ru/Web/price/art/8533RCLH5RD?analog=on","8533RCLH5RD"))*1</f>
        <v>#VALUE!</v>
      </c>
      <c r="B9537" s="1">
        <v>6996924</v>
      </c>
      <c r="C9537" t="s">
        <v>180</v>
      </c>
      <c r="D9537" t="s">
        <v>9714</v>
      </c>
      <c r="E9537" t="s">
        <v>10</v>
      </c>
    </row>
    <row r="9538" spans="1:5" hidden="1" outlineLevel="2">
      <c r="A9538" s="3" t="e">
        <f>(HYPERLINK("http://www.autodoc.ru/Web/price/art/8533RCLH5RV?analog=on","8533RCLH5RV"))*1</f>
        <v>#VALUE!</v>
      </c>
      <c r="B9538" s="1">
        <v>6996925</v>
      </c>
      <c r="C9538" t="s">
        <v>180</v>
      </c>
      <c r="D9538" t="s">
        <v>9715</v>
      </c>
      <c r="E9538" t="s">
        <v>10</v>
      </c>
    </row>
    <row r="9539" spans="1:5" hidden="1" outlineLevel="2">
      <c r="A9539" s="3" t="e">
        <f>(HYPERLINK("http://www.autodoc.ru/Web/price/art/8533RGNH3FD?analog=on","8533RGNH3FD"))*1</f>
        <v>#VALUE!</v>
      </c>
      <c r="B9539" s="1">
        <v>6999005</v>
      </c>
      <c r="C9539" t="s">
        <v>180</v>
      </c>
      <c r="D9539" t="s">
        <v>9716</v>
      </c>
      <c r="E9539" t="s">
        <v>10</v>
      </c>
    </row>
    <row r="9540" spans="1:5" hidden="1" outlineLevel="2">
      <c r="A9540" s="3" t="e">
        <f>(HYPERLINK("http://www.autodoc.ru/Web/price/art/8533RGNH3FD1J?analog=on","8533RGNH3FD1J"))*1</f>
        <v>#VALUE!</v>
      </c>
      <c r="B9540" s="1">
        <v>6999001</v>
      </c>
      <c r="C9540" t="s">
        <v>180</v>
      </c>
      <c r="D9540" t="s">
        <v>9716</v>
      </c>
      <c r="E9540" t="s">
        <v>10</v>
      </c>
    </row>
    <row r="9541" spans="1:5" hidden="1" outlineLevel="2">
      <c r="A9541" s="3" t="e">
        <f>(HYPERLINK("http://www.autodoc.ru/Web/price/art/8533RGNH3RQ?analog=on","8533RGNH3RQ"))*1</f>
        <v>#VALUE!</v>
      </c>
      <c r="B9541" s="1">
        <v>6996928</v>
      </c>
      <c r="C9541" t="s">
        <v>180</v>
      </c>
      <c r="D9541" t="s">
        <v>9717</v>
      </c>
      <c r="E9541" t="s">
        <v>10</v>
      </c>
    </row>
    <row r="9542" spans="1:5" hidden="1" outlineLevel="2">
      <c r="A9542" s="3" t="e">
        <f>(HYPERLINK("http://www.autodoc.ru/Web/price/art/8533RGNH5FD?analog=on","8533RGNH5FD"))*1</f>
        <v>#VALUE!</v>
      </c>
      <c r="B9542" s="1">
        <v>6999019</v>
      </c>
      <c r="C9542" t="s">
        <v>180</v>
      </c>
      <c r="D9542" t="s">
        <v>9718</v>
      </c>
      <c r="E9542" t="s">
        <v>10</v>
      </c>
    </row>
    <row r="9543" spans="1:5" hidden="1" outlineLevel="2">
      <c r="A9543" s="3" t="e">
        <f>(HYPERLINK("http://www.autodoc.ru/Web/price/art/8533RGNH5FD1J?analog=on","8533RGNH5FD1J"))*1</f>
        <v>#VALUE!</v>
      </c>
      <c r="B9543" s="1">
        <v>6999015</v>
      </c>
      <c r="C9543" t="s">
        <v>180</v>
      </c>
      <c r="D9543" t="s">
        <v>9718</v>
      </c>
      <c r="E9543" t="s">
        <v>10</v>
      </c>
    </row>
    <row r="9544" spans="1:5" hidden="1" outlineLevel="2">
      <c r="A9544" s="3" t="e">
        <f>(HYPERLINK("http://www.autodoc.ru/Web/price/art/8533RGNH5RD?analog=on","8533RGNH5RD"))*1</f>
        <v>#VALUE!</v>
      </c>
      <c r="B9544" s="1">
        <v>6996929</v>
      </c>
      <c r="C9544" t="s">
        <v>180</v>
      </c>
      <c r="D9544" t="s">
        <v>9719</v>
      </c>
      <c r="E9544" t="s">
        <v>10</v>
      </c>
    </row>
    <row r="9545" spans="1:5" hidden="1" outlineLevel="2">
      <c r="A9545" s="3" t="e">
        <f>(HYPERLINK("http://www.autodoc.ru/Web/price/art/8533RGNH5RV?analog=on","8533RGNH5RV"))*1</f>
        <v>#VALUE!</v>
      </c>
      <c r="B9545" s="1">
        <v>6999102</v>
      </c>
      <c r="C9545" t="s">
        <v>180</v>
      </c>
      <c r="D9545" t="s">
        <v>9720</v>
      </c>
      <c r="E9545" t="s">
        <v>10</v>
      </c>
    </row>
    <row r="9546" spans="1:5" hidden="1" outlineLevel="1">
      <c r="A9546" s="2">
        <v>0</v>
      </c>
      <c r="B9546" s="26" t="s">
        <v>9721</v>
      </c>
      <c r="C9546" s="27">
        <v>0</v>
      </c>
      <c r="D9546" s="27">
        <v>0</v>
      </c>
      <c r="E9546" s="27">
        <v>0</v>
      </c>
    </row>
    <row r="9547" spans="1:5" hidden="1" outlineLevel="2">
      <c r="A9547" s="3" t="e">
        <f>(HYPERLINK("http://www.autodoc.ru/Web/price/art/8543AGNGNZ1C?analog=on","8543AGNGNZ1C"))*1</f>
        <v>#VALUE!</v>
      </c>
      <c r="B9547" s="1">
        <v>6963355</v>
      </c>
      <c r="C9547" t="s">
        <v>9722</v>
      </c>
      <c r="D9547" t="s">
        <v>9723</v>
      </c>
      <c r="E9547" t="s">
        <v>8</v>
      </c>
    </row>
    <row r="9548" spans="1:5" hidden="1" outlineLevel="2">
      <c r="A9548" s="3" t="e">
        <f>(HYPERLINK("http://www.autodoc.ru/Web/price/art/8543AKMTS?analog=on","8543AKMTS"))*1</f>
        <v>#VALUE!</v>
      </c>
      <c r="B9548" s="1">
        <v>6102187</v>
      </c>
      <c r="C9548" t="s">
        <v>19</v>
      </c>
      <c r="D9548" t="s">
        <v>9724</v>
      </c>
      <c r="E9548" t="s">
        <v>21</v>
      </c>
    </row>
    <row r="9549" spans="1:5" hidden="1" outlineLevel="2">
      <c r="A9549" s="3" t="e">
        <f>(HYPERLINK("http://www.autodoc.ru/Web/price/art/8543LGNT2FD?analog=on","8543LGNT2FD"))*1</f>
        <v>#VALUE!</v>
      </c>
      <c r="B9549" s="1">
        <v>6994669</v>
      </c>
      <c r="C9549" t="s">
        <v>19</v>
      </c>
      <c r="D9549" t="s">
        <v>9725</v>
      </c>
      <c r="E9549" t="s">
        <v>10</v>
      </c>
    </row>
    <row r="9550" spans="1:5" hidden="1" outlineLevel="1">
      <c r="A9550" s="2">
        <v>0</v>
      </c>
      <c r="B9550" s="26" t="s">
        <v>9726</v>
      </c>
      <c r="C9550" s="27">
        <v>0</v>
      </c>
      <c r="D9550" s="27">
        <v>0</v>
      </c>
      <c r="E9550" s="27">
        <v>0</v>
      </c>
    </row>
    <row r="9551" spans="1:5" hidden="1" outlineLevel="2">
      <c r="A9551" s="3" t="e">
        <f>(HYPERLINK("http://www.autodoc.ru/Web/price/art/8541ACLZ?analog=on","8541ACLZ"))*1</f>
        <v>#VALUE!</v>
      </c>
      <c r="B9551" s="1">
        <v>6967421</v>
      </c>
      <c r="C9551" t="s">
        <v>193</v>
      </c>
      <c r="D9551" t="s">
        <v>9727</v>
      </c>
      <c r="E9551" t="s">
        <v>8</v>
      </c>
    </row>
    <row r="9552" spans="1:5" hidden="1" outlineLevel="2">
      <c r="A9552" s="3" t="e">
        <f>(HYPERLINK("http://www.autodoc.ru/Web/price/art/8541ACLZ1C?analog=on","8541ACLZ1C"))*1</f>
        <v>#VALUE!</v>
      </c>
      <c r="B9552" s="1">
        <v>6967431</v>
      </c>
      <c r="C9552" t="s">
        <v>8588</v>
      </c>
      <c r="D9552" t="s">
        <v>9728</v>
      </c>
      <c r="E9552" t="s">
        <v>8</v>
      </c>
    </row>
    <row r="9553" spans="1:5" hidden="1" outlineLevel="2">
      <c r="A9553" s="3" t="e">
        <f>(HYPERLINK("http://www.autodoc.ru/Web/price/art/8541AGNBLZ?analog=on","8541AGNBLZ"))*1</f>
        <v>#VALUE!</v>
      </c>
      <c r="B9553" s="1">
        <v>6967426</v>
      </c>
      <c r="C9553" t="s">
        <v>8588</v>
      </c>
      <c r="D9553" t="s">
        <v>9729</v>
      </c>
      <c r="E9553" t="s">
        <v>8</v>
      </c>
    </row>
    <row r="9554" spans="1:5" hidden="1" outlineLevel="2">
      <c r="A9554" s="3" t="e">
        <f>(HYPERLINK("http://www.autodoc.ru/Web/price/art/8541AGNBLZ1C?analog=on","8541AGNBLZ1C"))*1</f>
        <v>#VALUE!</v>
      </c>
      <c r="B9554" s="1">
        <v>6963720</v>
      </c>
      <c r="C9554" t="s">
        <v>8588</v>
      </c>
      <c r="D9554" t="s">
        <v>9730</v>
      </c>
      <c r="E9554" t="s">
        <v>8</v>
      </c>
    </row>
    <row r="9555" spans="1:5" hidden="1" outlineLevel="2">
      <c r="A9555" s="3" t="e">
        <f>(HYPERLINK("http://www.autodoc.ru/Web/price/art/8541AGNGNZ?analog=on","8541AGNGNZ"))*1</f>
        <v>#VALUE!</v>
      </c>
      <c r="B9555" s="1">
        <v>6967425</v>
      </c>
      <c r="C9555" t="s">
        <v>8588</v>
      </c>
      <c r="D9555" t="s">
        <v>9731</v>
      </c>
      <c r="E9555" t="s">
        <v>8</v>
      </c>
    </row>
    <row r="9556" spans="1:5" hidden="1" outlineLevel="2">
      <c r="A9556" s="3" t="e">
        <f>(HYPERLINK("http://www.autodoc.ru/Web/price/art/8541AGNGNZ1C?analog=on","8541AGNGNZ1C"))*1</f>
        <v>#VALUE!</v>
      </c>
      <c r="B9556" s="1">
        <v>6963721</v>
      </c>
      <c r="C9556" t="s">
        <v>8588</v>
      </c>
      <c r="D9556" t="s">
        <v>9732</v>
      </c>
      <c r="E9556" t="s">
        <v>8</v>
      </c>
    </row>
    <row r="9557" spans="1:5" hidden="1" outlineLevel="2">
      <c r="A9557" s="3" t="e">
        <f>(HYPERLINK("http://www.autodoc.ru/Web/price/art/8541AGNZ?analog=on","8541AGNZ"))*1</f>
        <v>#VALUE!</v>
      </c>
      <c r="B9557" s="1">
        <v>6967422</v>
      </c>
      <c r="C9557" t="s">
        <v>8588</v>
      </c>
      <c r="D9557" t="s">
        <v>9733</v>
      </c>
      <c r="E9557" t="s">
        <v>8</v>
      </c>
    </row>
    <row r="9558" spans="1:5" hidden="1" outlineLevel="2">
      <c r="A9558" s="3" t="e">
        <f>(HYPERLINK("http://www.autodoc.ru/Web/price/art/8541AGNZ1C?analog=on","8541AGNZ1C"))*1</f>
        <v>#VALUE!</v>
      </c>
      <c r="B9558" s="1">
        <v>6967432</v>
      </c>
      <c r="C9558" t="s">
        <v>8588</v>
      </c>
      <c r="D9558" t="s">
        <v>9734</v>
      </c>
      <c r="E9558" t="s">
        <v>8</v>
      </c>
    </row>
    <row r="9559" spans="1:5" hidden="1" outlineLevel="2">
      <c r="A9559" s="3" t="e">
        <f>(HYPERLINK("http://www.autodoc.ru/Web/price/art/8541AKCH?analog=on","8541AKCH"))*1</f>
        <v>#VALUE!</v>
      </c>
      <c r="B9559" s="1">
        <v>6101289</v>
      </c>
      <c r="C9559" t="s">
        <v>19</v>
      </c>
      <c r="D9559" t="s">
        <v>9735</v>
      </c>
      <c r="E9559" t="s">
        <v>21</v>
      </c>
    </row>
    <row r="9560" spans="1:5" hidden="1" outlineLevel="2">
      <c r="A9560" s="3" t="e">
        <f>(HYPERLINK("http://www.autodoc.ru/Web/price/art/8541ASMHT?analog=on","8541ASMHT"))*1</f>
        <v>#VALUE!</v>
      </c>
      <c r="B9560" s="1">
        <v>6101286</v>
      </c>
      <c r="C9560" t="s">
        <v>19</v>
      </c>
      <c r="D9560" t="s">
        <v>9736</v>
      </c>
      <c r="E9560" t="s">
        <v>21</v>
      </c>
    </row>
    <row r="9561" spans="1:5" hidden="1" outlineLevel="2">
      <c r="A9561" s="3" t="e">
        <f>(HYPERLINK("http://www.autodoc.ru/Web/price/art/8541BCLHZ?analog=on","8541BCLHZ"))*1</f>
        <v>#VALUE!</v>
      </c>
      <c r="B9561" s="1">
        <v>6999033</v>
      </c>
      <c r="C9561" t="s">
        <v>193</v>
      </c>
      <c r="D9561" t="s">
        <v>9737</v>
      </c>
      <c r="E9561" t="s">
        <v>23</v>
      </c>
    </row>
    <row r="9562" spans="1:5" hidden="1" outlineLevel="2">
      <c r="A9562" s="3" t="e">
        <f>(HYPERLINK("http://www.autodoc.ru/Web/price/art/8541BGNEBZ?analog=on","8541BGNEBZ"))*1</f>
        <v>#VALUE!</v>
      </c>
      <c r="B9562" s="1">
        <v>6998831</v>
      </c>
      <c r="C9562" t="s">
        <v>8588</v>
      </c>
      <c r="D9562" t="s">
        <v>9738</v>
      </c>
      <c r="E9562" t="s">
        <v>23</v>
      </c>
    </row>
    <row r="9563" spans="1:5" hidden="1" outlineLevel="2">
      <c r="A9563" s="3" t="e">
        <f>(HYPERLINK("http://www.autodoc.ru/Web/price/art/8541BGNEZ?analog=on","8541BGNEZ"))*1</f>
        <v>#VALUE!</v>
      </c>
      <c r="B9563" s="1">
        <v>6998832</v>
      </c>
      <c r="C9563" t="s">
        <v>8588</v>
      </c>
      <c r="D9563" t="s">
        <v>9739</v>
      </c>
      <c r="E9563" t="s">
        <v>23</v>
      </c>
    </row>
    <row r="9564" spans="1:5" hidden="1" outlineLevel="2">
      <c r="A9564" s="3" t="e">
        <f>(HYPERLINK("http://www.autodoc.ru/Web/price/art/8541BGNHBZ?analog=on","8541BGNHBZ"))*1</f>
        <v>#VALUE!</v>
      </c>
      <c r="B9564" s="1">
        <v>6998537</v>
      </c>
      <c r="C9564" t="s">
        <v>9740</v>
      </c>
      <c r="D9564" t="s">
        <v>9741</v>
      </c>
      <c r="E9564" t="s">
        <v>23</v>
      </c>
    </row>
    <row r="9565" spans="1:5" hidden="1" outlineLevel="2">
      <c r="A9565" s="3" t="e">
        <f>(HYPERLINK("http://www.autodoc.ru/Web/price/art/8541BGNHBZ1H?analog=on","8541BGNHBZ1H"))*1</f>
        <v>#VALUE!</v>
      </c>
      <c r="B9565" s="1">
        <v>6998538</v>
      </c>
      <c r="C9565" t="s">
        <v>9740</v>
      </c>
      <c r="D9565" t="s">
        <v>9742</v>
      </c>
      <c r="E9565" t="s">
        <v>23</v>
      </c>
    </row>
    <row r="9566" spans="1:5" hidden="1" outlineLevel="2">
      <c r="A9566" s="3" t="e">
        <f>(HYPERLINK("http://www.autodoc.ru/Web/price/art/8541BGNHZ?analog=on","8541BGNHZ"))*1</f>
        <v>#VALUE!</v>
      </c>
      <c r="B9566" s="1">
        <v>6999034</v>
      </c>
      <c r="C9566" t="s">
        <v>193</v>
      </c>
      <c r="D9566" t="s">
        <v>9743</v>
      </c>
      <c r="E9566" t="s">
        <v>23</v>
      </c>
    </row>
    <row r="9567" spans="1:5" hidden="1" outlineLevel="2">
      <c r="A9567" s="3" t="e">
        <f>(HYPERLINK("http://www.autodoc.ru/Web/price/art/8541BGNHZ1H?analog=on","8541BGNHZ1H"))*1</f>
        <v>#VALUE!</v>
      </c>
      <c r="B9567" s="1">
        <v>6999048</v>
      </c>
      <c r="C9567" t="s">
        <v>193</v>
      </c>
      <c r="D9567" t="s">
        <v>9744</v>
      </c>
      <c r="E9567" t="s">
        <v>23</v>
      </c>
    </row>
    <row r="9568" spans="1:5" hidden="1" outlineLevel="2">
      <c r="A9568" s="3" t="e">
        <f>(HYPERLINK("http://www.autodoc.ru/Web/price/art/8541LCLE5RD?analog=on","8541LCLE5RD"))*1</f>
        <v>#VALUE!</v>
      </c>
      <c r="B9568" s="1">
        <v>6995162</v>
      </c>
      <c r="C9568" t="s">
        <v>8588</v>
      </c>
      <c r="D9568" t="s">
        <v>9745</v>
      </c>
      <c r="E9568" t="s">
        <v>10</v>
      </c>
    </row>
    <row r="9569" spans="1:5" hidden="1" outlineLevel="2">
      <c r="A9569" s="3" t="e">
        <f>(HYPERLINK("http://www.autodoc.ru/Web/price/art/8541LCLH3FD?analog=on","8541LCLH3FD"))*1</f>
        <v>#VALUE!</v>
      </c>
      <c r="B9569" s="1">
        <v>6999036</v>
      </c>
      <c r="C9569" t="s">
        <v>193</v>
      </c>
      <c r="D9569" t="s">
        <v>9746</v>
      </c>
      <c r="E9569" t="s">
        <v>10</v>
      </c>
    </row>
    <row r="9570" spans="1:5" hidden="1" outlineLevel="2">
      <c r="A9570" s="3" t="e">
        <f>(HYPERLINK("http://www.autodoc.ru/Web/price/art/8541LCLH3RQZ?analog=on","8541LCLH3RQZ"))*1</f>
        <v>#VALUE!</v>
      </c>
      <c r="B9570" s="1">
        <v>6999027</v>
      </c>
      <c r="C9570" t="s">
        <v>193</v>
      </c>
      <c r="D9570" t="s">
        <v>9747</v>
      </c>
      <c r="E9570" t="s">
        <v>10</v>
      </c>
    </row>
    <row r="9571" spans="1:5" hidden="1" outlineLevel="2">
      <c r="A9571" s="3" t="e">
        <f>(HYPERLINK("http://www.autodoc.ru/Web/price/art/8541LCLH5FD?analog=on","8541LCLH5FD"))*1</f>
        <v>#VALUE!</v>
      </c>
      <c r="B9571" s="1">
        <v>6999040</v>
      </c>
      <c r="C9571" t="s">
        <v>193</v>
      </c>
      <c r="D9571" t="s">
        <v>9748</v>
      </c>
      <c r="E9571" t="s">
        <v>10</v>
      </c>
    </row>
    <row r="9572" spans="1:5" hidden="1" outlineLevel="2">
      <c r="A9572" s="3" t="e">
        <f>(HYPERLINK("http://www.autodoc.ru/Web/price/art/8541LCLH5RD?analog=on","8541LCLH5RD"))*1</f>
        <v>#VALUE!</v>
      </c>
      <c r="B9572" s="1">
        <v>6999044</v>
      </c>
      <c r="C9572" t="s">
        <v>193</v>
      </c>
      <c r="D9572" t="s">
        <v>9749</v>
      </c>
      <c r="E9572" t="s">
        <v>10</v>
      </c>
    </row>
    <row r="9573" spans="1:5" hidden="1" outlineLevel="2">
      <c r="A9573" s="3" t="e">
        <f>(HYPERLINK("http://www.autodoc.ru/Web/price/art/8541LCLH5RV?analog=on","8541LCLH5RV"))*1</f>
        <v>#VALUE!</v>
      </c>
      <c r="B9573" s="1">
        <v>6998511</v>
      </c>
      <c r="C9573" t="s">
        <v>193</v>
      </c>
      <c r="D9573" t="s">
        <v>9750</v>
      </c>
      <c r="E9573" t="s">
        <v>10</v>
      </c>
    </row>
    <row r="9574" spans="1:5" hidden="1" outlineLevel="2">
      <c r="A9574" s="3" t="e">
        <f>(HYPERLINK("http://www.autodoc.ru/Web/price/art/8541LGNE5RD?analog=on","8541LGNE5RD"))*1</f>
        <v>#VALUE!</v>
      </c>
      <c r="B9574" s="1">
        <v>6995164</v>
      </c>
      <c r="C9574" t="s">
        <v>8588</v>
      </c>
      <c r="D9574" t="s">
        <v>9751</v>
      </c>
      <c r="E9574" t="s">
        <v>10</v>
      </c>
    </row>
    <row r="9575" spans="1:5" hidden="1" outlineLevel="2">
      <c r="A9575" s="3" t="e">
        <f>(HYPERLINK("http://www.autodoc.ru/Web/price/art/8541LGNE5RQZ?analog=on","8541LGNE5RQZ"))*1</f>
        <v>#VALUE!</v>
      </c>
      <c r="B9575" s="1">
        <v>6994667</v>
      </c>
      <c r="C9575" t="s">
        <v>8588</v>
      </c>
      <c r="D9575" t="s">
        <v>9752</v>
      </c>
      <c r="E9575" t="s">
        <v>10</v>
      </c>
    </row>
    <row r="9576" spans="1:5" hidden="1" outlineLevel="2">
      <c r="A9576" s="3" t="e">
        <f>(HYPERLINK("http://www.autodoc.ru/Web/price/art/8541LGNE5RV?analog=on","8541LGNE5RV"))*1</f>
        <v>#VALUE!</v>
      </c>
      <c r="B9576" s="1">
        <v>6995884</v>
      </c>
      <c r="C9576" t="s">
        <v>8588</v>
      </c>
      <c r="D9576" t="s">
        <v>9753</v>
      </c>
      <c r="E9576" t="s">
        <v>10</v>
      </c>
    </row>
    <row r="9577" spans="1:5" hidden="1" outlineLevel="2">
      <c r="A9577" s="3" t="e">
        <f>(HYPERLINK("http://www.autodoc.ru/Web/price/art/8541LGNH3FD?analog=on","8541LGNH3FD"))*1</f>
        <v>#VALUE!</v>
      </c>
      <c r="B9577" s="1">
        <v>6999038</v>
      </c>
      <c r="C9577" t="s">
        <v>193</v>
      </c>
      <c r="D9577" t="s">
        <v>9754</v>
      </c>
      <c r="E9577" t="s">
        <v>10</v>
      </c>
    </row>
    <row r="9578" spans="1:5" hidden="1" outlineLevel="2">
      <c r="A9578" s="3" t="e">
        <f>(HYPERLINK("http://www.autodoc.ru/Web/price/art/8541LGNH3RQZ?analog=on","8541LGNH3RQZ"))*1</f>
        <v>#VALUE!</v>
      </c>
      <c r="B9578" s="1">
        <v>6999029</v>
      </c>
      <c r="C9578" t="s">
        <v>193</v>
      </c>
      <c r="D9578" t="s">
        <v>9755</v>
      </c>
      <c r="E9578" t="s">
        <v>10</v>
      </c>
    </row>
    <row r="9579" spans="1:5" hidden="1" outlineLevel="2">
      <c r="A9579" s="3" t="e">
        <f>(HYPERLINK("http://www.autodoc.ru/Web/price/art/8541LGNH5FD?analog=on","8541LGNH5FD"))*1</f>
        <v>#VALUE!</v>
      </c>
      <c r="B9579" s="1">
        <v>6999042</v>
      </c>
      <c r="C9579" t="s">
        <v>193</v>
      </c>
      <c r="D9579" t="s">
        <v>9756</v>
      </c>
      <c r="E9579" t="s">
        <v>10</v>
      </c>
    </row>
    <row r="9580" spans="1:5" hidden="1" outlineLevel="2">
      <c r="A9580" s="3" t="e">
        <f>(HYPERLINK("http://www.autodoc.ru/Web/price/art/8541LGNH5RD?analog=on","8541LGNH5RD"))*1</f>
        <v>#VALUE!</v>
      </c>
      <c r="B9580" s="1">
        <v>6999046</v>
      </c>
      <c r="C9580" t="s">
        <v>193</v>
      </c>
      <c r="D9580" t="s">
        <v>9757</v>
      </c>
      <c r="E9580" t="s">
        <v>10</v>
      </c>
    </row>
    <row r="9581" spans="1:5" hidden="1" outlineLevel="2">
      <c r="A9581" s="3" t="e">
        <f>(HYPERLINK("http://www.autodoc.ru/Web/price/art/8541LGNH5RV?analog=on","8541LGNH5RV"))*1</f>
        <v>#VALUE!</v>
      </c>
      <c r="B9581" s="1">
        <v>6998513</v>
      </c>
      <c r="C9581" t="s">
        <v>193</v>
      </c>
      <c r="D9581" t="s">
        <v>9758</v>
      </c>
      <c r="E9581" t="s">
        <v>10</v>
      </c>
    </row>
    <row r="9582" spans="1:5" hidden="1" outlineLevel="2">
      <c r="A9582" s="3" t="e">
        <f>(HYPERLINK("http://www.autodoc.ru/Web/price/art/8541RCLE5RD?analog=on","8541RCLE5RD"))*1</f>
        <v>#VALUE!</v>
      </c>
      <c r="B9582" s="1">
        <v>6995161</v>
      </c>
      <c r="C9582" t="s">
        <v>8588</v>
      </c>
      <c r="D9582" t="s">
        <v>9759</v>
      </c>
      <c r="E9582" t="s">
        <v>10</v>
      </c>
    </row>
    <row r="9583" spans="1:5" hidden="1" outlineLevel="2">
      <c r="A9583" s="3" t="e">
        <f>(HYPERLINK("http://www.autodoc.ru/Web/price/art/8541RCLH3FD?analog=on","8541RCLH3FD"))*1</f>
        <v>#VALUE!</v>
      </c>
      <c r="B9583" s="1">
        <v>6999037</v>
      </c>
      <c r="C9583" t="s">
        <v>193</v>
      </c>
      <c r="D9583" t="s">
        <v>9760</v>
      </c>
      <c r="E9583" t="s">
        <v>10</v>
      </c>
    </row>
    <row r="9584" spans="1:5" hidden="1" outlineLevel="2">
      <c r="A9584" s="3" t="e">
        <f>(HYPERLINK("http://www.autodoc.ru/Web/price/art/8541RCLH3RQZ?analog=on","8541RCLH3RQZ"))*1</f>
        <v>#VALUE!</v>
      </c>
      <c r="B9584" s="1">
        <v>6999026</v>
      </c>
      <c r="C9584" t="s">
        <v>193</v>
      </c>
      <c r="D9584" t="s">
        <v>9761</v>
      </c>
      <c r="E9584" t="s">
        <v>10</v>
      </c>
    </row>
    <row r="9585" spans="1:5" hidden="1" outlineLevel="2">
      <c r="A9585" s="3" t="e">
        <f>(HYPERLINK("http://www.autodoc.ru/Web/price/art/8541RCLH5FD?analog=on","8541RCLH5FD"))*1</f>
        <v>#VALUE!</v>
      </c>
      <c r="B9585" s="1">
        <v>6999041</v>
      </c>
      <c r="C9585" t="s">
        <v>193</v>
      </c>
      <c r="D9585" t="s">
        <v>9762</v>
      </c>
      <c r="E9585" t="s">
        <v>10</v>
      </c>
    </row>
    <row r="9586" spans="1:5" hidden="1" outlineLevel="2">
      <c r="A9586" s="3" t="e">
        <f>(HYPERLINK("http://www.autodoc.ru/Web/price/art/8541RCLH5RD?analog=on","8541RCLH5RD"))*1</f>
        <v>#VALUE!</v>
      </c>
      <c r="B9586" s="1">
        <v>6999045</v>
      </c>
      <c r="C9586" t="s">
        <v>193</v>
      </c>
      <c r="D9586" t="s">
        <v>9763</v>
      </c>
      <c r="E9586" t="s">
        <v>10</v>
      </c>
    </row>
    <row r="9587" spans="1:5" hidden="1" outlineLevel="2">
      <c r="A9587" s="3" t="e">
        <f>(HYPERLINK("http://www.autodoc.ru/Web/price/art/8541RCLH5RV?analog=on","8541RCLH5RV"))*1</f>
        <v>#VALUE!</v>
      </c>
      <c r="B9587" s="1">
        <v>6998512</v>
      </c>
      <c r="C9587" t="s">
        <v>193</v>
      </c>
      <c r="D9587" t="s">
        <v>9764</v>
      </c>
      <c r="E9587" t="s">
        <v>10</v>
      </c>
    </row>
    <row r="9588" spans="1:5" hidden="1" outlineLevel="2">
      <c r="A9588" s="3" t="e">
        <f>(HYPERLINK("http://www.autodoc.ru/Web/price/art/8541RGNE5RD?analog=on","8541RGNE5RD"))*1</f>
        <v>#VALUE!</v>
      </c>
      <c r="B9588" s="1">
        <v>6995163</v>
      </c>
      <c r="C9588" t="s">
        <v>8588</v>
      </c>
      <c r="D9588" t="s">
        <v>9765</v>
      </c>
      <c r="E9588" t="s">
        <v>10</v>
      </c>
    </row>
    <row r="9589" spans="1:5" hidden="1" outlineLevel="2">
      <c r="A9589" s="3" t="e">
        <f>(HYPERLINK("http://www.autodoc.ru/Web/price/art/8541RGNE5RQZ?analog=on","8541RGNE5RQZ"))*1</f>
        <v>#VALUE!</v>
      </c>
      <c r="B9589" s="1">
        <v>6994668</v>
      </c>
      <c r="C9589" t="s">
        <v>8588</v>
      </c>
      <c r="D9589" t="s">
        <v>9766</v>
      </c>
      <c r="E9589" t="s">
        <v>10</v>
      </c>
    </row>
    <row r="9590" spans="1:5" hidden="1" outlineLevel="2">
      <c r="A9590" s="3" t="e">
        <f>(HYPERLINK("http://www.autodoc.ru/Web/price/art/8541RGNE5RV?analog=on","8541RGNE5RV"))*1</f>
        <v>#VALUE!</v>
      </c>
      <c r="B9590" s="1">
        <v>6995885</v>
      </c>
      <c r="C9590" t="s">
        <v>8588</v>
      </c>
      <c r="D9590" t="s">
        <v>9767</v>
      </c>
      <c r="E9590" t="s">
        <v>10</v>
      </c>
    </row>
    <row r="9591" spans="1:5" hidden="1" outlineLevel="2">
      <c r="A9591" s="3" t="e">
        <f>(HYPERLINK("http://www.autodoc.ru/Web/price/art/8541RGNH3FD?analog=on","8541RGNH3FD"))*1</f>
        <v>#VALUE!</v>
      </c>
      <c r="B9591" s="1">
        <v>6999039</v>
      </c>
      <c r="C9591" t="s">
        <v>193</v>
      </c>
      <c r="D9591" t="s">
        <v>9768</v>
      </c>
      <c r="E9591" t="s">
        <v>10</v>
      </c>
    </row>
    <row r="9592" spans="1:5" hidden="1" outlineLevel="2">
      <c r="A9592" s="3" t="e">
        <f>(HYPERLINK("http://www.autodoc.ru/Web/price/art/8541RGNH3RQZ?analog=on","8541RGNH3RQZ"))*1</f>
        <v>#VALUE!</v>
      </c>
      <c r="B9592" s="1">
        <v>6999028</v>
      </c>
      <c r="C9592" t="s">
        <v>193</v>
      </c>
      <c r="D9592" t="s">
        <v>9769</v>
      </c>
      <c r="E9592" t="s">
        <v>10</v>
      </c>
    </row>
    <row r="9593" spans="1:5" hidden="1" outlineLevel="2">
      <c r="A9593" s="3" t="e">
        <f>(HYPERLINK("http://www.autodoc.ru/Web/price/art/8541RGNH5FD?analog=on","8541RGNH5FD"))*1</f>
        <v>#VALUE!</v>
      </c>
      <c r="B9593" s="1">
        <v>6999043</v>
      </c>
      <c r="C9593" t="s">
        <v>193</v>
      </c>
      <c r="D9593" t="s">
        <v>9770</v>
      </c>
      <c r="E9593" t="s">
        <v>10</v>
      </c>
    </row>
    <row r="9594" spans="1:5" hidden="1" outlineLevel="2">
      <c r="A9594" s="3" t="e">
        <f>(HYPERLINK("http://www.autodoc.ru/Web/price/art/8541RGNH5RD?analog=on","8541RGNH5RD"))*1</f>
        <v>#VALUE!</v>
      </c>
      <c r="B9594" s="1">
        <v>6999047</v>
      </c>
      <c r="C9594" t="s">
        <v>193</v>
      </c>
      <c r="D9594" t="s">
        <v>9771</v>
      </c>
      <c r="E9594" t="s">
        <v>10</v>
      </c>
    </row>
    <row r="9595" spans="1:5" hidden="1" outlineLevel="2">
      <c r="A9595" s="3" t="e">
        <f>(HYPERLINK("http://www.autodoc.ru/Web/price/art/8541RGNH5RV?analog=on","8541RGNH5RV"))*1</f>
        <v>#VALUE!</v>
      </c>
      <c r="B9595" s="1">
        <v>6998514</v>
      </c>
      <c r="C9595" t="s">
        <v>193</v>
      </c>
      <c r="D9595" t="s">
        <v>9772</v>
      </c>
      <c r="E9595" t="s">
        <v>10</v>
      </c>
    </row>
    <row r="9596" spans="1:5" hidden="1" outlineLevel="1">
      <c r="A9596" s="2">
        <v>0</v>
      </c>
      <c r="B9596" s="26" t="s">
        <v>9773</v>
      </c>
      <c r="C9596" s="27">
        <v>0</v>
      </c>
      <c r="D9596" s="27">
        <v>0</v>
      </c>
      <c r="E9596" s="27">
        <v>0</v>
      </c>
    </row>
    <row r="9597" spans="1:5" hidden="1" outlineLevel="2">
      <c r="A9597" s="3" t="e">
        <f>(HYPERLINK("http://www.autodoc.ru/Web/price/art/8558AGNBLVZ?analog=on","8558AGNBLVZ"))*1</f>
        <v>#VALUE!</v>
      </c>
      <c r="B9597" s="1">
        <v>6961082</v>
      </c>
      <c r="C9597" t="s">
        <v>654</v>
      </c>
      <c r="D9597" t="s">
        <v>9774</v>
      </c>
      <c r="E9597" t="s">
        <v>8</v>
      </c>
    </row>
    <row r="9598" spans="1:5" hidden="1" outlineLevel="2">
      <c r="A9598" s="3" t="e">
        <f>(HYPERLINK("http://www.autodoc.ru/Web/price/art/8558AGNGNVZ?analog=on","8558AGNGNVZ"))*1</f>
        <v>#VALUE!</v>
      </c>
      <c r="B9598" s="1">
        <v>6967457</v>
      </c>
      <c r="C9598" t="s">
        <v>654</v>
      </c>
      <c r="D9598" t="s">
        <v>9775</v>
      </c>
      <c r="E9598" t="s">
        <v>8</v>
      </c>
    </row>
    <row r="9599" spans="1:5" hidden="1" outlineLevel="2">
      <c r="A9599" s="3" t="e">
        <f>(HYPERLINK("http://www.autodoc.ru/Web/price/art/8558AGNGYMVZ?analog=on","8558AGNGYMVZ"))*1</f>
        <v>#VALUE!</v>
      </c>
      <c r="B9599" s="1">
        <v>6963863</v>
      </c>
      <c r="C9599" t="s">
        <v>654</v>
      </c>
      <c r="D9599" t="s">
        <v>9776</v>
      </c>
      <c r="E9599" t="s">
        <v>8</v>
      </c>
    </row>
    <row r="9600" spans="1:5" hidden="1" outlineLevel="2">
      <c r="A9600" s="3" t="e">
        <f>(HYPERLINK("http://www.autodoc.ru/Web/price/art/8558AGNGYMZ?analog=on","8558AGNGYMZ"))*1</f>
        <v>#VALUE!</v>
      </c>
      <c r="B9600" s="1">
        <v>6960928</v>
      </c>
      <c r="C9600" t="s">
        <v>654</v>
      </c>
      <c r="D9600" t="s">
        <v>9777</v>
      </c>
      <c r="E9600" t="s">
        <v>8</v>
      </c>
    </row>
    <row r="9601" spans="1:5" hidden="1" outlineLevel="2">
      <c r="A9601" s="3" t="e">
        <f>(HYPERLINK("http://www.autodoc.ru/Web/price/art/8558AGNGYVZ?analog=on","8558AGNGYVZ"))*1</f>
        <v>#VALUE!</v>
      </c>
      <c r="B9601" s="1">
        <v>6967458</v>
      </c>
      <c r="C9601" t="s">
        <v>654</v>
      </c>
      <c r="D9601" t="s">
        <v>9778</v>
      </c>
      <c r="E9601" t="s">
        <v>8</v>
      </c>
    </row>
    <row r="9602" spans="1:5" hidden="1" outlineLevel="2">
      <c r="A9602" s="3" t="e">
        <f>(HYPERLINK("http://www.autodoc.ru/Web/price/art/8558AGNGYZ?analog=on","8558AGNGYZ"))*1</f>
        <v>#VALUE!</v>
      </c>
      <c r="B9602" s="1">
        <v>6967461</v>
      </c>
      <c r="C9602" t="s">
        <v>654</v>
      </c>
      <c r="D9602" t="s">
        <v>9779</v>
      </c>
      <c r="E9602" t="s">
        <v>8</v>
      </c>
    </row>
    <row r="9603" spans="1:5" hidden="1" outlineLevel="2">
      <c r="A9603" s="3" t="e">
        <f>(HYPERLINK("http://www.autodoc.ru/Web/price/art/8558AGNMVZ?analog=on","8558AGNMVZ"))*1</f>
        <v>#VALUE!</v>
      </c>
      <c r="B9603" s="1">
        <v>6960441</v>
      </c>
      <c r="C9603" t="s">
        <v>654</v>
      </c>
      <c r="D9603" t="s">
        <v>9780</v>
      </c>
      <c r="E9603" t="s">
        <v>8</v>
      </c>
    </row>
    <row r="9604" spans="1:5" hidden="1" outlineLevel="2">
      <c r="A9604" s="3" t="e">
        <f>(HYPERLINK("http://www.autodoc.ru/Web/price/art/8558AGNMZ?analog=on","8558AGNMZ"))*1</f>
        <v>#VALUE!</v>
      </c>
      <c r="B9604" s="1">
        <v>6960927</v>
      </c>
      <c r="C9604" t="s">
        <v>654</v>
      </c>
      <c r="D9604" t="s">
        <v>9781</v>
      </c>
      <c r="E9604" t="s">
        <v>8</v>
      </c>
    </row>
    <row r="9605" spans="1:5" hidden="1" outlineLevel="2">
      <c r="A9605" s="3" t="e">
        <f>(HYPERLINK("http://www.autodoc.ru/Web/price/art/8558AGNVZ?analog=on","8558AGNVZ"))*1</f>
        <v>#VALUE!</v>
      </c>
      <c r="B9605" s="1">
        <v>6967456</v>
      </c>
      <c r="C9605" t="s">
        <v>654</v>
      </c>
      <c r="D9605" t="s">
        <v>9782</v>
      </c>
      <c r="E9605" t="s">
        <v>8</v>
      </c>
    </row>
    <row r="9606" spans="1:5" hidden="1" outlineLevel="2">
      <c r="A9606" s="3" t="e">
        <f>(HYPERLINK("http://www.autodoc.ru/Web/price/art/8558AGNZ?analog=on","8558AGNZ"))*1</f>
        <v>#VALUE!</v>
      </c>
      <c r="B9606" s="1">
        <v>6967454</v>
      </c>
      <c r="C9606" t="s">
        <v>654</v>
      </c>
      <c r="D9606" t="s">
        <v>9783</v>
      </c>
      <c r="E9606" t="s">
        <v>8</v>
      </c>
    </row>
    <row r="9607" spans="1:5" hidden="1" outlineLevel="2">
      <c r="A9607" s="3" t="e">
        <f>(HYPERLINK("http://www.autodoc.ru/Web/price/art/8558BGNEZ?analog=on","8558BGNEZ"))*1</f>
        <v>#VALUE!</v>
      </c>
      <c r="B9607" s="1">
        <v>6998931</v>
      </c>
      <c r="C9607" t="s">
        <v>654</v>
      </c>
      <c r="D9607" t="s">
        <v>9784</v>
      </c>
      <c r="E9607" t="s">
        <v>23</v>
      </c>
    </row>
    <row r="9608" spans="1:5" hidden="1" outlineLevel="2">
      <c r="A9608" s="3" t="e">
        <f>(HYPERLINK("http://www.autodoc.ru/Web/price/art/8558BGNHBZ?analog=on","8558BGNHBZ"))*1</f>
        <v>#VALUE!</v>
      </c>
      <c r="B9608" s="1">
        <v>6999050</v>
      </c>
      <c r="C9608" t="s">
        <v>654</v>
      </c>
      <c r="D9608" t="s">
        <v>9785</v>
      </c>
      <c r="E9608" t="s">
        <v>23</v>
      </c>
    </row>
    <row r="9609" spans="1:5" hidden="1" outlineLevel="2">
      <c r="A9609" s="3" t="e">
        <f>(HYPERLINK("http://www.autodoc.ru/Web/price/art/8558BGNSBZ?analog=on","8558BGNSBZ"))*1</f>
        <v>#VALUE!</v>
      </c>
      <c r="B9609" s="1">
        <v>6994894</v>
      </c>
      <c r="C9609" t="s">
        <v>654</v>
      </c>
      <c r="D9609" t="s">
        <v>9786</v>
      </c>
      <c r="E9609" t="s">
        <v>23</v>
      </c>
    </row>
    <row r="9610" spans="1:5" hidden="1" outlineLevel="2">
      <c r="A9610" s="3" t="e">
        <f>(HYPERLINK("http://www.autodoc.ru/Web/price/art/8558LBSE5RDW?analog=on","8558LBSE5RDW"))*1</f>
        <v>#VALUE!</v>
      </c>
      <c r="B9610" s="1">
        <v>6990958</v>
      </c>
      <c r="C9610" t="s">
        <v>654</v>
      </c>
      <c r="D9610" t="s">
        <v>9787</v>
      </c>
      <c r="E9610" t="s">
        <v>10</v>
      </c>
    </row>
    <row r="9611" spans="1:5" hidden="1" outlineLevel="2">
      <c r="A9611" s="3" t="e">
        <f>(HYPERLINK("http://www.autodoc.ru/Web/price/art/8558LBSH3FD?analog=on","8558LBSH3FD"))*1</f>
        <v>#VALUE!</v>
      </c>
      <c r="B9611" s="1">
        <v>6990950</v>
      </c>
      <c r="C9611" t="s">
        <v>654</v>
      </c>
      <c r="D9611" t="s">
        <v>9788</v>
      </c>
      <c r="E9611" t="s">
        <v>10</v>
      </c>
    </row>
    <row r="9612" spans="1:5" hidden="1" outlineLevel="2">
      <c r="A9612" s="3" t="e">
        <f>(HYPERLINK("http://www.autodoc.ru/Web/price/art/8558LBSH5RDW1J?analog=on","8558LBSH5RDW1J"))*1</f>
        <v>#VALUE!</v>
      </c>
      <c r="B9612" s="1">
        <v>6990956</v>
      </c>
      <c r="C9612" t="s">
        <v>654</v>
      </c>
      <c r="D9612" t="s">
        <v>9789</v>
      </c>
      <c r="E9612" t="s">
        <v>10</v>
      </c>
    </row>
    <row r="9613" spans="1:5" hidden="1" outlineLevel="2">
      <c r="A9613" s="3" t="e">
        <f>(HYPERLINK("http://www.autodoc.ru/Web/price/art/8558LGNE5RDW?analog=on","8558LGNE5RDW"))*1</f>
        <v>#VALUE!</v>
      </c>
      <c r="B9613" s="1">
        <v>6994899</v>
      </c>
      <c r="C9613" t="s">
        <v>654</v>
      </c>
      <c r="D9613" t="s">
        <v>9790</v>
      </c>
      <c r="E9613" t="s">
        <v>10</v>
      </c>
    </row>
    <row r="9614" spans="1:5" hidden="1" outlineLevel="2">
      <c r="A9614" s="3" t="e">
        <f>(HYPERLINK("http://www.autodoc.ru/Web/price/art/8558LGNH3FD?analog=on","8558LGNH3FD"))*1</f>
        <v>#VALUE!</v>
      </c>
      <c r="B9614" s="1">
        <v>6998220</v>
      </c>
      <c r="C9614" t="s">
        <v>654</v>
      </c>
      <c r="D9614" t="s">
        <v>9791</v>
      </c>
      <c r="E9614" t="s">
        <v>10</v>
      </c>
    </row>
    <row r="9615" spans="1:5" hidden="1" outlineLevel="2">
      <c r="A9615" s="3" t="e">
        <f>(HYPERLINK("http://www.autodoc.ru/Web/price/art/8558LGNH5FD?analog=on","8558LGNH5FD"))*1</f>
        <v>#VALUE!</v>
      </c>
      <c r="B9615" s="1">
        <v>6994900</v>
      </c>
      <c r="C9615" t="s">
        <v>654</v>
      </c>
      <c r="D9615" t="s">
        <v>9791</v>
      </c>
      <c r="E9615" t="s">
        <v>10</v>
      </c>
    </row>
    <row r="9616" spans="1:5" hidden="1" outlineLevel="2">
      <c r="A9616" s="3" t="e">
        <f>(HYPERLINK("http://www.autodoc.ru/Web/price/art/8558LGNH5RDW1J?analog=on","8558LGNH5RDW1J"))*1</f>
        <v>#VALUE!</v>
      </c>
      <c r="B9616" s="1">
        <v>6994901</v>
      </c>
      <c r="C9616" t="s">
        <v>654</v>
      </c>
      <c r="D9616" t="s">
        <v>9792</v>
      </c>
      <c r="E9616" t="s">
        <v>10</v>
      </c>
    </row>
    <row r="9617" spans="1:5" hidden="1" outlineLevel="2">
      <c r="A9617" s="3" t="e">
        <f>(HYPERLINK("http://www.autodoc.ru/Web/price/art/8558LGNH5RV?analog=on","8558LGNH5RV"))*1</f>
        <v>#VALUE!</v>
      </c>
      <c r="B9617" s="1">
        <v>6995630</v>
      </c>
      <c r="C9617" t="s">
        <v>654</v>
      </c>
      <c r="D9617" t="s">
        <v>9793</v>
      </c>
      <c r="E9617" t="s">
        <v>10</v>
      </c>
    </row>
    <row r="9618" spans="1:5" hidden="1" outlineLevel="2">
      <c r="A9618" s="3" t="e">
        <f>(HYPERLINK("http://www.autodoc.ru/Web/price/art/8558LGNS4RDW?analog=on","8558LGNS4RDW"))*1</f>
        <v>#VALUE!</v>
      </c>
      <c r="B9618" s="1">
        <v>6994902</v>
      </c>
      <c r="C9618" t="s">
        <v>654</v>
      </c>
      <c r="D9618" t="s">
        <v>9794</v>
      </c>
      <c r="E9618" t="s">
        <v>10</v>
      </c>
    </row>
    <row r="9619" spans="1:5" hidden="1" outlineLevel="2">
      <c r="A9619" s="3" t="e">
        <f>(HYPERLINK("http://www.autodoc.ru/Web/price/art/8558LGNS4RV?analog=on","8558LGNS4RV"))*1</f>
        <v>#VALUE!</v>
      </c>
      <c r="B9619" s="1">
        <v>6980164</v>
      </c>
      <c r="C9619" t="s">
        <v>654</v>
      </c>
      <c r="D9619" t="s">
        <v>9795</v>
      </c>
      <c r="E9619" t="s">
        <v>10</v>
      </c>
    </row>
    <row r="9620" spans="1:5" hidden="1" outlineLevel="2">
      <c r="A9620" s="3" t="e">
        <f>(HYPERLINK("http://www.autodoc.ru/Web/price/art/8558LGPE5RDW?analog=on","8558LGPE5RDW"))*1</f>
        <v>#VALUE!</v>
      </c>
      <c r="B9620" s="1">
        <v>6990681</v>
      </c>
      <c r="C9620" t="s">
        <v>654</v>
      </c>
      <c r="D9620" t="s">
        <v>9796</v>
      </c>
      <c r="E9620" t="s">
        <v>10</v>
      </c>
    </row>
    <row r="9621" spans="1:5" hidden="1" outlineLevel="2">
      <c r="A9621" s="3" t="e">
        <f>(HYPERLINK("http://www.autodoc.ru/Web/price/art/8558RBSE5RDW?analog=on","8558RBSE5RDW"))*1</f>
        <v>#VALUE!</v>
      </c>
      <c r="B9621" s="1">
        <v>6990957</v>
      </c>
      <c r="C9621" t="s">
        <v>654</v>
      </c>
      <c r="D9621" t="s">
        <v>9797</v>
      </c>
      <c r="E9621" t="s">
        <v>10</v>
      </c>
    </row>
    <row r="9622" spans="1:5" hidden="1" outlineLevel="2">
      <c r="A9622" s="3" t="e">
        <f>(HYPERLINK("http://www.autodoc.ru/Web/price/art/8558RBSH3FD?analog=on","8558RBSH3FD"))*1</f>
        <v>#VALUE!</v>
      </c>
      <c r="B9622" s="1">
        <v>6990948</v>
      </c>
      <c r="C9622" t="s">
        <v>654</v>
      </c>
      <c r="D9622" t="s">
        <v>9798</v>
      </c>
      <c r="E9622" t="s">
        <v>10</v>
      </c>
    </row>
    <row r="9623" spans="1:5" hidden="1" outlineLevel="2">
      <c r="A9623" s="3" t="e">
        <f>(HYPERLINK("http://www.autodoc.ru/Web/price/art/8558RBSH5RDW1J?analog=on","8558RBSH5RDW1J"))*1</f>
        <v>#VALUE!</v>
      </c>
      <c r="B9623" s="1">
        <v>6990955</v>
      </c>
      <c r="C9623" t="s">
        <v>654</v>
      </c>
      <c r="D9623" t="s">
        <v>9799</v>
      </c>
      <c r="E9623" t="s">
        <v>10</v>
      </c>
    </row>
    <row r="9624" spans="1:5" hidden="1" outlineLevel="2">
      <c r="A9624" s="3" t="e">
        <f>(HYPERLINK("http://www.autodoc.ru/Web/price/art/8558RCLH5RDW1J?analog=on","8558RCLH5RDW1J"))*1</f>
        <v>#VALUE!</v>
      </c>
      <c r="B9624" s="1">
        <v>6994906</v>
      </c>
      <c r="C9624" t="s">
        <v>654</v>
      </c>
      <c r="D9624" t="s">
        <v>9800</v>
      </c>
      <c r="E9624" t="s">
        <v>10</v>
      </c>
    </row>
    <row r="9625" spans="1:5" hidden="1" outlineLevel="2">
      <c r="A9625" s="3" t="e">
        <f>(HYPERLINK("http://www.autodoc.ru/Web/price/art/8558RGNE5RDW?analog=on","8558RGNE5RDW"))*1</f>
        <v>#VALUE!</v>
      </c>
      <c r="B9625" s="1">
        <v>6994907</v>
      </c>
      <c r="C9625" t="s">
        <v>654</v>
      </c>
      <c r="D9625" t="s">
        <v>9801</v>
      </c>
      <c r="E9625" t="s">
        <v>10</v>
      </c>
    </row>
    <row r="9626" spans="1:5" hidden="1" outlineLevel="2">
      <c r="A9626" s="3" t="e">
        <f>(HYPERLINK("http://www.autodoc.ru/Web/price/art/8558RGNH3FD?analog=on","8558RGNH3FD"))*1</f>
        <v>#VALUE!</v>
      </c>
      <c r="B9626" s="1">
        <v>6998221</v>
      </c>
      <c r="C9626" t="s">
        <v>654</v>
      </c>
      <c r="D9626" t="s">
        <v>9802</v>
      </c>
      <c r="E9626" t="s">
        <v>10</v>
      </c>
    </row>
    <row r="9627" spans="1:5" hidden="1" outlineLevel="2">
      <c r="A9627" s="3" t="e">
        <f>(HYPERLINK("http://www.autodoc.ru/Web/price/art/8558RGNH5FD?analog=on","8558RGNH5FD"))*1</f>
        <v>#VALUE!</v>
      </c>
      <c r="B9627" s="1">
        <v>6994908</v>
      </c>
      <c r="C9627" t="s">
        <v>654</v>
      </c>
      <c r="D9627" t="s">
        <v>9803</v>
      </c>
      <c r="E9627" t="s">
        <v>10</v>
      </c>
    </row>
    <row r="9628" spans="1:5" hidden="1" outlineLevel="2">
      <c r="A9628" s="3" t="e">
        <f>(HYPERLINK("http://www.autodoc.ru/Web/price/art/8558RGNH5RDW?analog=on","8558RGNH5RDW"))*1</f>
        <v>#VALUE!</v>
      </c>
      <c r="B9628" s="1">
        <v>6995631</v>
      </c>
      <c r="C9628" t="s">
        <v>654</v>
      </c>
      <c r="D9628" t="s">
        <v>9804</v>
      </c>
      <c r="E9628" t="s">
        <v>10</v>
      </c>
    </row>
    <row r="9629" spans="1:5" hidden="1" outlineLevel="2">
      <c r="A9629" s="3" t="e">
        <f>(HYPERLINK("http://www.autodoc.ru/Web/price/art/8558RGNH5RDW1J?analog=on","8558RGNH5RDW1J"))*1</f>
        <v>#VALUE!</v>
      </c>
      <c r="B9629" s="1">
        <v>6994909</v>
      </c>
      <c r="C9629" t="s">
        <v>654</v>
      </c>
      <c r="D9629" t="s">
        <v>9804</v>
      </c>
      <c r="E9629" t="s">
        <v>10</v>
      </c>
    </row>
    <row r="9630" spans="1:5" hidden="1" outlineLevel="2">
      <c r="A9630" s="3" t="e">
        <f>(HYPERLINK("http://www.autodoc.ru/Web/price/art/8558RGNH5RV?analog=on","8558RGNH5RV"))*1</f>
        <v>#VALUE!</v>
      </c>
      <c r="B9630" s="1">
        <v>6995632</v>
      </c>
      <c r="C9630" t="s">
        <v>654</v>
      </c>
      <c r="D9630" t="s">
        <v>9805</v>
      </c>
      <c r="E9630" t="s">
        <v>10</v>
      </c>
    </row>
    <row r="9631" spans="1:5" hidden="1" outlineLevel="2">
      <c r="A9631" s="3" t="e">
        <f>(HYPERLINK("http://www.autodoc.ru/Web/price/art/8558RGNS4RDW?analog=on","8558RGNS4RDW"))*1</f>
        <v>#VALUE!</v>
      </c>
      <c r="B9631" s="1">
        <v>6994910</v>
      </c>
      <c r="C9631" t="s">
        <v>654</v>
      </c>
      <c r="D9631" t="s">
        <v>9806</v>
      </c>
      <c r="E9631" t="s">
        <v>10</v>
      </c>
    </row>
    <row r="9632" spans="1:5" hidden="1" outlineLevel="2">
      <c r="A9632" s="3" t="e">
        <f>(HYPERLINK("http://www.autodoc.ru/Web/price/art/8558RGNS4RV?analog=on","8558RGNS4RV"))*1</f>
        <v>#VALUE!</v>
      </c>
      <c r="B9632" s="1">
        <v>6980165</v>
      </c>
      <c r="C9632" t="s">
        <v>654</v>
      </c>
      <c r="D9632" t="s">
        <v>9807</v>
      </c>
      <c r="E9632" t="s">
        <v>10</v>
      </c>
    </row>
    <row r="9633" spans="1:5" hidden="1" outlineLevel="2">
      <c r="A9633" s="3" t="e">
        <f>(HYPERLINK("http://www.autodoc.ru/Web/price/art/8558RGPE5RDW?analog=on","8558RGPE5RDW"))*1</f>
        <v>#VALUE!</v>
      </c>
      <c r="B9633" s="1">
        <v>6990680</v>
      </c>
      <c r="C9633" t="s">
        <v>654</v>
      </c>
      <c r="D9633" t="s">
        <v>9808</v>
      </c>
      <c r="E9633" t="s">
        <v>10</v>
      </c>
    </row>
    <row r="9634" spans="1:5" hidden="1" outlineLevel="1">
      <c r="A9634" s="2">
        <v>0</v>
      </c>
      <c r="B9634" s="26" t="s">
        <v>9809</v>
      </c>
      <c r="C9634" s="27">
        <v>0</v>
      </c>
      <c r="D9634" s="27">
        <v>0</v>
      </c>
      <c r="E9634" s="27">
        <v>0</v>
      </c>
    </row>
    <row r="9635" spans="1:5" hidden="1" outlineLevel="2">
      <c r="A9635" s="3" t="e">
        <f>(HYPERLINK("http://www.autodoc.ru/Web/price/art/8568ABSMVZ1P?analog=on","8568ABSMVZ1P"))*1</f>
        <v>#VALUE!</v>
      </c>
      <c r="B9635" s="1">
        <v>6961463</v>
      </c>
      <c r="C9635" t="s">
        <v>755</v>
      </c>
      <c r="D9635" t="s">
        <v>9810</v>
      </c>
      <c r="E9635" t="s">
        <v>8</v>
      </c>
    </row>
    <row r="9636" spans="1:5" hidden="1" outlineLevel="2">
      <c r="A9636" s="3" t="e">
        <f>(HYPERLINK("http://www.autodoc.ru/Web/price/art/8568ABSVZ?analog=on","8568ABSVZ"))*1</f>
        <v>#VALUE!</v>
      </c>
      <c r="B9636" s="1">
        <v>6961464</v>
      </c>
      <c r="C9636" t="s">
        <v>3958</v>
      </c>
      <c r="D9636" t="s">
        <v>9811</v>
      </c>
      <c r="E9636" t="s">
        <v>8</v>
      </c>
    </row>
    <row r="9637" spans="1:5" hidden="1" outlineLevel="2">
      <c r="A9637" s="3" t="e">
        <f>(HYPERLINK("http://www.autodoc.ru/Web/price/art/8568ABSVZ1H?analog=on","8568ABSVZ1H"))*1</f>
        <v>#VALUE!</v>
      </c>
      <c r="B9637" s="1">
        <v>6961869</v>
      </c>
      <c r="C9637" t="s">
        <v>3958</v>
      </c>
      <c r="D9637" t="s">
        <v>9811</v>
      </c>
      <c r="E9637" t="s">
        <v>8</v>
      </c>
    </row>
    <row r="9638" spans="1:5" hidden="1" outlineLevel="2">
      <c r="A9638" s="3" t="e">
        <f>(HYPERLINK("http://www.autodoc.ru/Web/price/art/8568AGSGYMVZ1P?analog=on","8568AGSGYMVZ1P"))*1</f>
        <v>#VALUE!</v>
      </c>
      <c r="B9638" s="1">
        <v>6961461</v>
      </c>
      <c r="C9638" t="s">
        <v>755</v>
      </c>
      <c r="D9638" t="s">
        <v>9812</v>
      </c>
      <c r="E9638" t="s">
        <v>8</v>
      </c>
    </row>
    <row r="9639" spans="1:5" hidden="1" outlineLevel="2">
      <c r="A9639" s="3" t="e">
        <f>(HYPERLINK("http://www.autodoc.ru/Web/price/art/8568AGSGYVZ?analog=on","8568AGSGYVZ"))*1</f>
        <v>#VALUE!</v>
      </c>
      <c r="B9639" s="1">
        <v>6961462</v>
      </c>
      <c r="C9639" t="s">
        <v>755</v>
      </c>
      <c r="D9639" t="s">
        <v>9813</v>
      </c>
      <c r="E9639" t="s">
        <v>8</v>
      </c>
    </row>
    <row r="9640" spans="1:5" hidden="1" outlineLevel="2">
      <c r="A9640" s="3" t="e">
        <f>(HYPERLINK("http://www.autodoc.ru/Web/price/art/8568AGSMVZ1P?analog=on","8568AGSMVZ1P"))*1</f>
        <v>#VALUE!</v>
      </c>
      <c r="B9640" s="1">
        <v>6960555</v>
      </c>
      <c r="C9640" t="s">
        <v>755</v>
      </c>
      <c r="D9640" t="s">
        <v>9814</v>
      </c>
      <c r="E9640" t="s">
        <v>8</v>
      </c>
    </row>
    <row r="9641" spans="1:5" hidden="1" outlineLevel="2">
      <c r="A9641" s="3" t="e">
        <f>(HYPERLINK("http://www.autodoc.ru/Web/price/art/8568AGSVZ?analog=on","8568AGSVZ"))*1</f>
        <v>#VALUE!</v>
      </c>
      <c r="B9641" s="1">
        <v>6961236</v>
      </c>
      <c r="C9641" t="s">
        <v>755</v>
      </c>
      <c r="D9641" t="s">
        <v>9815</v>
      </c>
      <c r="E9641" t="s">
        <v>8</v>
      </c>
    </row>
    <row r="9642" spans="1:5" hidden="1" outlineLevel="2">
      <c r="A9642" s="3" t="e">
        <f>(HYPERLINK("http://www.autodoc.ru/Web/price/art/8568AGSVZ1H?analog=on","8568AGSVZ1H"))*1</f>
        <v>#VALUE!</v>
      </c>
      <c r="B9642" s="1">
        <v>6961868</v>
      </c>
      <c r="C9642" t="s">
        <v>883</v>
      </c>
      <c r="D9642" t="s">
        <v>9816</v>
      </c>
      <c r="E9642" t="s">
        <v>8</v>
      </c>
    </row>
    <row r="9643" spans="1:5" hidden="1" outlineLevel="2">
      <c r="A9643" s="3" t="e">
        <f>(HYPERLINK("http://www.autodoc.ru/Web/price/art/8568BGSHAW?analog=on","8568BGSHAW"))*1</f>
        <v>#VALUE!</v>
      </c>
      <c r="B9643" s="1">
        <v>6996121</v>
      </c>
      <c r="C9643" t="s">
        <v>755</v>
      </c>
      <c r="D9643" t="s">
        <v>9817</v>
      </c>
      <c r="E9643" t="s">
        <v>23</v>
      </c>
    </row>
    <row r="9644" spans="1:5" hidden="1" outlineLevel="2">
      <c r="A9644" s="3" t="e">
        <f>(HYPERLINK("http://www.autodoc.ru/Web/price/art/8568BGSHW?analog=on","8568BGSHW"))*1</f>
        <v>#VALUE!</v>
      </c>
      <c r="B9644" s="1">
        <v>6997731</v>
      </c>
      <c r="C9644" t="s">
        <v>755</v>
      </c>
      <c r="D9644" t="s">
        <v>9818</v>
      </c>
      <c r="E9644" t="s">
        <v>23</v>
      </c>
    </row>
    <row r="9645" spans="1:5" hidden="1" outlineLevel="2">
      <c r="A9645" s="3" t="e">
        <f>(HYPERLINK("http://www.autodoc.ru/Web/price/art/8568LGSH3FD?analog=on","8568LGSH3FD"))*1</f>
        <v>#VALUE!</v>
      </c>
      <c r="B9645" s="1">
        <v>6996302</v>
      </c>
      <c r="C9645" t="s">
        <v>755</v>
      </c>
      <c r="D9645" t="s">
        <v>9819</v>
      </c>
      <c r="E9645" t="s">
        <v>10</v>
      </c>
    </row>
    <row r="9646" spans="1:5" hidden="1" outlineLevel="2">
      <c r="A9646" s="3" t="e">
        <f>(HYPERLINK("http://www.autodoc.ru/Web/price/art/8568LGSH5FD?analog=on","8568LGSH5FD"))*1</f>
        <v>#VALUE!</v>
      </c>
      <c r="B9646" s="1">
        <v>6991878</v>
      </c>
      <c r="C9646" t="s">
        <v>755</v>
      </c>
      <c r="D9646" t="s">
        <v>9819</v>
      </c>
      <c r="E9646" t="s">
        <v>10</v>
      </c>
    </row>
    <row r="9647" spans="1:5" hidden="1" outlineLevel="2">
      <c r="A9647" s="3" t="e">
        <f>(HYPERLINK("http://www.autodoc.ru/Web/price/art/8568LGSH5RDW?analog=on","8568LGSH5RDW"))*1</f>
        <v>#VALUE!</v>
      </c>
      <c r="B9647" s="1">
        <v>6996306</v>
      </c>
      <c r="C9647" t="s">
        <v>755</v>
      </c>
      <c r="D9647" t="s">
        <v>9820</v>
      </c>
      <c r="E9647" t="s">
        <v>10</v>
      </c>
    </row>
    <row r="9648" spans="1:5" hidden="1" outlineLevel="2">
      <c r="A9648" s="3" t="e">
        <f>(HYPERLINK("http://www.autodoc.ru/Web/price/art/8568LGSH5RV?analog=on","8568LGSH5RV"))*1</f>
        <v>#VALUE!</v>
      </c>
      <c r="B9648" s="1">
        <v>6991882</v>
      </c>
      <c r="C9648" t="s">
        <v>755</v>
      </c>
      <c r="D9648" t="s">
        <v>9821</v>
      </c>
      <c r="E9648" t="s">
        <v>10</v>
      </c>
    </row>
    <row r="9649" spans="1:5" hidden="1" outlineLevel="2">
      <c r="A9649" s="3" t="e">
        <f>(HYPERLINK("http://www.autodoc.ru/Web/price/art/8568RGSH3FD?analog=on","8568RGSH3FD"))*1</f>
        <v>#VALUE!</v>
      </c>
      <c r="B9649" s="1">
        <v>6993908</v>
      </c>
      <c r="C9649" t="s">
        <v>755</v>
      </c>
      <c r="D9649" t="s">
        <v>9822</v>
      </c>
      <c r="E9649" t="s">
        <v>10</v>
      </c>
    </row>
    <row r="9650" spans="1:5" hidden="1" outlineLevel="2">
      <c r="A9650" s="3" t="e">
        <f>(HYPERLINK("http://www.autodoc.ru/Web/price/art/8568RGSH3RQZ?analog=on","8568RGSH3RQZ"))*1</f>
        <v>#VALUE!</v>
      </c>
      <c r="B9650" s="1">
        <v>6996304</v>
      </c>
      <c r="C9650" t="s">
        <v>755</v>
      </c>
      <c r="D9650" t="s">
        <v>9823</v>
      </c>
      <c r="E9650" t="s">
        <v>10</v>
      </c>
    </row>
    <row r="9651" spans="1:5" hidden="1" outlineLevel="2">
      <c r="A9651" s="3" t="e">
        <f>(HYPERLINK("http://www.autodoc.ru/Web/price/art/8568RGSH5FD?analog=on","8568RGSH5FD"))*1</f>
        <v>#VALUE!</v>
      </c>
      <c r="B9651" s="1">
        <v>6991879</v>
      </c>
      <c r="C9651" t="s">
        <v>755</v>
      </c>
      <c r="D9651" t="s">
        <v>9822</v>
      </c>
      <c r="E9651" t="s">
        <v>10</v>
      </c>
    </row>
    <row r="9652" spans="1:5" hidden="1" outlineLevel="2">
      <c r="A9652" s="3" t="e">
        <f>(HYPERLINK("http://www.autodoc.ru/Web/price/art/8568RGSH5RDW?analog=on","8568RGSH5RDW"))*1</f>
        <v>#VALUE!</v>
      </c>
      <c r="B9652" s="1">
        <v>6996307</v>
      </c>
      <c r="C9652" t="s">
        <v>755</v>
      </c>
      <c r="D9652" t="s">
        <v>9824</v>
      </c>
      <c r="E9652" t="s">
        <v>10</v>
      </c>
    </row>
    <row r="9653" spans="1:5" hidden="1" outlineLevel="2">
      <c r="A9653" s="3" t="e">
        <f>(HYPERLINK("http://www.autodoc.ru/Web/price/art/8568RGSH5RV?analog=on","8568RGSH5RV"))*1</f>
        <v>#VALUE!</v>
      </c>
      <c r="B9653" s="1">
        <v>6991883</v>
      </c>
      <c r="C9653" t="s">
        <v>755</v>
      </c>
      <c r="D9653" t="s">
        <v>9825</v>
      </c>
      <c r="E9653" t="s">
        <v>10</v>
      </c>
    </row>
    <row r="9654" spans="1:5" hidden="1" outlineLevel="1">
      <c r="A9654" s="2">
        <v>0</v>
      </c>
      <c r="B9654" s="26" t="s">
        <v>9826</v>
      </c>
      <c r="C9654" s="27">
        <v>0</v>
      </c>
      <c r="D9654" s="27">
        <v>0</v>
      </c>
      <c r="E9654" s="27">
        <v>0</v>
      </c>
    </row>
    <row r="9655" spans="1:5" hidden="1" outlineLevel="2">
      <c r="A9655" s="3" t="e">
        <f>(HYPERLINK("http://www.autodoc.ru/Web/price/art/8583AGSGYVZ?analog=on","8583AGSGYVZ"))*1</f>
        <v>#VALUE!</v>
      </c>
      <c r="B9655" s="1">
        <v>6962212</v>
      </c>
      <c r="C9655" t="s">
        <v>584</v>
      </c>
      <c r="D9655" t="s">
        <v>9827</v>
      </c>
      <c r="E9655" t="s">
        <v>8</v>
      </c>
    </row>
    <row r="9656" spans="1:5" hidden="1" outlineLevel="2">
      <c r="A9656" s="3" t="e">
        <f>(HYPERLINK("http://www.autodoc.ru/Web/price/art/8583AGSMVZ?analog=on","8583AGSMVZ"))*1</f>
        <v>#VALUE!</v>
      </c>
      <c r="B9656" s="1">
        <v>6961443</v>
      </c>
      <c r="C9656" t="s">
        <v>584</v>
      </c>
      <c r="D9656" t="s">
        <v>9828</v>
      </c>
      <c r="E9656" t="s">
        <v>8</v>
      </c>
    </row>
    <row r="9657" spans="1:5" hidden="1" outlineLevel="2">
      <c r="A9657" s="3" t="e">
        <f>(HYPERLINK("http://www.autodoc.ru/Web/price/art/8583AGSVZ?analog=on","8583AGSVZ"))*1</f>
        <v>#VALUE!</v>
      </c>
      <c r="B9657" s="1">
        <v>6961444</v>
      </c>
      <c r="C9657" t="s">
        <v>584</v>
      </c>
      <c r="D9657" t="s">
        <v>9829</v>
      </c>
      <c r="E9657" t="s">
        <v>8</v>
      </c>
    </row>
    <row r="9658" spans="1:5" hidden="1" outlineLevel="2">
      <c r="A9658" s="3" t="e">
        <f>(HYPERLINK("http://www.autodoc.ru/Web/price/art/8583AGSVZ1H?analog=on","8583AGSVZ1H"))*1</f>
        <v>#VALUE!</v>
      </c>
      <c r="B9658" s="1">
        <v>6962730</v>
      </c>
      <c r="C9658" t="s">
        <v>584</v>
      </c>
      <c r="D9658" t="s">
        <v>9830</v>
      </c>
      <c r="E9658" t="s">
        <v>8</v>
      </c>
    </row>
    <row r="9659" spans="1:5" hidden="1" outlineLevel="2">
      <c r="A9659" s="3" t="e">
        <f>(HYPERLINK("http://www.autodoc.ru/Web/price/art/8583BGDVAW?analog=on","8583BGDVAW"))*1</f>
        <v>#VALUE!</v>
      </c>
      <c r="B9659" s="1">
        <v>6993317</v>
      </c>
      <c r="C9659" t="s">
        <v>584</v>
      </c>
      <c r="D9659" t="s">
        <v>9831</v>
      </c>
      <c r="E9659" t="s">
        <v>23</v>
      </c>
    </row>
    <row r="9660" spans="1:5" hidden="1" outlineLevel="2">
      <c r="A9660" s="3" t="e">
        <f>(HYPERLINK("http://www.autodoc.ru/Web/price/art/8583BGDVAW1F?analog=on","8583BGDVAW1F"))*1</f>
        <v>#VALUE!</v>
      </c>
      <c r="B9660" s="1">
        <v>6992362</v>
      </c>
      <c r="C9660" t="s">
        <v>584</v>
      </c>
      <c r="D9660" t="s">
        <v>9832</v>
      </c>
      <c r="E9660" t="s">
        <v>23</v>
      </c>
    </row>
    <row r="9661" spans="1:5" hidden="1" outlineLevel="2">
      <c r="A9661" s="3" t="e">
        <f>(HYPERLINK("http://www.autodoc.ru/Web/price/art/8583BGSVAW?analog=on","8583BGSVAW"))*1</f>
        <v>#VALUE!</v>
      </c>
      <c r="B9661" s="1">
        <v>6993318</v>
      </c>
      <c r="C9661" t="s">
        <v>584</v>
      </c>
      <c r="D9661" t="s">
        <v>9833</v>
      </c>
      <c r="E9661" t="s">
        <v>23</v>
      </c>
    </row>
    <row r="9662" spans="1:5" hidden="1" outlineLevel="2">
      <c r="A9662" s="3" t="e">
        <f>(HYPERLINK("http://www.autodoc.ru/Web/price/art/8583BGSVAW1F?analog=on","8583BGSVAW1F"))*1</f>
        <v>#VALUE!</v>
      </c>
      <c r="B9662" s="1">
        <v>6992363</v>
      </c>
      <c r="C9662" t="s">
        <v>584</v>
      </c>
      <c r="D9662" t="s">
        <v>9834</v>
      </c>
      <c r="E9662" t="s">
        <v>23</v>
      </c>
    </row>
    <row r="9663" spans="1:5" hidden="1" outlineLevel="2">
      <c r="A9663" s="3" t="e">
        <f>(HYPERLINK("http://www.autodoc.ru/Web/price/art/8583LGSV5FD?analog=on","8583LGSV5FD"))*1</f>
        <v>#VALUE!</v>
      </c>
      <c r="B9663" s="1">
        <v>6997493</v>
      </c>
      <c r="C9663" t="s">
        <v>584</v>
      </c>
      <c r="D9663" t="s">
        <v>9835</v>
      </c>
      <c r="E9663" t="s">
        <v>10</v>
      </c>
    </row>
    <row r="9664" spans="1:5" hidden="1" outlineLevel="2">
      <c r="A9664" s="3" t="e">
        <f>(HYPERLINK("http://www.autodoc.ru/Web/price/art/8583LGSV5FQZ?analog=on","8583LGSV5FQZ"))*1</f>
        <v>#VALUE!</v>
      </c>
      <c r="B9664" s="1">
        <v>6992364</v>
      </c>
      <c r="C9664" t="s">
        <v>584</v>
      </c>
      <c r="D9664" t="s">
        <v>9836</v>
      </c>
      <c r="E9664" t="s">
        <v>10</v>
      </c>
    </row>
    <row r="9665" spans="1:5" hidden="1" outlineLevel="2">
      <c r="A9665" s="3" t="e">
        <f>(HYPERLINK("http://www.autodoc.ru/Web/price/art/8583LGSV5RDW?analog=on","8583LGSV5RDW"))*1</f>
        <v>#VALUE!</v>
      </c>
      <c r="B9665" s="1">
        <v>6997494</v>
      </c>
      <c r="C9665" t="s">
        <v>584</v>
      </c>
      <c r="D9665" t="s">
        <v>9837</v>
      </c>
      <c r="E9665" t="s">
        <v>10</v>
      </c>
    </row>
    <row r="9666" spans="1:5" hidden="1" outlineLevel="2">
      <c r="A9666" s="3" t="e">
        <f>(HYPERLINK("http://www.autodoc.ru/Web/price/art/8583RGSV5FD?analog=on","8583RGSV5FD"))*1</f>
        <v>#VALUE!</v>
      </c>
      <c r="B9666" s="1">
        <v>6993899</v>
      </c>
      <c r="C9666" t="s">
        <v>584</v>
      </c>
      <c r="D9666" t="s">
        <v>9838</v>
      </c>
      <c r="E9666" t="s">
        <v>10</v>
      </c>
    </row>
    <row r="9667" spans="1:5" hidden="1" outlineLevel="2">
      <c r="A9667" s="3" t="e">
        <f>(HYPERLINK("http://www.autodoc.ru/Web/price/art/8583RGSV5FQZ?analog=on","8583RGSV5FQZ"))*1</f>
        <v>#VALUE!</v>
      </c>
      <c r="B9667" s="1">
        <v>6992365</v>
      </c>
      <c r="C9667" t="s">
        <v>584</v>
      </c>
      <c r="D9667" t="s">
        <v>9839</v>
      </c>
      <c r="E9667" t="s">
        <v>10</v>
      </c>
    </row>
    <row r="9668" spans="1:5" hidden="1" outlineLevel="2">
      <c r="A9668" s="3" t="e">
        <f>(HYPERLINK("http://www.autodoc.ru/Web/price/art/8583RGSV5RDW?analog=on","8583RGSV5RDW"))*1</f>
        <v>#VALUE!</v>
      </c>
      <c r="B9668" s="1">
        <v>6997495</v>
      </c>
      <c r="C9668" t="s">
        <v>584</v>
      </c>
      <c r="D9668" t="s">
        <v>9840</v>
      </c>
      <c r="E9668" t="s">
        <v>10</v>
      </c>
    </row>
    <row r="9669" spans="1:5" hidden="1" outlineLevel="1">
      <c r="A9669" s="2">
        <v>0</v>
      </c>
      <c r="B9669" s="26" t="s">
        <v>9841</v>
      </c>
      <c r="C9669" s="27">
        <v>0</v>
      </c>
      <c r="D9669" s="27">
        <v>0</v>
      </c>
      <c r="E9669" s="27">
        <v>0</v>
      </c>
    </row>
    <row r="9670" spans="1:5" hidden="1" outlineLevel="2">
      <c r="A9670" s="3" t="e">
        <f>(HYPERLINK("http://www.autodoc.ru/Web/price/art/8600AGAVZ?analog=on","8600AGAVZ"))*1</f>
        <v>#VALUE!</v>
      </c>
      <c r="B9670" s="1">
        <v>6962399</v>
      </c>
      <c r="C9670" t="s">
        <v>366</v>
      </c>
      <c r="D9670" t="s">
        <v>9842</v>
      </c>
      <c r="E9670" t="s">
        <v>8</v>
      </c>
    </row>
    <row r="9671" spans="1:5" hidden="1" outlineLevel="2">
      <c r="A9671" s="3" t="e">
        <f>(HYPERLINK("http://www.autodoc.ru/Web/price/art/8600AGAMVZ1P?analog=on","8600AGAMVZ1P"))*1</f>
        <v>#VALUE!</v>
      </c>
      <c r="B9671" s="1">
        <v>6962400</v>
      </c>
      <c r="C9671" t="s">
        <v>366</v>
      </c>
      <c r="D9671" t="s">
        <v>9843</v>
      </c>
      <c r="E9671" t="s">
        <v>8</v>
      </c>
    </row>
    <row r="9672" spans="1:5" hidden="1" outlineLevel="2">
      <c r="A9672" s="3" t="e">
        <f>(HYPERLINK("http://www.autodoc.ru/Web/price/art/8600BGSHI?analog=on","8600BGSHI"))*1</f>
        <v>#VALUE!</v>
      </c>
      <c r="B9672" s="1">
        <v>6901035</v>
      </c>
      <c r="C9672" t="s">
        <v>366</v>
      </c>
      <c r="D9672" t="s">
        <v>9844</v>
      </c>
      <c r="E9672" t="s">
        <v>23</v>
      </c>
    </row>
    <row r="9673" spans="1:5" hidden="1" outlineLevel="2">
      <c r="A9673" s="3" t="e">
        <f>(HYPERLINK("http://www.autodoc.ru/Web/price/art/8600BGSHAI2F?analog=on","8600BGSHAI2F"))*1</f>
        <v>#VALUE!</v>
      </c>
      <c r="B9673" s="1">
        <v>6901036</v>
      </c>
      <c r="C9673" t="s">
        <v>366</v>
      </c>
      <c r="D9673" t="s">
        <v>9845</v>
      </c>
      <c r="E9673" t="s">
        <v>23</v>
      </c>
    </row>
    <row r="9674" spans="1:5" hidden="1" outlineLevel="2">
      <c r="A9674" s="3" t="e">
        <f>(HYPERLINK("http://www.autodoc.ru/Web/price/art/8600BGSHAI1F?analog=on","8600BGSHAI1F"))*1</f>
        <v>#VALUE!</v>
      </c>
      <c r="B9674" s="1">
        <v>6901037</v>
      </c>
      <c r="C9674" t="s">
        <v>366</v>
      </c>
      <c r="D9674" t="s">
        <v>9846</v>
      </c>
      <c r="E9674" t="s">
        <v>23</v>
      </c>
    </row>
    <row r="9675" spans="1:5" hidden="1" outlineLevel="2">
      <c r="A9675" s="3" t="e">
        <f>(HYPERLINK("http://www.autodoc.ru/Web/price/art/8600BGSHAI?analog=on","8600BGSHAI"))*1</f>
        <v>#VALUE!</v>
      </c>
      <c r="B9675" s="1">
        <v>6901038</v>
      </c>
      <c r="C9675" t="s">
        <v>366</v>
      </c>
      <c r="D9675" t="s">
        <v>9847</v>
      </c>
      <c r="E9675" t="s">
        <v>23</v>
      </c>
    </row>
    <row r="9676" spans="1:5" hidden="1" outlineLevel="2">
      <c r="A9676" s="3" t="e">
        <f>(HYPERLINK("http://www.autodoc.ru/Web/price/art/8600BGPHAI2F?analog=on","8600BGPHAI2F"))*1</f>
        <v>#VALUE!</v>
      </c>
      <c r="B9676" s="1">
        <v>6901039</v>
      </c>
      <c r="C9676" t="s">
        <v>366</v>
      </c>
      <c r="D9676" t="s">
        <v>9848</v>
      </c>
      <c r="E9676" t="s">
        <v>23</v>
      </c>
    </row>
    <row r="9677" spans="1:5" hidden="1" outlineLevel="2">
      <c r="A9677" s="3" t="e">
        <f>(HYPERLINK("http://www.autodoc.ru/Web/price/art/8600BGPHAI1F?analog=on","8600BGPHAI1F"))*1</f>
        <v>#VALUE!</v>
      </c>
      <c r="B9677" s="1">
        <v>6901040</v>
      </c>
      <c r="C9677" t="s">
        <v>366</v>
      </c>
      <c r="D9677" t="s">
        <v>9849</v>
      </c>
      <c r="E9677" t="s">
        <v>23</v>
      </c>
    </row>
    <row r="9678" spans="1:5" hidden="1" outlineLevel="1">
      <c r="A9678" s="2">
        <v>0</v>
      </c>
      <c r="B9678" s="26" t="s">
        <v>9850</v>
      </c>
      <c r="C9678" s="27">
        <v>0</v>
      </c>
      <c r="D9678" s="27">
        <v>0</v>
      </c>
      <c r="E9678" s="27">
        <v>0</v>
      </c>
    </row>
    <row r="9679" spans="1:5" hidden="1" outlineLevel="2">
      <c r="A9679" s="3" t="e">
        <f>(HYPERLINK("http://www.autodoc.ru/Web/price/art/8586AGSMVZ1P?analog=on","8586AGSMVZ1P"))*1</f>
        <v>#VALUE!</v>
      </c>
      <c r="B9679" s="1">
        <v>6961375</v>
      </c>
      <c r="C9679" t="s">
        <v>83</v>
      </c>
      <c r="D9679" t="s">
        <v>9851</v>
      </c>
      <c r="E9679" t="s">
        <v>8</v>
      </c>
    </row>
    <row r="9680" spans="1:5" hidden="1" outlineLevel="2">
      <c r="A9680" s="3" t="e">
        <f>(HYPERLINK("http://www.autodoc.ru/Web/price/art/8586AGSVZ?analog=on","8586AGSVZ"))*1</f>
        <v>#VALUE!</v>
      </c>
      <c r="B9680" s="1">
        <v>6961376</v>
      </c>
      <c r="C9680" t="s">
        <v>83</v>
      </c>
      <c r="D9680" t="s">
        <v>9852</v>
      </c>
      <c r="E9680" t="s">
        <v>8</v>
      </c>
    </row>
    <row r="9681" spans="1:5" hidden="1" outlineLevel="2">
      <c r="A9681" s="3" t="e">
        <f>(HYPERLINK("http://www.autodoc.ru/Web/price/art/8586AGSVZ1H?analog=on","8586AGSVZ1H"))*1</f>
        <v>#VALUE!</v>
      </c>
      <c r="B9681" s="1">
        <v>6963076</v>
      </c>
      <c r="C9681" t="s">
        <v>83</v>
      </c>
      <c r="D9681" t="s">
        <v>9853</v>
      </c>
      <c r="E9681" t="s">
        <v>8</v>
      </c>
    </row>
    <row r="9682" spans="1:5" hidden="1" outlineLevel="2">
      <c r="A9682" s="3" t="e">
        <f>(HYPERLINK("http://www.autodoc.ru/Web/price/art/8586BGPSABZ?analog=on","8586BGPSABZ"))*1</f>
        <v>#VALUE!</v>
      </c>
      <c r="B9682" s="1">
        <v>6997487</v>
      </c>
      <c r="C9682" t="s">
        <v>83</v>
      </c>
      <c r="D9682" t="s">
        <v>9854</v>
      </c>
      <c r="E9682" t="s">
        <v>23</v>
      </c>
    </row>
    <row r="9683" spans="1:5" hidden="1" outlineLevel="2">
      <c r="A9683" s="3" t="e">
        <f>(HYPERLINK("http://www.autodoc.ru/Web/price/art/8586LGSS4FD?analog=on","8586LGSS4FD"))*1</f>
        <v>#VALUE!</v>
      </c>
      <c r="B9683" s="1">
        <v>6992542</v>
      </c>
      <c r="C9683" t="s">
        <v>83</v>
      </c>
      <c r="D9683" t="s">
        <v>9855</v>
      </c>
      <c r="E9683" t="s">
        <v>10</v>
      </c>
    </row>
    <row r="9684" spans="1:5" hidden="1" outlineLevel="2">
      <c r="A9684" s="3" t="e">
        <f>(HYPERLINK("http://www.autodoc.ru/Web/price/art/8586LGSS4RDW?analog=on","8586LGSS4RDW"))*1</f>
        <v>#VALUE!</v>
      </c>
      <c r="B9684" s="1">
        <v>6992544</v>
      </c>
      <c r="C9684" t="s">
        <v>83</v>
      </c>
      <c r="D9684" t="s">
        <v>9856</v>
      </c>
      <c r="E9684" t="s">
        <v>10</v>
      </c>
    </row>
    <row r="9685" spans="1:5" hidden="1" outlineLevel="2">
      <c r="A9685" s="3" t="e">
        <f>(HYPERLINK("http://www.autodoc.ru/Web/price/art/8586LGSS4RV?analog=on","8586LGSS4RV"))*1</f>
        <v>#VALUE!</v>
      </c>
      <c r="B9685" s="1">
        <v>6992546</v>
      </c>
      <c r="C9685" t="s">
        <v>83</v>
      </c>
      <c r="D9685" t="s">
        <v>9857</v>
      </c>
      <c r="E9685" t="s">
        <v>10</v>
      </c>
    </row>
    <row r="9686" spans="1:5" hidden="1" outlineLevel="2">
      <c r="A9686" s="3" t="e">
        <f>(HYPERLINK("http://www.autodoc.ru/Web/price/art/8586RGSS4FD?analog=on","8586RGSS4FD"))*1</f>
        <v>#VALUE!</v>
      </c>
      <c r="B9686" s="1">
        <v>6992541</v>
      </c>
      <c r="C9686" t="s">
        <v>83</v>
      </c>
      <c r="D9686" t="s">
        <v>9858</v>
      </c>
      <c r="E9686" t="s">
        <v>10</v>
      </c>
    </row>
    <row r="9687" spans="1:5" hidden="1" outlineLevel="2">
      <c r="A9687" s="3" t="e">
        <f>(HYPERLINK("http://www.autodoc.ru/Web/price/art/8586RGSS4RDW?analog=on","8586RGSS4RDW"))*1</f>
        <v>#VALUE!</v>
      </c>
      <c r="B9687" s="1">
        <v>6992543</v>
      </c>
      <c r="C9687" t="s">
        <v>83</v>
      </c>
      <c r="D9687" t="s">
        <v>9859</v>
      </c>
      <c r="E9687" t="s">
        <v>10</v>
      </c>
    </row>
    <row r="9688" spans="1:5" hidden="1" outlineLevel="2">
      <c r="A9688" s="3" t="e">
        <f>(HYPERLINK("http://www.autodoc.ru/Web/price/art/8586RGSS4RV?analog=on","8586RGSS4RV"))*1</f>
        <v>#VALUE!</v>
      </c>
      <c r="B9688" s="1">
        <v>6992545</v>
      </c>
      <c r="C9688" t="s">
        <v>83</v>
      </c>
      <c r="D9688" t="s">
        <v>9860</v>
      </c>
      <c r="E9688" t="s">
        <v>10</v>
      </c>
    </row>
    <row r="9689" spans="1:5" hidden="1" outlineLevel="1">
      <c r="A9689" s="2">
        <v>0</v>
      </c>
      <c r="B9689" s="26" t="s">
        <v>9861</v>
      </c>
      <c r="C9689" s="27">
        <v>0</v>
      </c>
      <c r="D9689" s="27">
        <v>0</v>
      </c>
      <c r="E9689" s="27">
        <v>0</v>
      </c>
    </row>
    <row r="9690" spans="1:5" hidden="1" outlineLevel="2">
      <c r="A9690" s="3" t="e">
        <f>(HYPERLINK("http://www.autodoc.ru/Web/price/art/8612AGAMVZ1B?analog=on","8612AGAMVZ1B"))*1</f>
        <v>#VALUE!</v>
      </c>
      <c r="B9690" s="1">
        <v>6965633</v>
      </c>
      <c r="C9690" t="s">
        <v>965</v>
      </c>
      <c r="D9690" t="s">
        <v>9862</v>
      </c>
      <c r="E9690" t="s">
        <v>8</v>
      </c>
    </row>
    <row r="9691" spans="1:5" hidden="1" outlineLevel="2">
      <c r="A9691" s="3" t="e">
        <f>(HYPERLINK("http://www.autodoc.ru/Web/price/art/8612AGAVZ?analog=on","8612AGAVZ"))*1</f>
        <v>#VALUE!</v>
      </c>
      <c r="B9691" s="1">
        <v>6965632</v>
      </c>
      <c r="C9691" t="s">
        <v>965</v>
      </c>
      <c r="D9691" t="s">
        <v>9863</v>
      </c>
      <c r="E9691" t="s">
        <v>8</v>
      </c>
    </row>
    <row r="9692" spans="1:5" hidden="1" outlineLevel="1">
      <c r="A9692" s="2">
        <v>0</v>
      </c>
      <c r="B9692" s="26" t="s">
        <v>9864</v>
      </c>
      <c r="C9692" s="27">
        <v>0</v>
      </c>
      <c r="D9692" s="27">
        <v>0</v>
      </c>
      <c r="E9692" s="27">
        <v>0</v>
      </c>
    </row>
    <row r="9693" spans="1:5" hidden="1" outlineLevel="2">
      <c r="A9693" s="3" t="e">
        <f>(HYPERLINK("http://www.autodoc.ru/Web/price/art/8522ACL?analog=on","8522ACL"))*1</f>
        <v>#VALUE!</v>
      </c>
      <c r="B9693" s="1">
        <v>6967403</v>
      </c>
      <c r="C9693" t="s">
        <v>9865</v>
      </c>
      <c r="D9693" t="s">
        <v>9866</v>
      </c>
      <c r="E9693" t="s">
        <v>8</v>
      </c>
    </row>
    <row r="9694" spans="1:5" hidden="1" outlineLevel="2">
      <c r="A9694" s="3" t="e">
        <f>(HYPERLINK("http://www.autodoc.ru/Web/price/art/8522AGN?analog=on","8522AGN"))*1</f>
        <v>#VALUE!</v>
      </c>
      <c r="B9694" s="1">
        <v>6963525</v>
      </c>
      <c r="C9694" t="s">
        <v>9865</v>
      </c>
      <c r="D9694" t="s">
        <v>9867</v>
      </c>
      <c r="E9694" t="s">
        <v>8</v>
      </c>
    </row>
    <row r="9695" spans="1:5" hidden="1" outlineLevel="2">
      <c r="A9695" s="3" t="e">
        <f>(HYPERLINK("http://www.autodoc.ru/Web/price/art/8522AGNGN?analog=on","8522AGNGN"))*1</f>
        <v>#VALUE!</v>
      </c>
      <c r="B9695" s="1">
        <v>6967398</v>
      </c>
      <c r="C9695" t="s">
        <v>9865</v>
      </c>
      <c r="D9695" t="s">
        <v>9868</v>
      </c>
      <c r="E9695" t="s">
        <v>8</v>
      </c>
    </row>
    <row r="9696" spans="1:5" hidden="1" outlineLevel="2">
      <c r="A9696" s="3" t="e">
        <f>(HYPERLINK("http://www.autodoc.ru/Web/price/art/8522ASRV?analog=on","8522ASRV"))*1</f>
        <v>#VALUE!</v>
      </c>
      <c r="B9696" s="1">
        <v>6100230</v>
      </c>
      <c r="C9696" t="s">
        <v>19</v>
      </c>
      <c r="D9696" t="s">
        <v>9869</v>
      </c>
      <c r="E9696" t="s">
        <v>21</v>
      </c>
    </row>
    <row r="9697" spans="1:5" hidden="1" outlineLevel="2">
      <c r="A9697" s="3" t="e">
        <f>(HYPERLINK("http://www.autodoc.ru/Web/price/art/8522FCLV2FD?analog=on","8522FCLV2FD"))*1</f>
        <v>#VALUE!</v>
      </c>
      <c r="B9697" s="1">
        <v>6995507</v>
      </c>
      <c r="C9697" t="s">
        <v>9865</v>
      </c>
      <c r="D9697" t="s">
        <v>9870</v>
      </c>
      <c r="E9697" t="s">
        <v>10</v>
      </c>
    </row>
    <row r="9698" spans="1:5" hidden="1" outlineLevel="1">
      <c r="A9698" s="2">
        <v>0</v>
      </c>
      <c r="B9698" s="26" t="s">
        <v>9871</v>
      </c>
      <c r="C9698" s="27">
        <v>0</v>
      </c>
      <c r="D9698" s="27">
        <v>0</v>
      </c>
      <c r="E9698" s="27">
        <v>0</v>
      </c>
    </row>
    <row r="9699" spans="1:5" hidden="1" outlineLevel="2">
      <c r="A9699" s="3" t="e">
        <f>(HYPERLINK("http://www.autodoc.ru/Web/price/art/8552ACL?analog=on","8552ACL"))*1</f>
        <v>#VALUE!</v>
      </c>
      <c r="B9699" s="1">
        <v>6968138</v>
      </c>
      <c r="C9699" t="s">
        <v>5719</v>
      </c>
      <c r="D9699" t="s">
        <v>9872</v>
      </c>
      <c r="E9699" t="s">
        <v>8</v>
      </c>
    </row>
    <row r="9700" spans="1:5" hidden="1" outlineLevel="2">
      <c r="A9700" s="3" t="e">
        <f>(HYPERLINK("http://www.autodoc.ru/Web/price/art/8552AGN?analog=on","8552AGN"))*1</f>
        <v>#VALUE!</v>
      </c>
      <c r="B9700" s="1">
        <v>6968139</v>
      </c>
      <c r="C9700" t="s">
        <v>5719</v>
      </c>
      <c r="D9700" t="s">
        <v>9873</v>
      </c>
      <c r="E9700" t="s">
        <v>8</v>
      </c>
    </row>
    <row r="9701" spans="1:5" hidden="1" outlineLevel="2">
      <c r="A9701" s="3" t="e">
        <f>(HYPERLINK("http://www.autodoc.ru/Web/price/art/8552AGNGN?analog=on","8552AGNGN"))*1</f>
        <v>#VALUE!</v>
      </c>
      <c r="B9701" s="1">
        <v>6968140</v>
      </c>
      <c r="C9701" t="s">
        <v>5719</v>
      </c>
      <c r="D9701" t="s">
        <v>9874</v>
      </c>
      <c r="E9701" t="s">
        <v>8</v>
      </c>
    </row>
    <row r="9702" spans="1:5" hidden="1" outlineLevel="2">
      <c r="A9702" s="3" t="e">
        <f>(HYPERLINK("http://www.autodoc.ru/Web/price/art/5427ASMV?analog=on","5427ASMV"))*1</f>
        <v>#VALUE!</v>
      </c>
      <c r="B9702" s="1">
        <v>6100126</v>
      </c>
      <c r="C9702" t="s">
        <v>19</v>
      </c>
      <c r="D9702" t="s">
        <v>9875</v>
      </c>
      <c r="E9702" t="s">
        <v>21</v>
      </c>
    </row>
    <row r="9703" spans="1:5" hidden="1" outlineLevel="2">
      <c r="A9703" s="3" t="e">
        <f>(HYPERLINK("http://www.autodoc.ru/Web/price/art/8552LCLV2FD?analog=on","8552LCLV2FD"))*1</f>
        <v>#VALUE!</v>
      </c>
      <c r="B9703" s="1">
        <v>6994272</v>
      </c>
      <c r="C9703" t="s">
        <v>5719</v>
      </c>
      <c r="D9703" t="s">
        <v>9876</v>
      </c>
      <c r="E9703" t="s">
        <v>10</v>
      </c>
    </row>
    <row r="9704" spans="1:5" hidden="1" outlineLevel="2">
      <c r="A9704" s="3" t="e">
        <f>(HYPERLINK("http://www.autodoc.ru/Web/price/art/8552LCLV2FV?analog=on","8552LCLV2FV"))*1</f>
        <v>#VALUE!</v>
      </c>
      <c r="B9704" s="1">
        <v>6994273</v>
      </c>
      <c r="C9704" t="s">
        <v>5719</v>
      </c>
      <c r="D9704" t="s">
        <v>9877</v>
      </c>
      <c r="E9704" t="s">
        <v>10</v>
      </c>
    </row>
    <row r="9705" spans="1:5" hidden="1" outlineLevel="2">
      <c r="A9705" s="3" t="e">
        <f>(HYPERLINK("http://www.autodoc.ru/Web/price/art/8552RCLV2FD?analog=on","8552RCLV2FD"))*1</f>
        <v>#VALUE!</v>
      </c>
      <c r="B9705" s="1">
        <v>6994274</v>
      </c>
      <c r="C9705" t="s">
        <v>5719</v>
      </c>
      <c r="D9705" t="s">
        <v>9878</v>
      </c>
      <c r="E9705" t="s">
        <v>10</v>
      </c>
    </row>
    <row r="9706" spans="1:5" hidden="1" outlineLevel="2">
      <c r="A9706" s="3" t="e">
        <f>(HYPERLINK("http://www.autodoc.ru/Web/price/art/8552RCLV2FV?analog=on","8552RCLV2FV"))*1</f>
        <v>#VALUE!</v>
      </c>
      <c r="B9706" s="1">
        <v>6994275</v>
      </c>
      <c r="C9706" t="s">
        <v>5719</v>
      </c>
      <c r="D9706" t="s">
        <v>9879</v>
      </c>
      <c r="E9706" t="s">
        <v>10</v>
      </c>
    </row>
    <row r="9707" spans="1:5" hidden="1" outlineLevel="1">
      <c r="A9707" s="2">
        <v>0</v>
      </c>
      <c r="B9707" s="26" t="s">
        <v>9880</v>
      </c>
      <c r="C9707" s="27">
        <v>0</v>
      </c>
      <c r="D9707" s="27">
        <v>0</v>
      </c>
      <c r="E9707" s="27">
        <v>0</v>
      </c>
    </row>
    <row r="9708" spans="1:5" hidden="1" outlineLevel="2">
      <c r="A9708" s="3" t="e">
        <f>(HYPERLINK("http://www.autodoc.ru/Web/price/art/8553ACL?analog=on","8553ACL"))*1</f>
        <v>#VALUE!</v>
      </c>
      <c r="B9708" s="1">
        <v>6968135</v>
      </c>
      <c r="C9708" t="s">
        <v>5719</v>
      </c>
      <c r="D9708" t="s">
        <v>9881</v>
      </c>
      <c r="E9708" t="s">
        <v>8</v>
      </c>
    </row>
    <row r="9709" spans="1:5" hidden="1" outlineLevel="2">
      <c r="A9709" s="3" t="e">
        <f>(HYPERLINK("http://www.autodoc.ru/Web/price/art/8553AGN?analog=on","8553AGN"))*1</f>
        <v>#VALUE!</v>
      </c>
      <c r="B9709" s="1">
        <v>6968136</v>
      </c>
      <c r="C9709" t="s">
        <v>5719</v>
      </c>
      <c r="D9709" t="s">
        <v>9882</v>
      </c>
      <c r="E9709" t="s">
        <v>8</v>
      </c>
    </row>
    <row r="9710" spans="1:5" hidden="1" outlineLevel="2">
      <c r="A9710" s="3" t="e">
        <f>(HYPERLINK("http://www.autodoc.ru/Web/price/art/8553AGNGN?analog=on","8553AGNGN"))*1</f>
        <v>#VALUE!</v>
      </c>
      <c r="B9710" s="1">
        <v>6968137</v>
      </c>
      <c r="C9710" t="s">
        <v>5719</v>
      </c>
      <c r="D9710" t="s">
        <v>9883</v>
      </c>
      <c r="E9710" t="s">
        <v>8</v>
      </c>
    </row>
    <row r="9711" spans="1:5" hidden="1" outlineLevel="2">
      <c r="A9711" s="3" t="e">
        <f>(HYPERLINK("http://www.autodoc.ru/Web/price/art/5426ASMV?analog=on","5426ASMV"))*1</f>
        <v>#VALUE!</v>
      </c>
      <c r="B9711" s="1">
        <v>6100125</v>
      </c>
      <c r="C9711" t="s">
        <v>19</v>
      </c>
      <c r="D9711" t="s">
        <v>9884</v>
      </c>
      <c r="E9711" t="s">
        <v>21</v>
      </c>
    </row>
    <row r="9712" spans="1:5" hidden="1" outlineLevel="1">
      <c r="A9712" s="2">
        <v>0</v>
      </c>
      <c r="B9712" s="26" t="s">
        <v>9885</v>
      </c>
      <c r="C9712" s="27">
        <v>0</v>
      </c>
      <c r="D9712" s="27">
        <v>0</v>
      </c>
      <c r="E9712" s="27">
        <v>0</v>
      </c>
    </row>
    <row r="9713" spans="1:5" hidden="1" outlineLevel="2">
      <c r="A9713" s="3" t="e">
        <f>(HYPERLINK("http://www.autodoc.ru/Web/price/art/8590AGS?analog=on","8590AGS"))*1</f>
        <v>#VALUE!</v>
      </c>
      <c r="B9713" s="1">
        <v>6190294</v>
      </c>
      <c r="C9713" t="s">
        <v>389</v>
      </c>
      <c r="D9713" t="s">
        <v>9886</v>
      </c>
      <c r="E9713" t="s">
        <v>8</v>
      </c>
    </row>
    <row r="9714" spans="1:5" hidden="1" outlineLevel="2">
      <c r="A9714" s="3" t="e">
        <f>(HYPERLINK("http://www.autodoc.ru/Web/price/art/8590AGSBL?analog=on","8590AGSBL"))*1</f>
        <v>#VALUE!</v>
      </c>
      <c r="B9714" s="1">
        <v>6190749</v>
      </c>
      <c r="C9714" t="s">
        <v>389</v>
      </c>
      <c r="D9714" t="s">
        <v>9887</v>
      </c>
      <c r="E9714" t="s">
        <v>8</v>
      </c>
    </row>
    <row r="9715" spans="1:5" hidden="1" outlineLevel="2">
      <c r="A9715" s="3" t="e">
        <f>(HYPERLINK("http://www.autodoc.ru/Web/price/art/8590AGSBLHM1B?analog=on","8590AGSBLHM1B"))*1</f>
        <v>#VALUE!</v>
      </c>
      <c r="B9715" s="1">
        <v>6190864</v>
      </c>
      <c r="C9715" t="s">
        <v>389</v>
      </c>
      <c r="D9715" t="s">
        <v>9888</v>
      </c>
      <c r="E9715" t="s">
        <v>8</v>
      </c>
    </row>
    <row r="9716" spans="1:5" hidden="1" outlineLevel="2">
      <c r="A9716" s="3" t="e">
        <f>(HYPERLINK("http://www.autodoc.ru/Web/price/art/8590AGSBLM1B?analog=on","8590AGSBLM1B"))*1</f>
        <v>#VALUE!</v>
      </c>
      <c r="B9716" s="1">
        <v>6190295</v>
      </c>
      <c r="C9716" t="s">
        <v>389</v>
      </c>
      <c r="D9716" t="s">
        <v>9889</v>
      </c>
      <c r="E9716" t="s">
        <v>8</v>
      </c>
    </row>
    <row r="9717" spans="1:5" hidden="1" outlineLevel="2">
      <c r="A9717" s="3" t="e">
        <f>(HYPERLINK("http://www.autodoc.ru/Web/price/art/8590LCLV3FD?analog=on","8590LCLV3FD"))*1</f>
        <v>#VALUE!</v>
      </c>
      <c r="B9717" s="1">
        <v>6900576</v>
      </c>
      <c r="C9717" t="s">
        <v>389</v>
      </c>
      <c r="D9717" t="s">
        <v>9890</v>
      </c>
      <c r="E9717" t="s">
        <v>10</v>
      </c>
    </row>
    <row r="9718" spans="1:5" hidden="1" outlineLevel="2">
      <c r="A9718" s="3" t="e">
        <f>(HYPERLINK("http://www.autodoc.ru/Web/price/art/8590RCLV3FD?analog=on","8590RCLV3FD"))*1</f>
        <v>#VALUE!</v>
      </c>
      <c r="B9718" s="1">
        <v>6900577</v>
      </c>
      <c r="C9718" t="s">
        <v>389</v>
      </c>
      <c r="D9718" t="s">
        <v>9891</v>
      </c>
      <c r="E9718" t="s">
        <v>10</v>
      </c>
    </row>
    <row r="9719" spans="1:5" hidden="1" outlineLevel="1">
      <c r="A9719" s="2">
        <v>0</v>
      </c>
      <c r="B9719" s="26" t="s">
        <v>9892</v>
      </c>
      <c r="C9719" s="27">
        <v>0</v>
      </c>
      <c r="D9719" s="27">
        <v>0</v>
      </c>
      <c r="E9719" s="27">
        <v>0</v>
      </c>
    </row>
    <row r="9720" spans="1:5" hidden="1" outlineLevel="2">
      <c r="A9720" s="3" t="e">
        <f>(HYPERLINK("http://www.autodoc.ru/Web/price/art/8560AGNVZ1A?analog=on","8560AGNVZ1A"))*1</f>
        <v>#VALUE!</v>
      </c>
      <c r="B9720" s="1">
        <v>6962391</v>
      </c>
      <c r="C9720" t="s">
        <v>319</v>
      </c>
      <c r="D9720" t="s">
        <v>9893</v>
      </c>
      <c r="E9720" t="s">
        <v>8</v>
      </c>
    </row>
    <row r="9721" spans="1:5" hidden="1" outlineLevel="2">
      <c r="A9721" s="3" t="e">
        <f>(HYPERLINK("http://www.autodoc.ru/Web/price/art/8560AGNZ?analog=on","8560AGNZ"))*1</f>
        <v>#VALUE!</v>
      </c>
      <c r="B9721" s="1">
        <v>6190498</v>
      </c>
      <c r="C9721" t="s">
        <v>319</v>
      </c>
      <c r="D9721" t="s">
        <v>9894</v>
      </c>
      <c r="E9721" t="s">
        <v>8</v>
      </c>
    </row>
    <row r="9722" spans="1:5" hidden="1" outlineLevel="2">
      <c r="A9722" s="3" t="e">
        <f>(HYPERLINK("http://www.autodoc.ru/Web/price/art/8560BGNHZ?analog=on","8560BGNHZ"))*1</f>
        <v>#VALUE!</v>
      </c>
      <c r="B9722" s="1">
        <v>6992790</v>
      </c>
      <c r="C9722" t="s">
        <v>319</v>
      </c>
      <c r="D9722" t="s">
        <v>9895</v>
      </c>
      <c r="E9722" t="s">
        <v>23</v>
      </c>
    </row>
    <row r="9723" spans="1:5" hidden="1" outlineLevel="2">
      <c r="A9723" s="3" t="e">
        <f>(HYPERLINK("http://www.autodoc.ru/Web/price/art/8560LGNH3FD?analog=on","8560LGNH3FD"))*1</f>
        <v>#VALUE!</v>
      </c>
      <c r="B9723" s="1">
        <v>6190499</v>
      </c>
      <c r="C9723" t="s">
        <v>319</v>
      </c>
      <c r="D9723" t="s">
        <v>9896</v>
      </c>
      <c r="E9723" t="s">
        <v>10</v>
      </c>
    </row>
    <row r="9724" spans="1:5" hidden="1" outlineLevel="2">
      <c r="A9724" s="3" t="e">
        <f>(HYPERLINK("http://www.autodoc.ru/Web/price/art/8560RGNH3FD?analog=on","8560RGNH3FD"))*1</f>
        <v>#VALUE!</v>
      </c>
      <c r="B9724" s="1">
        <v>6190501</v>
      </c>
      <c r="C9724" t="s">
        <v>319</v>
      </c>
      <c r="D9724" t="s">
        <v>9897</v>
      </c>
      <c r="E9724" t="s">
        <v>10</v>
      </c>
    </row>
    <row r="9725" spans="1:5" hidden="1" outlineLevel="1">
      <c r="A9725" s="2">
        <v>0</v>
      </c>
      <c r="B9725" s="26" t="s">
        <v>9898</v>
      </c>
      <c r="C9725" s="27">
        <v>0</v>
      </c>
      <c r="D9725" s="27">
        <v>0</v>
      </c>
      <c r="E9725" s="27">
        <v>0</v>
      </c>
    </row>
    <row r="9726" spans="1:5" hidden="1" outlineLevel="2">
      <c r="A9726" s="3" t="e">
        <f>(HYPERLINK("http://www.autodoc.ru/Web/price/art/8579LGSV4RQD?analog=on","8579LGSV4RQD"))*1</f>
        <v>#VALUE!</v>
      </c>
      <c r="B9726" s="1">
        <v>6992095</v>
      </c>
      <c r="C9726" t="s">
        <v>782</v>
      </c>
      <c r="D9726" t="s">
        <v>9899</v>
      </c>
      <c r="E9726" t="s">
        <v>10</v>
      </c>
    </row>
    <row r="9727" spans="1:5" hidden="1" outlineLevel="2">
      <c r="A9727" s="3" t="e">
        <f>(HYPERLINK("http://www.autodoc.ru/Web/price/art/8579RGSV4RQD?analog=on","8579RGSV4RQD"))*1</f>
        <v>#VALUE!</v>
      </c>
      <c r="B9727" s="1">
        <v>6992096</v>
      </c>
      <c r="C9727" t="s">
        <v>782</v>
      </c>
      <c r="D9727" t="s">
        <v>9900</v>
      </c>
      <c r="E9727" t="s">
        <v>10</v>
      </c>
    </row>
    <row r="9728" spans="1:5" hidden="1" outlineLevel="1">
      <c r="A9728" s="2">
        <v>0</v>
      </c>
      <c r="B9728" s="26" t="s">
        <v>9901</v>
      </c>
      <c r="C9728" s="27">
        <v>0</v>
      </c>
      <c r="D9728" s="27">
        <v>0</v>
      </c>
      <c r="E9728" s="27">
        <v>0</v>
      </c>
    </row>
    <row r="9729" spans="1:5" hidden="1" outlineLevel="2">
      <c r="A9729" s="3" t="e">
        <f>(HYPERLINK("http://www.autodoc.ru/Web/price/art/8529ACL?analog=on","8529ACL"))*1</f>
        <v>#VALUE!</v>
      </c>
      <c r="B9729" s="1">
        <v>6967511</v>
      </c>
      <c r="C9729" t="s">
        <v>6460</v>
      </c>
      <c r="D9729" t="s">
        <v>9902</v>
      </c>
      <c r="E9729" t="s">
        <v>8</v>
      </c>
    </row>
    <row r="9730" spans="1:5" hidden="1" outlineLevel="2">
      <c r="A9730" s="3" t="e">
        <f>(HYPERLINK("http://www.autodoc.ru/Web/price/art/8529AGN?analog=on","8529AGN"))*1</f>
        <v>#VALUE!</v>
      </c>
      <c r="B9730" s="1">
        <v>6967512</v>
      </c>
      <c r="C9730" t="s">
        <v>6460</v>
      </c>
      <c r="D9730" t="s">
        <v>9903</v>
      </c>
      <c r="E9730" t="s">
        <v>8</v>
      </c>
    </row>
    <row r="9731" spans="1:5" hidden="1" outlineLevel="2">
      <c r="A9731" s="3" t="e">
        <f>(HYPERLINK("http://www.autodoc.ru/Web/price/art/8529AGNBL?analog=on","8529AGNBL"))*1</f>
        <v>#VALUE!</v>
      </c>
      <c r="B9731" s="1">
        <v>6967514</v>
      </c>
      <c r="C9731" t="s">
        <v>6460</v>
      </c>
      <c r="D9731" t="s">
        <v>9904</v>
      </c>
      <c r="E9731" t="s">
        <v>8</v>
      </c>
    </row>
    <row r="9732" spans="1:5" hidden="1" outlineLevel="2">
      <c r="A9732" s="3" t="e">
        <f>(HYPERLINK("http://www.autodoc.ru/Web/price/art/8529AGNGN?analog=on","8529AGNGN"))*1</f>
        <v>#VALUE!</v>
      </c>
      <c r="B9732" s="1">
        <v>6967515</v>
      </c>
      <c r="C9732" t="s">
        <v>6460</v>
      </c>
      <c r="D9732" t="s">
        <v>9905</v>
      </c>
      <c r="E9732" t="s">
        <v>8</v>
      </c>
    </row>
    <row r="9733" spans="1:5" hidden="1" outlineLevel="2">
      <c r="A9733" s="3" t="e">
        <f>(HYPERLINK("http://www.autodoc.ru/Web/price/art/8529ASRH?analog=on","8529ASRH"))*1</f>
        <v>#VALUE!</v>
      </c>
      <c r="B9733" s="1">
        <v>6100343</v>
      </c>
      <c r="C9733" t="s">
        <v>19</v>
      </c>
      <c r="D9733" t="s">
        <v>9906</v>
      </c>
      <c r="E9733" t="s">
        <v>21</v>
      </c>
    </row>
    <row r="9734" spans="1:5" hidden="1" outlineLevel="2">
      <c r="A9734" s="3" t="e">
        <f>(HYPERLINK("http://www.autodoc.ru/Web/price/art/8529BCLE?analog=on","8529BCLE"))*1</f>
        <v>#VALUE!</v>
      </c>
      <c r="B9734" s="1">
        <v>6998821</v>
      </c>
      <c r="C9734" t="s">
        <v>6460</v>
      </c>
      <c r="D9734" t="s">
        <v>9907</v>
      </c>
      <c r="E9734" t="s">
        <v>23</v>
      </c>
    </row>
    <row r="9735" spans="1:5" hidden="1" outlineLevel="1">
      <c r="A9735" s="2">
        <v>0</v>
      </c>
      <c r="B9735" s="26" t="s">
        <v>9908</v>
      </c>
      <c r="C9735" s="27">
        <v>0</v>
      </c>
      <c r="D9735" s="27">
        <v>0</v>
      </c>
      <c r="E9735" s="27">
        <v>0</v>
      </c>
    </row>
    <row r="9736" spans="1:5" hidden="1" outlineLevel="2">
      <c r="A9736" s="3" t="e">
        <f>(HYPERLINK("http://www.autodoc.ru/Web/price/art/8535ACLZ?analog=on","8535ACLZ"))*1</f>
        <v>#VALUE!</v>
      </c>
      <c r="B9736" s="1">
        <v>6963350</v>
      </c>
      <c r="C9736" t="s">
        <v>2326</v>
      </c>
      <c r="D9736" t="s">
        <v>9909</v>
      </c>
      <c r="E9736" t="s">
        <v>8</v>
      </c>
    </row>
    <row r="9737" spans="1:5" hidden="1" outlineLevel="2">
      <c r="A9737" s="3" t="e">
        <f>(HYPERLINK("http://www.autodoc.ru/Web/price/art/8535AGNBLZ?analog=on","8535AGNBLZ"))*1</f>
        <v>#VALUE!</v>
      </c>
      <c r="B9737" s="1">
        <v>6963713</v>
      </c>
      <c r="C9737" t="s">
        <v>2326</v>
      </c>
      <c r="D9737" t="s">
        <v>9910</v>
      </c>
      <c r="E9737" t="s">
        <v>8</v>
      </c>
    </row>
    <row r="9738" spans="1:5" hidden="1" outlineLevel="2">
      <c r="A9738" s="3" t="e">
        <f>(HYPERLINK("http://www.autodoc.ru/Web/price/art/8535AGNBLZ1C?analog=on","8535AGNBLZ1C"))*1</f>
        <v>#VALUE!</v>
      </c>
      <c r="B9738" s="1">
        <v>6963714</v>
      </c>
      <c r="C9738" t="s">
        <v>9722</v>
      </c>
      <c r="D9738" t="s">
        <v>9911</v>
      </c>
      <c r="E9738" t="s">
        <v>8</v>
      </c>
    </row>
    <row r="9739" spans="1:5" hidden="1" outlineLevel="2">
      <c r="A9739" s="3" t="e">
        <f>(HYPERLINK("http://www.autodoc.ru/Web/price/art/8535AGNBLZ2C?analog=on","8535AGNBLZ2C"))*1</f>
        <v>#VALUE!</v>
      </c>
      <c r="B9739" s="1">
        <v>6963351</v>
      </c>
      <c r="C9739" t="s">
        <v>2856</v>
      </c>
      <c r="D9739" t="s">
        <v>9912</v>
      </c>
      <c r="E9739" t="s">
        <v>8</v>
      </c>
    </row>
    <row r="9740" spans="1:5" hidden="1" outlineLevel="2">
      <c r="A9740" s="3" t="e">
        <f>(HYPERLINK("http://www.autodoc.ru/Web/price/art/8535AGNGNZ?analog=on","8535AGNGNZ"))*1</f>
        <v>#VALUE!</v>
      </c>
      <c r="B9740" s="1">
        <v>6967442</v>
      </c>
      <c r="C9740" t="s">
        <v>2379</v>
      </c>
      <c r="D9740" t="s">
        <v>9913</v>
      </c>
      <c r="E9740" t="s">
        <v>8</v>
      </c>
    </row>
    <row r="9741" spans="1:5" hidden="1" outlineLevel="2">
      <c r="A9741" s="3" t="e">
        <f>(HYPERLINK("http://www.autodoc.ru/Web/price/art/8535AGNGNZ1C?analog=on","8535AGNGNZ1C"))*1</f>
        <v>#VALUE!</v>
      </c>
      <c r="B9741" s="1">
        <v>6963352</v>
      </c>
      <c r="C9741" t="s">
        <v>9722</v>
      </c>
      <c r="D9741" t="s">
        <v>9914</v>
      </c>
      <c r="E9741" t="s">
        <v>8</v>
      </c>
    </row>
    <row r="9742" spans="1:5" hidden="1" outlineLevel="2">
      <c r="A9742" s="3" t="e">
        <f>(HYPERLINK("http://www.autodoc.ru/Web/price/art/8535AGNGNZ2C?analog=on","8535AGNGNZ2C"))*1</f>
        <v>#VALUE!</v>
      </c>
      <c r="B9742" s="1">
        <v>6963353</v>
      </c>
      <c r="C9742" t="s">
        <v>2856</v>
      </c>
      <c r="D9742" t="s">
        <v>9915</v>
      </c>
      <c r="E9742" t="s">
        <v>8</v>
      </c>
    </row>
    <row r="9743" spans="1:5" hidden="1" outlineLevel="2">
      <c r="A9743" s="3" t="e">
        <f>(HYPERLINK("http://www.autodoc.ru/Web/price/art/8535AGNZ?analog=on","8535AGNZ"))*1</f>
        <v>#VALUE!</v>
      </c>
      <c r="B9743" s="1">
        <v>6967413</v>
      </c>
      <c r="C9743" t="s">
        <v>2379</v>
      </c>
      <c r="D9743" t="s">
        <v>9916</v>
      </c>
      <c r="E9743" t="s">
        <v>8</v>
      </c>
    </row>
    <row r="9744" spans="1:5" hidden="1" outlineLevel="2">
      <c r="A9744" s="3" t="e">
        <f>(HYPERLINK("http://www.autodoc.ru/Web/price/art/8535AGNZ1C?analog=on","8535AGNZ1C"))*1</f>
        <v>#VALUE!</v>
      </c>
      <c r="B9744" s="1">
        <v>6967443</v>
      </c>
      <c r="C9744" t="s">
        <v>9722</v>
      </c>
      <c r="D9744" t="s">
        <v>9917</v>
      </c>
      <c r="E9744" t="s">
        <v>8</v>
      </c>
    </row>
    <row r="9745" spans="1:5" hidden="1" outlineLevel="2">
      <c r="A9745" s="3" t="e">
        <f>(HYPERLINK("http://www.autodoc.ru/Web/price/art/8535AGNZ2C?analog=on","8535AGNZ2C"))*1</f>
        <v>#VALUE!</v>
      </c>
      <c r="B9745" s="1">
        <v>6967445</v>
      </c>
      <c r="C9745" t="s">
        <v>2856</v>
      </c>
      <c r="D9745" t="s">
        <v>9918</v>
      </c>
      <c r="E9745" t="s">
        <v>8</v>
      </c>
    </row>
    <row r="9746" spans="1:5" hidden="1" outlineLevel="2">
      <c r="A9746" s="3" t="e">
        <f>(HYPERLINK("http://www.autodoc.ru/Web/price/art/8535ASDS?analog=on","8535ASDS"))*1</f>
        <v>#VALUE!</v>
      </c>
      <c r="B9746" s="1">
        <v>6100237</v>
      </c>
      <c r="C9746" t="s">
        <v>19</v>
      </c>
      <c r="D9746" t="s">
        <v>9919</v>
      </c>
      <c r="E9746" t="s">
        <v>21</v>
      </c>
    </row>
    <row r="9747" spans="1:5" hidden="1" outlineLevel="2">
      <c r="A9747" s="3" t="e">
        <f>(HYPERLINK("http://www.autodoc.ru/Web/price/art/8535ASMS?analog=on","8535ASMS"))*1</f>
        <v>#VALUE!</v>
      </c>
      <c r="B9747" s="1">
        <v>6102386</v>
      </c>
      <c r="C9747" t="s">
        <v>19</v>
      </c>
      <c r="D9747" t="s">
        <v>9920</v>
      </c>
      <c r="E9747" t="s">
        <v>21</v>
      </c>
    </row>
    <row r="9748" spans="1:5" hidden="1" outlineLevel="2">
      <c r="A9748" s="3" t="e">
        <f>(HYPERLINK("http://www.autodoc.ru/Web/price/art/8535BGNEABZ?analog=on","8535BGNEABZ"))*1</f>
        <v>#VALUE!</v>
      </c>
      <c r="B9748" s="1">
        <v>6998676</v>
      </c>
      <c r="C9748" t="s">
        <v>9921</v>
      </c>
      <c r="D9748" t="s">
        <v>9922</v>
      </c>
      <c r="E9748" t="s">
        <v>23</v>
      </c>
    </row>
    <row r="9749" spans="1:5" hidden="1" outlineLevel="2">
      <c r="A9749" s="3" t="e">
        <f>(HYPERLINK("http://www.autodoc.ru/Web/price/art/8535BGNEAZ?analog=on","8535BGNEAZ"))*1</f>
        <v>#VALUE!</v>
      </c>
      <c r="B9749" s="1">
        <v>6998827</v>
      </c>
      <c r="C9749" t="s">
        <v>2326</v>
      </c>
      <c r="D9749" t="s">
        <v>9923</v>
      </c>
      <c r="E9749" t="s">
        <v>23</v>
      </c>
    </row>
    <row r="9750" spans="1:5" hidden="1" outlineLevel="2">
      <c r="A9750" s="3" t="e">
        <f>(HYPERLINK("http://www.autodoc.ru/Web/price/art/8535BGNEAZ1B?analog=on","8535BGNEAZ1B"))*1</f>
        <v>#VALUE!</v>
      </c>
      <c r="B9750" s="1">
        <v>6998828</v>
      </c>
      <c r="C9750" t="s">
        <v>1883</v>
      </c>
      <c r="D9750" t="s">
        <v>9924</v>
      </c>
      <c r="E9750" t="s">
        <v>23</v>
      </c>
    </row>
    <row r="9751" spans="1:5" hidden="1" outlineLevel="2">
      <c r="A9751" s="3" t="e">
        <f>(HYPERLINK("http://www.autodoc.ru/Web/price/art/8535BGNEBZ1B?analog=on","8535BGNEBZ1B"))*1</f>
        <v>#VALUE!</v>
      </c>
      <c r="B9751" s="1">
        <v>6998012</v>
      </c>
      <c r="C9751" t="s">
        <v>1883</v>
      </c>
      <c r="D9751" t="s">
        <v>9925</v>
      </c>
      <c r="E9751" t="s">
        <v>23</v>
      </c>
    </row>
    <row r="9752" spans="1:5" hidden="1" outlineLevel="2">
      <c r="A9752" s="3" t="e">
        <f>(HYPERLINK("http://www.autodoc.ru/Web/price/art/8535BGNEZ1B?analog=on","8535BGNEZ1B"))*1</f>
        <v>#VALUE!</v>
      </c>
      <c r="B9752" s="1">
        <v>6999049</v>
      </c>
      <c r="C9752" t="s">
        <v>1883</v>
      </c>
      <c r="D9752" t="s">
        <v>9926</v>
      </c>
      <c r="E9752" t="s">
        <v>23</v>
      </c>
    </row>
    <row r="9753" spans="1:5" hidden="1" outlineLevel="2">
      <c r="A9753" s="3" t="e">
        <f>(HYPERLINK("http://www.autodoc.ru/Web/price/art/8535BGNSAZ?analog=on","8535BGNSAZ"))*1</f>
        <v>#VALUE!</v>
      </c>
      <c r="B9753" s="1">
        <v>6998829</v>
      </c>
      <c r="C9753" t="s">
        <v>2326</v>
      </c>
      <c r="D9753" t="s">
        <v>9927</v>
      </c>
      <c r="E9753" t="s">
        <v>23</v>
      </c>
    </row>
    <row r="9754" spans="1:5" hidden="1" outlineLevel="2">
      <c r="A9754" s="3" t="e">
        <f>(HYPERLINK("http://www.autodoc.ru/Web/price/art/8535BGNSBZ?analog=on","8535BGNSBZ"))*1</f>
        <v>#VALUE!</v>
      </c>
      <c r="B9754" s="1">
        <v>6998677</v>
      </c>
      <c r="C9754" t="s">
        <v>2326</v>
      </c>
      <c r="D9754" t="s">
        <v>9928</v>
      </c>
      <c r="E9754" t="s">
        <v>23</v>
      </c>
    </row>
    <row r="9755" spans="1:5" hidden="1" outlineLevel="2">
      <c r="A9755" s="3" t="e">
        <f>(HYPERLINK("http://www.autodoc.ru/Web/price/art/8535LGNE5RD?analog=on","8535LGNE5RD"))*1</f>
        <v>#VALUE!</v>
      </c>
      <c r="B9755" s="1">
        <v>6996932</v>
      </c>
      <c r="C9755" t="s">
        <v>2326</v>
      </c>
      <c r="D9755" t="s">
        <v>9929</v>
      </c>
      <c r="E9755" t="s">
        <v>10</v>
      </c>
    </row>
    <row r="9756" spans="1:5" hidden="1" outlineLevel="2">
      <c r="A9756" s="3" t="e">
        <f>(HYPERLINK("http://www.autodoc.ru/Web/price/art/8535LGNS4FD?analog=on","8535LGNS4FD"))*1</f>
        <v>#VALUE!</v>
      </c>
      <c r="B9756" s="1">
        <v>6998213</v>
      </c>
      <c r="C9756" t="s">
        <v>2326</v>
      </c>
      <c r="D9756" t="s">
        <v>9930</v>
      </c>
      <c r="E9756" t="s">
        <v>10</v>
      </c>
    </row>
    <row r="9757" spans="1:5" hidden="1" outlineLevel="2">
      <c r="A9757" s="3" t="e">
        <f>(HYPERLINK("http://www.autodoc.ru/Web/price/art/8535LGNS4RD?analog=on","8535LGNS4RD"))*1</f>
        <v>#VALUE!</v>
      </c>
      <c r="B9757" s="1">
        <v>6996933</v>
      </c>
      <c r="C9757" t="s">
        <v>2326</v>
      </c>
      <c r="D9757" t="s">
        <v>9931</v>
      </c>
      <c r="E9757" t="s">
        <v>10</v>
      </c>
    </row>
    <row r="9758" spans="1:5" hidden="1" outlineLevel="2">
      <c r="A9758" s="3" t="e">
        <f>(HYPERLINK("http://www.autodoc.ru/Web/price/art/8535LGNS4RQZ?analog=on","8535LGNS4RQZ"))*1</f>
        <v>#VALUE!</v>
      </c>
      <c r="B9758" s="1">
        <v>6995876</v>
      </c>
      <c r="C9758" t="s">
        <v>2326</v>
      </c>
      <c r="D9758" t="s">
        <v>9932</v>
      </c>
      <c r="E9758" t="s">
        <v>10</v>
      </c>
    </row>
    <row r="9759" spans="1:5" hidden="1" outlineLevel="2">
      <c r="A9759" s="3" t="e">
        <f>(HYPERLINK("http://www.autodoc.ru/Web/price/art/8535RGNE5RD?analog=on","8535RGNE5RD"))*1</f>
        <v>#VALUE!</v>
      </c>
      <c r="B9759" s="1">
        <v>6996934</v>
      </c>
      <c r="C9759" t="s">
        <v>2326</v>
      </c>
      <c r="D9759" t="s">
        <v>9933</v>
      </c>
      <c r="E9759" t="s">
        <v>10</v>
      </c>
    </row>
    <row r="9760" spans="1:5" hidden="1" outlineLevel="2">
      <c r="A9760" s="3" t="e">
        <f>(HYPERLINK("http://www.autodoc.ru/Web/price/art/8535RGNS4FD?analog=on","8535RGNS4FD"))*1</f>
        <v>#VALUE!</v>
      </c>
      <c r="B9760" s="1">
        <v>6998214</v>
      </c>
      <c r="C9760" t="s">
        <v>2326</v>
      </c>
      <c r="D9760" t="s">
        <v>9934</v>
      </c>
      <c r="E9760" t="s">
        <v>10</v>
      </c>
    </row>
    <row r="9761" spans="1:5" hidden="1" outlineLevel="2">
      <c r="A9761" s="3" t="e">
        <f>(HYPERLINK("http://www.autodoc.ru/Web/price/art/8535RGNS4RD?analog=on","8535RGNS4RD"))*1</f>
        <v>#VALUE!</v>
      </c>
      <c r="B9761" s="1">
        <v>6996935</v>
      </c>
      <c r="C9761" t="s">
        <v>2326</v>
      </c>
      <c r="D9761" t="s">
        <v>9935</v>
      </c>
      <c r="E9761" t="s">
        <v>10</v>
      </c>
    </row>
    <row r="9762" spans="1:5" hidden="1" outlineLevel="2">
      <c r="A9762" s="3" t="e">
        <f>(HYPERLINK("http://www.autodoc.ru/Web/price/art/8535RGNS4RQZ?analog=on","8535RGNS4RQZ"))*1</f>
        <v>#VALUE!</v>
      </c>
      <c r="B9762" s="1">
        <v>6995877</v>
      </c>
      <c r="C9762" t="s">
        <v>2326</v>
      </c>
      <c r="D9762" t="s">
        <v>9936</v>
      </c>
      <c r="E9762" t="s">
        <v>10</v>
      </c>
    </row>
    <row r="9763" spans="1:5" hidden="1" outlineLevel="1">
      <c r="A9763" s="2">
        <v>0</v>
      </c>
      <c r="B9763" s="26" t="s">
        <v>9937</v>
      </c>
      <c r="C9763" s="27">
        <v>0</v>
      </c>
      <c r="D9763" s="27">
        <v>0</v>
      </c>
      <c r="E9763" s="27">
        <v>0</v>
      </c>
    </row>
    <row r="9764" spans="1:5" hidden="1" outlineLevel="2">
      <c r="A9764" s="3" t="e">
        <f>(HYPERLINK("http://www.autodoc.ru/Web/price/art/8556AGNBLZ?analog=on","8556AGNBLZ"))*1</f>
        <v>#VALUE!</v>
      </c>
      <c r="B9764" s="1">
        <v>6963213</v>
      </c>
      <c r="C9764" t="s">
        <v>3097</v>
      </c>
      <c r="D9764" t="s">
        <v>9938</v>
      </c>
      <c r="E9764" t="s">
        <v>8</v>
      </c>
    </row>
    <row r="9765" spans="1:5" hidden="1" outlineLevel="2">
      <c r="A9765" s="3" t="e">
        <f>(HYPERLINK("http://www.autodoc.ru/Web/price/art/8556AGNGNVZ?analog=on","8556AGNGNVZ"))*1</f>
        <v>#VALUE!</v>
      </c>
      <c r="B9765" s="1">
        <v>6967447</v>
      </c>
      <c r="C9765" t="s">
        <v>3097</v>
      </c>
      <c r="D9765" t="s">
        <v>9939</v>
      </c>
      <c r="E9765" t="s">
        <v>8</v>
      </c>
    </row>
    <row r="9766" spans="1:5" hidden="1" outlineLevel="2">
      <c r="A9766" s="3" t="e">
        <f>(HYPERLINK("http://www.autodoc.ru/Web/price/art/8556AGNGNZ?analog=on","8556AGNGNZ"))*1</f>
        <v>#VALUE!</v>
      </c>
      <c r="B9766" s="1">
        <v>6960923</v>
      </c>
      <c r="C9766" t="s">
        <v>3097</v>
      </c>
      <c r="D9766" t="s">
        <v>9940</v>
      </c>
      <c r="E9766" t="s">
        <v>8</v>
      </c>
    </row>
    <row r="9767" spans="1:5" hidden="1" outlineLevel="2">
      <c r="A9767" s="3" t="e">
        <f>(HYPERLINK("http://www.autodoc.ru/Web/price/art/8556AGNGYMVZ?analog=on","8556AGNGYMVZ"))*1</f>
        <v>#VALUE!</v>
      </c>
      <c r="B9767" s="1">
        <v>6960440</v>
      </c>
      <c r="C9767" t="s">
        <v>3097</v>
      </c>
      <c r="D9767" t="s">
        <v>9941</v>
      </c>
      <c r="E9767" t="s">
        <v>8</v>
      </c>
    </row>
    <row r="9768" spans="1:5" hidden="1" outlineLevel="2">
      <c r="A9768" s="3" t="e">
        <f>(HYPERLINK("http://www.autodoc.ru/Web/price/art/8556AGNGYMZ?analog=on","8556AGNGYMZ"))*1</f>
        <v>#VALUE!</v>
      </c>
      <c r="B9768" s="1">
        <v>6960924</v>
      </c>
      <c r="C9768" t="s">
        <v>3097</v>
      </c>
      <c r="D9768" t="s">
        <v>9942</v>
      </c>
      <c r="E9768" t="s">
        <v>8</v>
      </c>
    </row>
    <row r="9769" spans="1:5" hidden="1" outlineLevel="2">
      <c r="A9769" s="3" t="e">
        <f>(HYPERLINK("http://www.autodoc.ru/Web/price/art/8556AGNGYVZ?analog=on","8556AGNGYVZ"))*1</f>
        <v>#VALUE!</v>
      </c>
      <c r="B9769" s="1">
        <v>6967448</v>
      </c>
      <c r="C9769" t="s">
        <v>3097</v>
      </c>
      <c r="D9769" t="s">
        <v>9943</v>
      </c>
      <c r="E9769" t="s">
        <v>8</v>
      </c>
    </row>
    <row r="9770" spans="1:5" hidden="1" outlineLevel="2">
      <c r="A9770" s="3" t="e">
        <f>(HYPERLINK("http://www.autodoc.ru/Web/price/art/8556AGNGYZ?analog=on","8556AGNGYZ"))*1</f>
        <v>#VALUE!</v>
      </c>
      <c r="B9770" s="1">
        <v>6960925</v>
      </c>
      <c r="C9770" t="s">
        <v>3097</v>
      </c>
      <c r="D9770" t="s">
        <v>9944</v>
      </c>
      <c r="E9770" t="s">
        <v>8</v>
      </c>
    </row>
    <row r="9771" spans="1:5" hidden="1" outlineLevel="2">
      <c r="A9771" s="3" t="e">
        <f>(HYPERLINK("http://www.autodoc.ru/Web/price/art/8556AGNMVZ?analog=on","8556AGNMVZ"))*1</f>
        <v>#VALUE!</v>
      </c>
      <c r="B9771" s="1">
        <v>6961886</v>
      </c>
      <c r="C9771" t="s">
        <v>3097</v>
      </c>
      <c r="D9771" t="s">
        <v>9945</v>
      </c>
      <c r="E9771" t="s">
        <v>8</v>
      </c>
    </row>
    <row r="9772" spans="1:5" hidden="1" outlineLevel="2">
      <c r="A9772" s="3" t="e">
        <f>(HYPERLINK("http://www.autodoc.ru/Web/price/art/8556AGNVZ?analog=on","8556AGNVZ"))*1</f>
        <v>#VALUE!</v>
      </c>
      <c r="B9772" s="1">
        <v>6967446</v>
      </c>
      <c r="C9772" t="s">
        <v>3097</v>
      </c>
      <c r="D9772" t="s">
        <v>9946</v>
      </c>
      <c r="E9772" t="s">
        <v>8</v>
      </c>
    </row>
    <row r="9773" spans="1:5" hidden="1" outlineLevel="2">
      <c r="A9773" s="3" t="e">
        <f>(HYPERLINK("http://www.autodoc.ru/Web/price/art/8556AGNZ?analog=on","8556AGNZ"))*1</f>
        <v>#VALUE!</v>
      </c>
      <c r="B9773" s="1">
        <v>6960926</v>
      </c>
      <c r="C9773" t="s">
        <v>3097</v>
      </c>
      <c r="D9773" t="s">
        <v>9947</v>
      </c>
      <c r="E9773" t="s">
        <v>8</v>
      </c>
    </row>
    <row r="9774" spans="1:5" hidden="1" outlineLevel="2">
      <c r="A9774" s="3" t="e">
        <f>(HYPERLINK("http://www.autodoc.ru/Web/price/art/8556AKMSS?analog=on","8556AKMSS"))*1</f>
        <v>#VALUE!</v>
      </c>
      <c r="B9774" s="1">
        <v>6101818</v>
      </c>
      <c r="C9774" t="s">
        <v>19</v>
      </c>
      <c r="D9774" t="s">
        <v>9948</v>
      </c>
      <c r="E9774" t="s">
        <v>21</v>
      </c>
    </row>
    <row r="9775" spans="1:5" hidden="1" outlineLevel="2">
      <c r="A9775" s="3" t="e">
        <f>(HYPERLINK("http://www.autodoc.ru/Web/price/art/8556BGNEBZ?analog=on","8556BGNEBZ"))*1</f>
        <v>#VALUE!</v>
      </c>
      <c r="B9775" s="1">
        <v>6998839</v>
      </c>
      <c r="C9775" t="s">
        <v>3097</v>
      </c>
      <c r="D9775" t="s">
        <v>9949</v>
      </c>
      <c r="E9775" t="s">
        <v>23</v>
      </c>
    </row>
    <row r="9776" spans="1:5" hidden="1" outlineLevel="2">
      <c r="A9776" s="3" t="e">
        <f>(HYPERLINK("http://www.autodoc.ru/Web/price/art/8556BGNSBZ?analog=on","8556BGNSBZ"))*1</f>
        <v>#VALUE!</v>
      </c>
      <c r="B9776" s="1">
        <v>6994893</v>
      </c>
      <c r="C9776" t="s">
        <v>3097</v>
      </c>
      <c r="D9776" t="s">
        <v>9950</v>
      </c>
      <c r="E9776" t="s">
        <v>23</v>
      </c>
    </row>
    <row r="9777" spans="1:5" hidden="1" outlineLevel="2">
      <c r="A9777" s="3" t="e">
        <f>(HYPERLINK("http://www.autodoc.ru/Web/price/art/8556LGNE5RDW?analog=on","8556LGNE5RDW"))*1</f>
        <v>#VALUE!</v>
      </c>
      <c r="B9777" s="1">
        <v>6992993</v>
      </c>
      <c r="C9777" t="s">
        <v>3097</v>
      </c>
      <c r="D9777" t="s">
        <v>9951</v>
      </c>
      <c r="E9777" t="s">
        <v>10</v>
      </c>
    </row>
    <row r="9778" spans="1:5" hidden="1" outlineLevel="2">
      <c r="A9778" s="3" t="e">
        <f>(HYPERLINK("http://www.autodoc.ru/Web/price/art/8556LGNS4FD?analog=on","8556LGNS4FD"))*1</f>
        <v>#VALUE!</v>
      </c>
      <c r="B9778" s="1">
        <v>6995898</v>
      </c>
      <c r="C9778" t="s">
        <v>3097</v>
      </c>
      <c r="D9778" t="s">
        <v>9952</v>
      </c>
      <c r="E9778" t="s">
        <v>10</v>
      </c>
    </row>
    <row r="9779" spans="1:5" hidden="1" outlineLevel="2">
      <c r="A9779" s="3" t="e">
        <f>(HYPERLINK("http://www.autodoc.ru/Web/price/art/8556LGNS4RDW?analog=on","8556LGNS4RDW"))*1</f>
        <v>#VALUE!</v>
      </c>
      <c r="B9779" s="1">
        <v>6994683</v>
      </c>
      <c r="C9779" t="s">
        <v>3097</v>
      </c>
      <c r="D9779" t="s">
        <v>9953</v>
      </c>
      <c r="E9779" t="s">
        <v>10</v>
      </c>
    </row>
    <row r="9780" spans="1:5" hidden="1" outlineLevel="2">
      <c r="A9780" s="3" t="e">
        <f>(HYPERLINK("http://www.autodoc.ru/Web/price/art/8556RGNE5RDW?analog=on","8556RGNE5RDW"))*1</f>
        <v>#VALUE!</v>
      </c>
      <c r="B9780" s="1">
        <v>6992994</v>
      </c>
      <c r="C9780" t="s">
        <v>3097</v>
      </c>
      <c r="D9780" t="s">
        <v>9954</v>
      </c>
      <c r="E9780" t="s">
        <v>10</v>
      </c>
    </row>
    <row r="9781" spans="1:5" hidden="1" outlineLevel="2">
      <c r="A9781" s="3" t="e">
        <f>(HYPERLINK("http://www.autodoc.ru/Web/price/art/8556RGNS4FD?analog=on","8556RGNS4FD"))*1</f>
        <v>#VALUE!</v>
      </c>
      <c r="B9781" s="1">
        <v>6995899</v>
      </c>
      <c r="C9781" t="s">
        <v>3097</v>
      </c>
      <c r="D9781" t="s">
        <v>9955</v>
      </c>
      <c r="E9781" t="s">
        <v>10</v>
      </c>
    </row>
    <row r="9782" spans="1:5" hidden="1" outlineLevel="2">
      <c r="A9782" s="3" t="e">
        <f>(HYPERLINK("http://www.autodoc.ru/Web/price/art/8556RGNS4RDW?analog=on","8556RGNS4RDW"))*1</f>
        <v>#VALUE!</v>
      </c>
      <c r="B9782" s="1">
        <v>6994684</v>
      </c>
      <c r="C9782" t="s">
        <v>3097</v>
      </c>
      <c r="D9782" t="s">
        <v>9956</v>
      </c>
      <c r="E9782" t="s">
        <v>10</v>
      </c>
    </row>
    <row r="9783" spans="1:5" hidden="1" outlineLevel="1">
      <c r="A9783" s="2">
        <v>0</v>
      </c>
      <c r="B9783" s="26" t="s">
        <v>9957</v>
      </c>
      <c r="C9783" s="27">
        <v>0</v>
      </c>
      <c r="D9783" s="27">
        <v>0</v>
      </c>
      <c r="E9783" s="27">
        <v>0</v>
      </c>
    </row>
    <row r="9784" spans="1:5" hidden="1" outlineLevel="2">
      <c r="A9784" s="3" t="e">
        <f>(HYPERLINK("http://www.autodoc.ru/Web/price/art/8584AGSHVW?analog=on","8584AGSHVW"))*1</f>
        <v>#VALUE!</v>
      </c>
      <c r="B9784" s="1">
        <v>6962067</v>
      </c>
      <c r="C9784" t="s">
        <v>904</v>
      </c>
      <c r="D9784" t="s">
        <v>9958</v>
      </c>
      <c r="E9784" t="s">
        <v>8</v>
      </c>
    </row>
    <row r="9785" spans="1:5" hidden="1" outlineLevel="2">
      <c r="A9785" s="3" t="e">
        <f>(HYPERLINK("http://www.autodoc.ru/Web/price/art/8584AGSHVW1H?analog=on","8584AGSHVW1H"))*1</f>
        <v>#VALUE!</v>
      </c>
      <c r="B9785" s="1">
        <v>6963128</v>
      </c>
      <c r="C9785" t="s">
        <v>2535</v>
      </c>
      <c r="D9785" t="s">
        <v>9959</v>
      </c>
      <c r="E9785" t="s">
        <v>8</v>
      </c>
    </row>
    <row r="9786" spans="1:5" hidden="1" outlineLevel="2">
      <c r="A9786" s="3" t="e">
        <f>(HYPERLINK("http://www.autodoc.ru/Web/price/art/8584AGSMVW1B?analog=on","8584AGSMVW1B"))*1</f>
        <v>#VALUE!</v>
      </c>
      <c r="B9786" s="1">
        <v>6960797</v>
      </c>
      <c r="C9786" t="s">
        <v>904</v>
      </c>
      <c r="D9786" t="s">
        <v>9960</v>
      </c>
      <c r="E9786" t="s">
        <v>8</v>
      </c>
    </row>
    <row r="9787" spans="1:5" hidden="1" outlineLevel="2">
      <c r="A9787" s="3" t="e">
        <f>(HYPERLINK("http://www.autodoc.ru/Web/price/art/8584AGSVW?analog=on","8584AGSVW"))*1</f>
        <v>#VALUE!</v>
      </c>
      <c r="B9787" s="1">
        <v>6960609</v>
      </c>
      <c r="C9787" t="s">
        <v>904</v>
      </c>
      <c r="D9787" t="s">
        <v>9961</v>
      </c>
      <c r="E9787" t="s">
        <v>8</v>
      </c>
    </row>
    <row r="9788" spans="1:5" hidden="1" outlineLevel="2">
      <c r="A9788" s="3" t="e">
        <f>(HYPERLINK("http://www.autodoc.ru/Web/price/art/8584AGSVW1H?analog=on","8584AGSVW1H"))*1</f>
        <v>#VALUE!</v>
      </c>
      <c r="B9788" s="1">
        <v>6961576</v>
      </c>
      <c r="C9788" t="s">
        <v>2535</v>
      </c>
      <c r="D9788" t="s">
        <v>9962</v>
      </c>
      <c r="E9788" t="s">
        <v>8</v>
      </c>
    </row>
    <row r="9789" spans="1:5" hidden="1" outlineLevel="2">
      <c r="A9789" s="3" t="e">
        <f>(HYPERLINK("http://www.autodoc.ru/Web/price/art/8584AGSGYVW1H?analog=on","8584AGSGYVW1H"))*1</f>
        <v>#VALUE!</v>
      </c>
      <c r="B9789" s="1">
        <v>6963077</v>
      </c>
      <c r="C9789" t="s">
        <v>672</v>
      </c>
      <c r="D9789" t="s">
        <v>9963</v>
      </c>
      <c r="E9789" t="s">
        <v>8</v>
      </c>
    </row>
    <row r="9790" spans="1:5" hidden="1" outlineLevel="2">
      <c r="A9790" s="3" t="e">
        <f>(HYPERLINK("http://www.autodoc.ru/Web/price/art/8584AGSHMVW1B?analog=on","8584AGSHMVW1B"))*1</f>
        <v>#VALUE!</v>
      </c>
      <c r="B9790" s="1">
        <v>6961907</v>
      </c>
      <c r="C9790" t="s">
        <v>904</v>
      </c>
      <c r="D9790" t="s">
        <v>9964</v>
      </c>
      <c r="E9790" t="s">
        <v>8</v>
      </c>
    </row>
    <row r="9791" spans="1:5" hidden="1" outlineLevel="2">
      <c r="A9791" s="3" t="e">
        <f>(HYPERLINK("http://www.autodoc.ru/Web/price/art/8584AGAHMVW1B?analog=on","8584AGAHMVW1B"))*1</f>
        <v>#VALUE!</v>
      </c>
      <c r="B9791" s="1">
        <v>6965290</v>
      </c>
      <c r="C9791" t="s">
        <v>904</v>
      </c>
      <c r="D9791" t="s">
        <v>9965</v>
      </c>
      <c r="E9791" t="s">
        <v>8</v>
      </c>
    </row>
    <row r="9792" spans="1:5" hidden="1" outlineLevel="2">
      <c r="A9792" s="3" t="e">
        <f>(HYPERLINK("http://www.autodoc.ru/Web/price/art/8584AGACMVW?analog=on","8584AGACMVW"))*1</f>
        <v>#VALUE!</v>
      </c>
      <c r="B9792" s="1">
        <v>6965977</v>
      </c>
      <c r="C9792" t="s">
        <v>904</v>
      </c>
      <c r="D9792" t="s">
        <v>9966</v>
      </c>
      <c r="E9792" t="s">
        <v>8</v>
      </c>
    </row>
    <row r="9793" spans="1:5" hidden="1" outlineLevel="2">
      <c r="A9793" s="3" t="e">
        <f>(HYPERLINK("http://www.autodoc.ru/Web/price/art/8584AGAHMVW?analog=on","8584AGAHMVW"))*1</f>
        <v>#VALUE!</v>
      </c>
      <c r="B9793" s="1">
        <v>6965978</v>
      </c>
      <c r="C9793" t="s">
        <v>904</v>
      </c>
      <c r="D9793" t="s">
        <v>9967</v>
      </c>
      <c r="E9793" t="s">
        <v>8</v>
      </c>
    </row>
    <row r="9794" spans="1:5" hidden="1" outlineLevel="2">
      <c r="A9794" s="3" t="e">
        <f>(HYPERLINK("http://www.autodoc.ru/Web/price/art/8584ACDMVW35?analog=on","8584ACDMVW35"))*1</f>
        <v>#VALUE!</v>
      </c>
      <c r="B9794" s="1">
        <v>6966035</v>
      </c>
      <c r="C9794" t="s">
        <v>341</v>
      </c>
      <c r="D9794" t="s">
        <v>9968</v>
      </c>
      <c r="E9794" t="s">
        <v>8</v>
      </c>
    </row>
    <row r="9795" spans="1:5" hidden="1" outlineLevel="2">
      <c r="A9795" s="3" t="e">
        <f>(HYPERLINK("http://www.autodoc.ru/Web/price/art/8584BGDEW?analog=on","8584BGDEW"))*1</f>
        <v>#VALUE!</v>
      </c>
      <c r="B9795" s="1">
        <v>6996312</v>
      </c>
      <c r="C9795" t="s">
        <v>904</v>
      </c>
      <c r="D9795" t="s">
        <v>9969</v>
      </c>
      <c r="E9795" t="s">
        <v>23</v>
      </c>
    </row>
    <row r="9796" spans="1:5" hidden="1" outlineLevel="2">
      <c r="A9796" s="3" t="e">
        <f>(HYPERLINK("http://www.autodoc.ru/Web/price/art/8584BGDSABGW1F?analog=on","8584BGDSABGW1F"))*1</f>
        <v>#VALUE!</v>
      </c>
      <c r="B9796" s="1">
        <v>6992887</v>
      </c>
      <c r="C9796" t="s">
        <v>904</v>
      </c>
      <c r="D9796" t="s">
        <v>9970</v>
      </c>
      <c r="E9796" t="s">
        <v>23</v>
      </c>
    </row>
    <row r="9797" spans="1:5" hidden="1" outlineLevel="2">
      <c r="A9797" s="3" t="e">
        <f>(HYPERLINK("http://www.autodoc.ru/Web/price/art/8584BGDSABW?analog=on","8584BGDSABW"))*1</f>
        <v>#VALUE!</v>
      </c>
      <c r="B9797" s="1">
        <v>6992886</v>
      </c>
      <c r="C9797" t="s">
        <v>904</v>
      </c>
      <c r="D9797" t="s">
        <v>9971</v>
      </c>
      <c r="E9797" t="s">
        <v>23</v>
      </c>
    </row>
    <row r="9798" spans="1:5" hidden="1" outlineLevel="2">
      <c r="A9798" s="3" t="e">
        <f>(HYPERLINK("http://www.autodoc.ru/Web/price/art/8584BGSEW?analog=on","8584BGSEW"))*1</f>
        <v>#VALUE!</v>
      </c>
      <c r="B9798" s="1">
        <v>6996126</v>
      </c>
      <c r="C9798" t="s">
        <v>904</v>
      </c>
      <c r="D9798" t="s">
        <v>9972</v>
      </c>
      <c r="E9798" t="s">
        <v>23</v>
      </c>
    </row>
    <row r="9799" spans="1:5" hidden="1" outlineLevel="2">
      <c r="A9799" s="3" t="e">
        <f>(HYPERLINK("http://www.autodoc.ru/Web/price/art/8584BGSSABGW1F?analog=on","8584BGSSABGW1F"))*1</f>
        <v>#VALUE!</v>
      </c>
      <c r="B9799" s="1">
        <v>6992248</v>
      </c>
      <c r="C9799" t="s">
        <v>904</v>
      </c>
      <c r="D9799" t="s">
        <v>9973</v>
      </c>
      <c r="E9799" t="s">
        <v>23</v>
      </c>
    </row>
    <row r="9800" spans="1:5" hidden="1" outlineLevel="2">
      <c r="A9800" s="3" t="e">
        <f>(HYPERLINK("http://www.autodoc.ru/Web/price/art/8584LGSE5RDW?analog=on","8584LGSE5RDW"))*1</f>
        <v>#VALUE!</v>
      </c>
      <c r="B9800" s="1">
        <v>6997505</v>
      </c>
      <c r="C9800" t="s">
        <v>904</v>
      </c>
      <c r="D9800" t="s">
        <v>9974</v>
      </c>
      <c r="E9800" t="s">
        <v>10</v>
      </c>
    </row>
    <row r="9801" spans="1:5" hidden="1" outlineLevel="2">
      <c r="A9801" s="3" t="e">
        <f>(HYPERLINK("http://www.autodoc.ru/Web/price/art/8584LGSE5RQAZ?analog=on","8584LGSE5RQAZ"))*1</f>
        <v>#VALUE!</v>
      </c>
      <c r="B9801" s="1">
        <v>6992263</v>
      </c>
      <c r="C9801" t="s">
        <v>904</v>
      </c>
      <c r="D9801" t="s">
        <v>9975</v>
      </c>
      <c r="E9801" t="s">
        <v>10</v>
      </c>
    </row>
    <row r="9802" spans="1:5" hidden="1" outlineLevel="2">
      <c r="A9802" s="3" t="e">
        <f>(HYPERLINK("http://www.autodoc.ru/Web/price/art/8584LGSE5RQAZ1D?analog=on","8584LGSE5RQAZ1D"))*1</f>
        <v>#VALUE!</v>
      </c>
      <c r="B9802" s="1">
        <v>6997500</v>
      </c>
      <c r="C9802" t="s">
        <v>904</v>
      </c>
      <c r="D9802" t="s">
        <v>9975</v>
      </c>
      <c r="E9802" t="s">
        <v>10</v>
      </c>
    </row>
    <row r="9803" spans="1:5" hidden="1" outlineLevel="2">
      <c r="A9803" s="3" t="e">
        <f>(HYPERLINK("http://www.autodoc.ru/Web/price/art/8584LGSS4FD?analog=on","8584LGSS4FD"))*1</f>
        <v>#VALUE!</v>
      </c>
      <c r="B9803" s="1">
        <v>6992249</v>
      </c>
      <c r="C9803" t="s">
        <v>904</v>
      </c>
      <c r="D9803" t="s">
        <v>9976</v>
      </c>
      <c r="E9803" t="s">
        <v>10</v>
      </c>
    </row>
    <row r="9804" spans="1:5" hidden="1" outlineLevel="2">
      <c r="A9804" s="3" t="e">
        <f>(HYPERLINK("http://www.autodoc.ru/Web/price/art/8584LGSS4FD1A?analog=on","8584LGSS4FD1A"))*1</f>
        <v>#VALUE!</v>
      </c>
      <c r="B9804" s="1">
        <v>6997496</v>
      </c>
      <c r="C9804" t="s">
        <v>2535</v>
      </c>
      <c r="D9804" t="s">
        <v>9977</v>
      </c>
      <c r="E9804" t="s">
        <v>10</v>
      </c>
    </row>
    <row r="9805" spans="1:5" hidden="1" outlineLevel="2">
      <c r="A9805" s="3" t="e">
        <f>(HYPERLINK("http://www.autodoc.ru/Web/price/art/8584LGSS4RDW?analog=on","8584LGSS4RDW"))*1</f>
        <v>#VALUE!</v>
      </c>
      <c r="B9805" s="1">
        <v>6992251</v>
      </c>
      <c r="C9805" t="s">
        <v>904</v>
      </c>
      <c r="D9805" t="s">
        <v>9978</v>
      </c>
      <c r="E9805" t="s">
        <v>10</v>
      </c>
    </row>
    <row r="9806" spans="1:5" hidden="1" outlineLevel="2">
      <c r="A9806" s="3" t="e">
        <f>(HYPERLINK("http://www.autodoc.ru/Web/price/art/8584LGSS4RV?analog=on","8584LGSS4RV"))*1</f>
        <v>#VALUE!</v>
      </c>
      <c r="B9806" s="1">
        <v>6997498</v>
      </c>
      <c r="C9806" t="s">
        <v>904</v>
      </c>
      <c r="D9806" t="s">
        <v>9979</v>
      </c>
      <c r="E9806" t="s">
        <v>10</v>
      </c>
    </row>
    <row r="9807" spans="1:5" hidden="1" outlineLevel="2">
      <c r="A9807" s="3" t="e">
        <f>(HYPERLINK("http://www.autodoc.ru/Web/price/art/8584RGSE5RDW?analog=on","8584RGSE5RDW"))*1</f>
        <v>#VALUE!</v>
      </c>
      <c r="B9807" s="1">
        <v>6997510</v>
      </c>
      <c r="C9807" t="s">
        <v>904</v>
      </c>
      <c r="D9807" t="s">
        <v>9980</v>
      </c>
      <c r="E9807" t="s">
        <v>10</v>
      </c>
    </row>
    <row r="9808" spans="1:5" hidden="1" outlineLevel="2">
      <c r="A9808" s="3" t="e">
        <f>(HYPERLINK("http://www.autodoc.ru/Web/price/art/8584RGSE5RQAZ?analog=on","8584RGSE5RQAZ"))*1</f>
        <v>#VALUE!</v>
      </c>
      <c r="B9808" s="1">
        <v>6992264</v>
      </c>
      <c r="C9808" t="s">
        <v>904</v>
      </c>
      <c r="D9808" t="s">
        <v>9981</v>
      </c>
      <c r="E9808" t="s">
        <v>10</v>
      </c>
    </row>
    <row r="9809" spans="1:5" hidden="1" outlineLevel="2">
      <c r="A9809" s="3" t="e">
        <f>(HYPERLINK("http://www.autodoc.ru/Web/price/art/8584RGSE5RQAZ1D?analog=on","8584RGSE5RQAZ1D"))*1</f>
        <v>#VALUE!</v>
      </c>
      <c r="B9809" s="1">
        <v>6997504</v>
      </c>
      <c r="C9809" t="s">
        <v>904</v>
      </c>
      <c r="D9809" t="s">
        <v>9982</v>
      </c>
      <c r="E9809" t="s">
        <v>10</v>
      </c>
    </row>
    <row r="9810" spans="1:5" hidden="1" outlineLevel="2">
      <c r="A9810" s="3" t="e">
        <f>(HYPERLINK("http://www.autodoc.ru/Web/price/art/8584RGSS4FD?analog=on","8584RGSS4FD"))*1</f>
        <v>#VALUE!</v>
      </c>
      <c r="B9810" s="1">
        <v>6992250</v>
      </c>
      <c r="C9810" t="s">
        <v>904</v>
      </c>
      <c r="D9810" t="s">
        <v>9983</v>
      </c>
      <c r="E9810" t="s">
        <v>10</v>
      </c>
    </row>
    <row r="9811" spans="1:5" hidden="1" outlineLevel="2">
      <c r="A9811" s="3" t="e">
        <f>(HYPERLINK("http://www.autodoc.ru/Web/price/art/8584RGSS4FD1A?analog=on","8584RGSS4FD1A"))*1</f>
        <v>#VALUE!</v>
      </c>
      <c r="B9811" s="1">
        <v>6997497</v>
      </c>
      <c r="C9811" t="s">
        <v>2535</v>
      </c>
      <c r="D9811" t="s">
        <v>9984</v>
      </c>
      <c r="E9811" t="s">
        <v>10</v>
      </c>
    </row>
    <row r="9812" spans="1:5" hidden="1" outlineLevel="2">
      <c r="A9812" s="3" t="e">
        <f>(HYPERLINK("http://www.autodoc.ru/Web/price/art/8584RGSS4RDW?analog=on","8584RGSS4RDW"))*1</f>
        <v>#VALUE!</v>
      </c>
      <c r="B9812" s="1">
        <v>6992252</v>
      </c>
      <c r="C9812" t="s">
        <v>904</v>
      </c>
      <c r="D9812" t="s">
        <v>9985</v>
      </c>
      <c r="E9812" t="s">
        <v>10</v>
      </c>
    </row>
    <row r="9813" spans="1:5" hidden="1" outlineLevel="2">
      <c r="A9813" s="3" t="e">
        <f>(HYPERLINK("http://www.autodoc.ru/Web/price/art/8584RGSS4RV?analog=on","8584RGSS4RV"))*1</f>
        <v>#VALUE!</v>
      </c>
      <c r="B9813" s="1">
        <v>6997499</v>
      </c>
      <c r="C9813" t="s">
        <v>904</v>
      </c>
      <c r="D9813" t="s">
        <v>9986</v>
      </c>
      <c r="E9813" t="s">
        <v>10</v>
      </c>
    </row>
    <row r="9814" spans="1:5" hidden="1" outlineLevel="1">
      <c r="A9814" s="2">
        <v>0</v>
      </c>
      <c r="B9814" s="26" t="s">
        <v>9987</v>
      </c>
      <c r="C9814" s="27">
        <v>0</v>
      </c>
      <c r="D9814" s="27">
        <v>0</v>
      </c>
      <c r="E9814" s="27">
        <v>0</v>
      </c>
    </row>
    <row r="9815" spans="1:5" hidden="1" outlineLevel="2">
      <c r="A9815" s="3" t="e">
        <f>(HYPERLINK("http://www.autodoc.ru/Web/price/art/8598AGNMVW?analog=on","8598AGNMVW"))*1</f>
        <v>#VALUE!</v>
      </c>
      <c r="B9815" s="1">
        <v>6964911</v>
      </c>
      <c r="C9815" t="s">
        <v>7595</v>
      </c>
      <c r="D9815" t="s">
        <v>9988</v>
      </c>
      <c r="E9815" t="s">
        <v>8</v>
      </c>
    </row>
    <row r="9816" spans="1:5" hidden="1" outlineLevel="2">
      <c r="A9816" s="3" t="e">
        <f>(HYPERLINK("http://www.autodoc.ru/Web/price/art/8598AGAMVW?analog=on","8598AGAMVW"))*1</f>
        <v>#VALUE!</v>
      </c>
      <c r="B9816" s="1">
        <v>6964614</v>
      </c>
      <c r="C9816" t="s">
        <v>7595</v>
      </c>
      <c r="D9816" t="s">
        <v>9989</v>
      </c>
      <c r="E9816" t="s">
        <v>8</v>
      </c>
    </row>
    <row r="9817" spans="1:5" hidden="1" outlineLevel="2">
      <c r="A9817" s="3" t="e">
        <f>(HYPERLINK("http://www.autodoc.ru/Web/price/art/8598RGSC4FD?analog=on","8598RGSC4FD"))*1</f>
        <v>#VALUE!</v>
      </c>
      <c r="B9817" s="1">
        <v>6902948</v>
      </c>
      <c r="C9817" t="s">
        <v>7595</v>
      </c>
      <c r="D9817" t="s">
        <v>9990</v>
      </c>
      <c r="E9817" t="s">
        <v>10</v>
      </c>
    </row>
    <row r="9818" spans="1:5" hidden="1" outlineLevel="2">
      <c r="A9818" s="3" t="e">
        <f>(HYPERLINK("http://www.autodoc.ru/Web/price/art/8598LGSC4FD?analog=on","8598LGSC4FD"))*1</f>
        <v>#VALUE!</v>
      </c>
      <c r="B9818" s="1">
        <v>6902949</v>
      </c>
      <c r="C9818" t="s">
        <v>7595</v>
      </c>
      <c r="D9818" t="s">
        <v>9991</v>
      </c>
      <c r="E9818" t="s">
        <v>10</v>
      </c>
    </row>
    <row r="9819" spans="1:5" hidden="1" outlineLevel="1">
      <c r="A9819" s="2">
        <v>0</v>
      </c>
      <c r="B9819" s="26" t="s">
        <v>9992</v>
      </c>
      <c r="C9819" s="27">
        <v>0</v>
      </c>
      <c r="D9819" s="27">
        <v>0</v>
      </c>
      <c r="E9819" s="27">
        <v>0</v>
      </c>
    </row>
    <row r="9820" spans="1:5" hidden="1" outlineLevel="2">
      <c r="A9820" s="3" t="e">
        <f>(HYPERLINK("http://www.autodoc.ru/Web/price/art/8530ACL?analog=on","8530ACL"))*1</f>
        <v>#VALUE!</v>
      </c>
      <c r="B9820" s="1">
        <v>6967418</v>
      </c>
      <c r="C9820" t="s">
        <v>9993</v>
      </c>
      <c r="D9820" t="s">
        <v>9994</v>
      </c>
      <c r="E9820" t="s">
        <v>8</v>
      </c>
    </row>
    <row r="9821" spans="1:5" hidden="1" outlineLevel="2">
      <c r="A9821" s="3" t="e">
        <f>(HYPERLINK("http://www.autodoc.ru/Web/price/art/8530AGN?analog=on","8530AGN"))*1</f>
        <v>#VALUE!</v>
      </c>
      <c r="B9821" s="1">
        <v>6967419</v>
      </c>
      <c r="C9821" t="s">
        <v>9993</v>
      </c>
      <c r="D9821" t="s">
        <v>9995</v>
      </c>
      <c r="E9821" t="s">
        <v>8</v>
      </c>
    </row>
    <row r="9822" spans="1:5" hidden="1" outlineLevel="2">
      <c r="A9822" s="3" t="e">
        <f>(HYPERLINK("http://www.autodoc.ru/Web/price/art/8530AGNBL?analog=on","8530AGNBL"))*1</f>
        <v>#VALUE!</v>
      </c>
      <c r="B9822" s="1">
        <v>6967423</v>
      </c>
      <c r="C9822" t="s">
        <v>9993</v>
      </c>
      <c r="D9822" t="s">
        <v>9996</v>
      </c>
      <c r="E9822" t="s">
        <v>8</v>
      </c>
    </row>
    <row r="9823" spans="1:5" hidden="1" outlineLevel="2">
      <c r="A9823" s="3" t="e">
        <f>(HYPERLINK("http://www.autodoc.ru/Web/price/art/8530AGNGN?analog=on","8530AGNGN"))*1</f>
        <v>#VALUE!</v>
      </c>
      <c r="B9823" s="1">
        <v>6967424</v>
      </c>
      <c r="C9823" t="s">
        <v>9993</v>
      </c>
      <c r="D9823" t="s">
        <v>9997</v>
      </c>
      <c r="E9823" t="s">
        <v>8</v>
      </c>
    </row>
    <row r="9824" spans="1:5" hidden="1" outlineLevel="2">
      <c r="A9824" s="3" t="e">
        <f>(HYPERLINK("http://www.autodoc.ru/Web/price/art/8530ASRH?analog=on","8530ASRH"))*1</f>
        <v>#VALUE!</v>
      </c>
      <c r="B9824" s="1">
        <v>6100232</v>
      </c>
      <c r="C9824" t="s">
        <v>19</v>
      </c>
      <c r="D9824" t="s">
        <v>9998</v>
      </c>
      <c r="E9824" t="s">
        <v>21</v>
      </c>
    </row>
    <row r="9825" spans="1:5" hidden="1" outlineLevel="2">
      <c r="A9825" s="3" t="e">
        <f>(HYPERLINK("http://www.autodoc.ru/Web/price/art/8530BCLE?analog=on","8530BCLE"))*1</f>
        <v>#VALUE!</v>
      </c>
      <c r="B9825" s="1">
        <v>6998822</v>
      </c>
      <c r="C9825" t="s">
        <v>9993</v>
      </c>
      <c r="D9825" t="s">
        <v>9999</v>
      </c>
      <c r="E9825" t="s">
        <v>23</v>
      </c>
    </row>
    <row r="9826" spans="1:5" hidden="1" outlineLevel="2">
      <c r="A9826" s="3" t="e">
        <f>(HYPERLINK("http://www.autodoc.ru/Web/price/art/8530BCLEZ1D?analog=on","8530BCLEZ1D"))*1</f>
        <v>#VALUE!</v>
      </c>
      <c r="B9826" s="1">
        <v>6998823</v>
      </c>
      <c r="C9826" t="s">
        <v>9993</v>
      </c>
      <c r="D9826" t="s">
        <v>10000</v>
      </c>
      <c r="E9826" t="s">
        <v>23</v>
      </c>
    </row>
    <row r="9827" spans="1:5" hidden="1" outlineLevel="2">
      <c r="A9827" s="3" t="e">
        <f>(HYPERLINK("http://www.autodoc.ru/Web/price/art/8530BGNEZ1D?analog=on","8530BGNEZ1D"))*1</f>
        <v>#VALUE!</v>
      </c>
      <c r="B9827" s="1">
        <v>6998825</v>
      </c>
      <c r="C9827" t="s">
        <v>9993</v>
      </c>
      <c r="D9827" t="s">
        <v>10001</v>
      </c>
      <c r="E9827" t="s">
        <v>23</v>
      </c>
    </row>
    <row r="9828" spans="1:5" hidden="1" outlineLevel="2">
      <c r="A9828" s="3" t="e">
        <f>(HYPERLINK("http://www.autodoc.ru/Web/price/art/8530BGNHZ?analog=on","8530BGNHZ"))*1</f>
        <v>#VALUE!</v>
      </c>
      <c r="B9828" s="1">
        <v>6998826</v>
      </c>
      <c r="C9828" t="s">
        <v>9993</v>
      </c>
      <c r="D9828" t="s">
        <v>10002</v>
      </c>
      <c r="E9828" t="s">
        <v>23</v>
      </c>
    </row>
    <row r="9829" spans="1:5" hidden="1" outlineLevel="2">
      <c r="A9829" s="3" t="e">
        <f>(HYPERLINK("http://www.autodoc.ru/Web/price/art/8530LCLH3FD?analog=on","8530LCLH3FD"))*1</f>
        <v>#VALUE!</v>
      </c>
      <c r="B9829" s="1">
        <v>6998201</v>
      </c>
      <c r="C9829" t="s">
        <v>9993</v>
      </c>
      <c r="D9829" t="s">
        <v>10003</v>
      </c>
      <c r="E9829" t="s">
        <v>10</v>
      </c>
    </row>
    <row r="9830" spans="1:5" hidden="1" outlineLevel="2">
      <c r="A9830" s="3" t="e">
        <f>(HYPERLINK("http://www.autodoc.ru/Web/price/art/8530LCLS2FV?analog=on","8530LCLS2FV"))*1</f>
        <v>#VALUE!</v>
      </c>
      <c r="B9830" s="1">
        <v>6998531</v>
      </c>
      <c r="C9830" t="s">
        <v>9993</v>
      </c>
      <c r="D9830" t="s">
        <v>10004</v>
      </c>
      <c r="E9830" t="s">
        <v>10</v>
      </c>
    </row>
    <row r="9831" spans="1:5" hidden="1" outlineLevel="2">
      <c r="A9831" s="3" t="e">
        <f>(HYPERLINK("http://www.autodoc.ru/Web/price/art/8530LGNE3RQ?analog=on","8530LGNE3RQ"))*1</f>
        <v>#VALUE!</v>
      </c>
      <c r="B9831" s="1">
        <v>6998525</v>
      </c>
      <c r="C9831" t="s">
        <v>9993</v>
      </c>
      <c r="D9831" t="s">
        <v>10005</v>
      </c>
      <c r="E9831" t="s">
        <v>10</v>
      </c>
    </row>
    <row r="9832" spans="1:5" hidden="1" outlineLevel="2">
      <c r="A9832" s="3" t="e">
        <f>(HYPERLINK("http://www.autodoc.ru/Web/price/art/8530LGNH3FD?analog=on","8530LGNH3FD"))*1</f>
        <v>#VALUE!</v>
      </c>
      <c r="B9832" s="1">
        <v>6998203</v>
      </c>
      <c r="C9832" t="s">
        <v>9993</v>
      </c>
      <c r="D9832" t="s">
        <v>10006</v>
      </c>
      <c r="E9832" t="s">
        <v>10</v>
      </c>
    </row>
    <row r="9833" spans="1:5" hidden="1" outlineLevel="2">
      <c r="A9833" s="3" t="e">
        <f>(HYPERLINK("http://www.autodoc.ru/Web/price/art/8530LGNH3RQ?analog=on","8530LGNH3RQ"))*1</f>
        <v>#VALUE!</v>
      </c>
      <c r="B9833" s="1">
        <v>6996913</v>
      </c>
      <c r="C9833" t="s">
        <v>9993</v>
      </c>
      <c r="D9833" t="s">
        <v>10007</v>
      </c>
      <c r="E9833" t="s">
        <v>10</v>
      </c>
    </row>
    <row r="9834" spans="1:5" hidden="1" outlineLevel="2">
      <c r="A9834" s="3" t="e">
        <f>(HYPERLINK("http://www.autodoc.ru/Web/price/art/8530LGNS2FV?analog=on","8530LGNS2FV"))*1</f>
        <v>#VALUE!</v>
      </c>
      <c r="B9834" s="1">
        <v>6998533</v>
      </c>
      <c r="C9834" t="s">
        <v>9993</v>
      </c>
      <c r="D9834" t="s">
        <v>10008</v>
      </c>
      <c r="E9834" t="s">
        <v>10</v>
      </c>
    </row>
    <row r="9835" spans="1:5" hidden="1" outlineLevel="2">
      <c r="A9835" s="3" t="e">
        <f>(HYPERLINK("http://www.autodoc.ru/Web/price/art/8530RCLH3FD?analog=on","8530RCLH3FD"))*1</f>
        <v>#VALUE!</v>
      </c>
      <c r="B9835" s="1">
        <v>6998202</v>
      </c>
      <c r="C9835" t="s">
        <v>9993</v>
      </c>
      <c r="D9835" t="s">
        <v>10009</v>
      </c>
      <c r="E9835" t="s">
        <v>10</v>
      </c>
    </row>
    <row r="9836" spans="1:5" hidden="1" outlineLevel="2">
      <c r="A9836" s="3" t="e">
        <f>(HYPERLINK("http://www.autodoc.ru/Web/price/art/8530RCLS2FV?analog=on","8530RCLS2FV"))*1</f>
        <v>#VALUE!</v>
      </c>
      <c r="B9836" s="1">
        <v>6998532</v>
      </c>
      <c r="C9836" t="s">
        <v>9993</v>
      </c>
      <c r="D9836" t="s">
        <v>10010</v>
      </c>
      <c r="E9836" t="s">
        <v>10</v>
      </c>
    </row>
    <row r="9837" spans="1:5" hidden="1" outlineLevel="2">
      <c r="A9837" s="3" t="e">
        <f>(HYPERLINK("http://www.autodoc.ru/Web/price/art/8530RGNH3FD?analog=on","8530RGNH3FD"))*1</f>
        <v>#VALUE!</v>
      </c>
      <c r="B9837" s="1">
        <v>6998204</v>
      </c>
      <c r="C9837" t="s">
        <v>9993</v>
      </c>
      <c r="D9837" t="s">
        <v>10011</v>
      </c>
      <c r="E9837" t="s">
        <v>10</v>
      </c>
    </row>
    <row r="9838" spans="1:5" hidden="1" outlineLevel="2">
      <c r="A9838" s="3" t="e">
        <f>(HYPERLINK("http://www.autodoc.ru/Web/price/art/8530RGNH3RQ?analog=on","8530RGNH3RQ"))*1</f>
        <v>#VALUE!</v>
      </c>
      <c r="B9838" s="1">
        <v>6996914</v>
      </c>
      <c r="C9838" t="s">
        <v>9993</v>
      </c>
      <c r="D9838" t="s">
        <v>10012</v>
      </c>
      <c r="E9838" t="s">
        <v>10</v>
      </c>
    </row>
    <row r="9839" spans="1:5" hidden="1" outlineLevel="2">
      <c r="A9839" s="3" t="e">
        <f>(HYPERLINK("http://www.autodoc.ru/Web/price/art/8530RGNS2FV?analog=on","8530RGNS2FV"))*1</f>
        <v>#VALUE!</v>
      </c>
      <c r="B9839" s="1">
        <v>6998534</v>
      </c>
      <c r="C9839" t="s">
        <v>9993</v>
      </c>
      <c r="D9839" t="s">
        <v>10013</v>
      </c>
      <c r="E9839" t="s">
        <v>10</v>
      </c>
    </row>
    <row r="9840" spans="1:5" hidden="1" outlineLevel="1">
      <c r="A9840" s="2">
        <v>0</v>
      </c>
      <c r="B9840" s="26" t="s">
        <v>10014</v>
      </c>
      <c r="C9840" s="27">
        <v>0</v>
      </c>
      <c r="D9840" s="27">
        <v>0</v>
      </c>
      <c r="E9840" s="27">
        <v>0</v>
      </c>
    </row>
    <row r="9841" spans="1:5" hidden="1" outlineLevel="2">
      <c r="A9841" s="3" t="e">
        <f>(HYPERLINK("http://www.autodoc.ru/Web/price/art/8545ACLZ?analog=on","8545ACLZ"))*1</f>
        <v>#VALUE!</v>
      </c>
      <c r="B9841" s="1">
        <v>6967450</v>
      </c>
      <c r="C9841" t="s">
        <v>499</v>
      </c>
      <c r="D9841" t="s">
        <v>10015</v>
      </c>
      <c r="E9841" t="s">
        <v>8</v>
      </c>
    </row>
    <row r="9842" spans="1:5" hidden="1" outlineLevel="2">
      <c r="A9842" s="3" t="e">
        <f>(HYPERLINK("http://www.autodoc.ru/Web/price/art/8545AGNBLZ?analog=on","8545AGNBLZ"))*1</f>
        <v>#VALUE!</v>
      </c>
      <c r="B9842" s="1">
        <v>6967453</v>
      </c>
      <c r="C9842" t="s">
        <v>499</v>
      </c>
      <c r="D9842" t="s">
        <v>10016</v>
      </c>
      <c r="E9842" t="s">
        <v>8</v>
      </c>
    </row>
    <row r="9843" spans="1:5" hidden="1" outlineLevel="2">
      <c r="A9843" s="3" t="e">
        <f>(HYPERLINK("http://www.autodoc.ru/Web/price/art/8545AGNGNZ?analog=on","8545AGNGNZ"))*1</f>
        <v>#VALUE!</v>
      </c>
      <c r="B9843" s="1">
        <v>6967452</v>
      </c>
      <c r="C9843" t="s">
        <v>499</v>
      </c>
      <c r="D9843" t="s">
        <v>10017</v>
      </c>
      <c r="E9843" t="s">
        <v>8</v>
      </c>
    </row>
    <row r="9844" spans="1:5" hidden="1" outlineLevel="2">
      <c r="A9844" s="3" t="e">
        <f>(HYPERLINK("http://www.autodoc.ru/Web/price/art/8545AGNZ?analog=on","8545AGNZ"))*1</f>
        <v>#VALUE!</v>
      </c>
      <c r="B9844" s="1">
        <v>6967451</v>
      </c>
      <c r="C9844" t="s">
        <v>499</v>
      </c>
      <c r="D9844" t="s">
        <v>10018</v>
      </c>
      <c r="E9844" t="s">
        <v>8</v>
      </c>
    </row>
    <row r="9845" spans="1:5" hidden="1" outlineLevel="2">
      <c r="A9845" s="3" t="e">
        <f>(HYPERLINK("http://www.autodoc.ru/Web/price/art/8545BGNHABZ1E?analog=on","8545BGNHABZ1E"))*1</f>
        <v>#VALUE!</v>
      </c>
      <c r="B9845" s="1">
        <v>6998612</v>
      </c>
      <c r="C9845" t="s">
        <v>637</v>
      </c>
      <c r="D9845" t="s">
        <v>10019</v>
      </c>
      <c r="E9845" t="s">
        <v>23</v>
      </c>
    </row>
    <row r="9846" spans="1:5" hidden="1" outlineLevel="2">
      <c r="A9846" s="3" t="e">
        <f>(HYPERLINK("http://www.autodoc.ru/Web/price/art/8545LCLH3FD?analog=on","8545LCLH3FD"))*1</f>
        <v>#VALUE!</v>
      </c>
      <c r="B9846" s="1">
        <v>6994673</v>
      </c>
      <c r="C9846" t="s">
        <v>499</v>
      </c>
      <c r="D9846" t="s">
        <v>10020</v>
      </c>
      <c r="E9846" t="s">
        <v>10</v>
      </c>
    </row>
    <row r="9847" spans="1:5" hidden="1" outlineLevel="2">
      <c r="A9847" s="3" t="e">
        <f>(HYPERLINK("http://www.autodoc.ru/Web/price/art/8545LCLH3RQZ?analog=on","8545LCLH3RQZ"))*1</f>
        <v>#VALUE!</v>
      </c>
      <c r="B9847" s="1">
        <v>6994674</v>
      </c>
      <c r="C9847" t="s">
        <v>499</v>
      </c>
      <c r="D9847" t="s">
        <v>10021</v>
      </c>
      <c r="E9847" t="s">
        <v>10</v>
      </c>
    </row>
    <row r="9848" spans="1:5" hidden="1" outlineLevel="2">
      <c r="A9848" s="3" t="e">
        <f>(HYPERLINK("http://www.autodoc.ru/Web/price/art/8545LCLH5FD?analog=on","8545LCLH5FD"))*1</f>
        <v>#VALUE!</v>
      </c>
      <c r="B9848" s="1">
        <v>6994675</v>
      </c>
      <c r="C9848" t="s">
        <v>499</v>
      </c>
      <c r="D9848" t="s">
        <v>10022</v>
      </c>
      <c r="E9848" t="s">
        <v>10</v>
      </c>
    </row>
    <row r="9849" spans="1:5" hidden="1" outlineLevel="2">
      <c r="A9849" s="3" t="e">
        <f>(HYPERLINK("http://www.autodoc.ru/Web/price/art/8545LCLH5RV?analog=on","8545LCLH5RV"))*1</f>
        <v>#VALUE!</v>
      </c>
      <c r="B9849" s="1">
        <v>6994676</v>
      </c>
      <c r="C9849" t="s">
        <v>499</v>
      </c>
      <c r="D9849" t="s">
        <v>10023</v>
      </c>
      <c r="E9849" t="s">
        <v>10</v>
      </c>
    </row>
    <row r="9850" spans="1:5" hidden="1" outlineLevel="2">
      <c r="A9850" s="3" t="e">
        <f>(HYPERLINK("http://www.autodoc.ru/Web/price/art/8545LGNH3FD?analog=on","8545LGNH3FD"))*1</f>
        <v>#VALUE!</v>
      </c>
      <c r="B9850" s="1">
        <v>6995886</v>
      </c>
      <c r="C9850" t="s">
        <v>499</v>
      </c>
      <c r="D9850" t="s">
        <v>10024</v>
      </c>
      <c r="E9850" t="s">
        <v>10</v>
      </c>
    </row>
    <row r="9851" spans="1:5" hidden="1" outlineLevel="2">
      <c r="A9851" s="3" t="e">
        <f>(HYPERLINK("http://www.autodoc.ru/Web/price/art/8545LGNH3RQZ?analog=on","8545LGNH3RQZ"))*1</f>
        <v>#VALUE!</v>
      </c>
      <c r="B9851" s="1">
        <v>6994681</v>
      </c>
      <c r="C9851" t="s">
        <v>499</v>
      </c>
      <c r="D9851" t="s">
        <v>10025</v>
      </c>
      <c r="E9851" t="s">
        <v>10</v>
      </c>
    </row>
    <row r="9852" spans="1:5" hidden="1" outlineLevel="2">
      <c r="A9852" s="3" t="e">
        <f>(HYPERLINK("http://www.autodoc.ru/Web/price/art/8545LGNH5FD?analog=on","8545LGNH5FD"))*1</f>
        <v>#VALUE!</v>
      </c>
      <c r="B9852" s="1">
        <v>6995887</v>
      </c>
      <c r="C9852" t="s">
        <v>499</v>
      </c>
      <c r="D9852" t="s">
        <v>10026</v>
      </c>
      <c r="E9852" t="s">
        <v>10</v>
      </c>
    </row>
    <row r="9853" spans="1:5" hidden="1" outlineLevel="2">
      <c r="A9853" s="3" t="e">
        <f>(HYPERLINK("http://www.autodoc.ru/Web/price/art/8545LGNH5RD?analog=on","8545LGNH5RD"))*1</f>
        <v>#VALUE!</v>
      </c>
      <c r="B9853" s="1">
        <v>6995888</v>
      </c>
      <c r="C9853" t="s">
        <v>499</v>
      </c>
      <c r="D9853" t="s">
        <v>10027</v>
      </c>
      <c r="E9853" t="s">
        <v>10</v>
      </c>
    </row>
    <row r="9854" spans="1:5" hidden="1" outlineLevel="2">
      <c r="A9854" s="3" t="e">
        <f>(HYPERLINK("http://www.autodoc.ru/Web/price/art/8545LGNH5RV?analog=on","8545LGNH5RV"))*1</f>
        <v>#VALUE!</v>
      </c>
      <c r="B9854" s="1">
        <v>6995889</v>
      </c>
      <c r="C9854" t="s">
        <v>499</v>
      </c>
      <c r="D9854" t="s">
        <v>10028</v>
      </c>
      <c r="E9854" t="s">
        <v>10</v>
      </c>
    </row>
    <row r="9855" spans="1:5" hidden="1" outlineLevel="2">
      <c r="A9855" s="3" t="e">
        <f>(HYPERLINK("http://www.autodoc.ru/Web/price/art/8545RCLH3FD?analog=on","8545RCLH3FD"))*1</f>
        <v>#VALUE!</v>
      </c>
      <c r="B9855" s="1">
        <v>6994677</v>
      </c>
      <c r="C9855" t="s">
        <v>499</v>
      </c>
      <c r="D9855" t="s">
        <v>10029</v>
      </c>
      <c r="E9855" t="s">
        <v>10</v>
      </c>
    </row>
    <row r="9856" spans="1:5" hidden="1" outlineLevel="2">
      <c r="A9856" s="3" t="e">
        <f>(HYPERLINK("http://www.autodoc.ru/Web/price/art/8545RCLH3RQZ?analog=on","8545RCLH3RQZ"))*1</f>
        <v>#VALUE!</v>
      </c>
      <c r="B9856" s="1">
        <v>6994678</v>
      </c>
      <c r="C9856" t="s">
        <v>499</v>
      </c>
      <c r="D9856" t="s">
        <v>10030</v>
      </c>
      <c r="E9856" t="s">
        <v>10</v>
      </c>
    </row>
    <row r="9857" spans="1:5" hidden="1" outlineLevel="2">
      <c r="A9857" s="3" t="e">
        <f>(HYPERLINK("http://www.autodoc.ru/Web/price/art/8545RCLH5FD?analog=on","8545RCLH5FD"))*1</f>
        <v>#VALUE!</v>
      </c>
      <c r="B9857" s="1">
        <v>6994679</v>
      </c>
      <c r="C9857" t="s">
        <v>499</v>
      </c>
      <c r="D9857" t="s">
        <v>10031</v>
      </c>
      <c r="E9857" t="s">
        <v>10</v>
      </c>
    </row>
    <row r="9858" spans="1:5" hidden="1" outlineLevel="2">
      <c r="A9858" s="3" t="e">
        <f>(HYPERLINK("http://www.autodoc.ru/Web/price/art/8545RCLH5RV?analog=on","8545RCLH5RV"))*1</f>
        <v>#VALUE!</v>
      </c>
      <c r="B9858" s="1">
        <v>6994680</v>
      </c>
      <c r="C9858" t="s">
        <v>499</v>
      </c>
      <c r="D9858" t="s">
        <v>10032</v>
      </c>
      <c r="E9858" t="s">
        <v>10</v>
      </c>
    </row>
    <row r="9859" spans="1:5" hidden="1" outlineLevel="2">
      <c r="A9859" s="3" t="e">
        <f>(HYPERLINK("http://www.autodoc.ru/Web/price/art/8545RGNH3FD?analog=on","8545RGNH3FD"))*1</f>
        <v>#VALUE!</v>
      </c>
      <c r="B9859" s="1">
        <v>6995890</v>
      </c>
      <c r="C9859" t="s">
        <v>499</v>
      </c>
      <c r="D9859" t="s">
        <v>10033</v>
      </c>
      <c r="E9859" t="s">
        <v>10</v>
      </c>
    </row>
    <row r="9860" spans="1:5" hidden="1" outlineLevel="2">
      <c r="A9860" s="3" t="e">
        <f>(HYPERLINK("http://www.autodoc.ru/Web/price/art/8545RGNH3RQZ?analog=on","8545RGNH3RQZ"))*1</f>
        <v>#VALUE!</v>
      </c>
      <c r="B9860" s="1">
        <v>6994682</v>
      </c>
      <c r="C9860" t="s">
        <v>499</v>
      </c>
      <c r="D9860" t="s">
        <v>10034</v>
      </c>
      <c r="E9860" t="s">
        <v>10</v>
      </c>
    </row>
    <row r="9861" spans="1:5" hidden="1" outlineLevel="2">
      <c r="A9861" s="3" t="e">
        <f>(HYPERLINK("http://www.autodoc.ru/Web/price/art/8545RGNH5FD?analog=on","8545RGNH5FD"))*1</f>
        <v>#VALUE!</v>
      </c>
      <c r="B9861" s="1">
        <v>6995891</v>
      </c>
      <c r="C9861" t="s">
        <v>499</v>
      </c>
      <c r="D9861" t="s">
        <v>10035</v>
      </c>
      <c r="E9861" t="s">
        <v>10</v>
      </c>
    </row>
    <row r="9862" spans="1:5" hidden="1" outlineLevel="2">
      <c r="A9862" s="3" t="e">
        <f>(HYPERLINK("http://www.autodoc.ru/Web/price/art/8545RGNH5RD?analog=on","8545RGNH5RD"))*1</f>
        <v>#VALUE!</v>
      </c>
      <c r="B9862" s="1">
        <v>6995892</v>
      </c>
      <c r="C9862" t="s">
        <v>499</v>
      </c>
      <c r="D9862" t="s">
        <v>10036</v>
      </c>
      <c r="E9862" t="s">
        <v>10</v>
      </c>
    </row>
    <row r="9863" spans="1:5" hidden="1" outlineLevel="2">
      <c r="A9863" s="3" t="e">
        <f>(HYPERLINK("http://www.autodoc.ru/Web/price/art/8545RGNH5RV?analog=on","8545RGNH5RV"))*1</f>
        <v>#VALUE!</v>
      </c>
      <c r="B9863" s="1">
        <v>6995893</v>
      </c>
      <c r="C9863" t="s">
        <v>499</v>
      </c>
      <c r="D9863" t="s">
        <v>10037</v>
      </c>
      <c r="E9863" t="s">
        <v>10</v>
      </c>
    </row>
    <row r="9864" spans="1:5" hidden="1" outlineLevel="1">
      <c r="A9864" s="2">
        <v>0</v>
      </c>
      <c r="B9864" s="26" t="s">
        <v>10038</v>
      </c>
      <c r="C9864" s="27">
        <v>0</v>
      </c>
      <c r="D9864" s="27">
        <v>0</v>
      </c>
      <c r="E9864" s="27">
        <v>0</v>
      </c>
    </row>
    <row r="9865" spans="1:5" hidden="1" outlineLevel="2">
      <c r="A9865" s="3" t="e">
        <f>(HYPERLINK("http://www.autodoc.ru/Web/price/art/8570AGNGYZ?analog=on","8570AGNGYZ"))*1</f>
        <v>#VALUE!</v>
      </c>
      <c r="B9865" s="1">
        <v>6961081</v>
      </c>
      <c r="C9865" t="s">
        <v>639</v>
      </c>
      <c r="D9865" t="s">
        <v>10039</v>
      </c>
      <c r="E9865" t="s">
        <v>8</v>
      </c>
    </row>
    <row r="9866" spans="1:5" hidden="1" outlineLevel="2">
      <c r="A9866" s="3" t="e">
        <f>(HYPERLINK("http://www.autodoc.ru/Web/price/art/8570AGNMZ1C?analog=on","8570AGNMZ1C"))*1</f>
        <v>#VALUE!</v>
      </c>
      <c r="B9866" s="1">
        <v>6960442</v>
      </c>
      <c r="C9866" t="s">
        <v>639</v>
      </c>
      <c r="D9866" t="s">
        <v>10040</v>
      </c>
      <c r="E9866" t="s">
        <v>8</v>
      </c>
    </row>
    <row r="9867" spans="1:5" hidden="1" outlineLevel="2">
      <c r="A9867" s="3" t="e">
        <f>(HYPERLINK("http://www.autodoc.ru/Web/price/art/8570AGNZ?analog=on","8570AGNZ"))*1</f>
        <v>#VALUE!</v>
      </c>
      <c r="B9867" s="1">
        <v>6960443</v>
      </c>
      <c r="C9867" t="s">
        <v>639</v>
      </c>
      <c r="D9867" t="s">
        <v>10041</v>
      </c>
      <c r="E9867" t="s">
        <v>8</v>
      </c>
    </row>
    <row r="9868" spans="1:5" hidden="1" outlineLevel="2">
      <c r="A9868" s="3" t="e">
        <f>(HYPERLINK("http://www.autodoc.ru/Web/price/art/8570BGNHZ?analog=on","8570BGNHZ"))*1</f>
        <v>#VALUE!</v>
      </c>
      <c r="B9868" s="1">
        <v>6980030</v>
      </c>
      <c r="C9868" t="s">
        <v>639</v>
      </c>
      <c r="D9868" t="s">
        <v>10042</v>
      </c>
      <c r="E9868" t="s">
        <v>23</v>
      </c>
    </row>
    <row r="9869" spans="1:5" hidden="1" outlineLevel="2">
      <c r="A9869" s="3" t="e">
        <f>(HYPERLINK("http://www.autodoc.ru/Web/price/art/8570LGNH3RQZ?analog=on","8570LGNH3RQZ"))*1</f>
        <v>#VALUE!</v>
      </c>
      <c r="B9869" s="1">
        <v>6996314</v>
      </c>
      <c r="C9869" t="s">
        <v>639</v>
      </c>
      <c r="D9869" t="s">
        <v>10043</v>
      </c>
      <c r="E9869" t="s">
        <v>10</v>
      </c>
    </row>
    <row r="9870" spans="1:5" hidden="1" outlineLevel="2">
      <c r="A9870" s="3" t="e">
        <f>(HYPERLINK("http://www.autodoc.ru/Web/price/art/8570RGNH3RQZ?analog=on","8570RGNH3RQZ"))*1</f>
        <v>#VALUE!</v>
      </c>
      <c r="B9870" s="1">
        <v>6996315</v>
      </c>
      <c r="C9870" t="s">
        <v>639</v>
      </c>
      <c r="D9870" t="s">
        <v>10044</v>
      </c>
      <c r="E9870" t="s">
        <v>10</v>
      </c>
    </row>
    <row r="9871" spans="1:5" hidden="1" outlineLevel="1">
      <c r="A9871" s="2">
        <v>0</v>
      </c>
      <c r="B9871" s="26" t="s">
        <v>10045</v>
      </c>
      <c r="C9871" s="27">
        <v>0</v>
      </c>
      <c r="D9871" s="27">
        <v>0</v>
      </c>
      <c r="E9871" s="27">
        <v>0</v>
      </c>
    </row>
    <row r="9872" spans="1:5" hidden="1" outlineLevel="2">
      <c r="A9872" s="3" t="e">
        <f>(HYPERLINK("http://www.autodoc.ru/Web/price/art/8573AGSGYMVZ?analog=on","8573AGSGYMVZ"))*1</f>
        <v>#VALUE!</v>
      </c>
      <c r="B9872" s="1">
        <v>6960742</v>
      </c>
      <c r="C9872" t="s">
        <v>3850</v>
      </c>
      <c r="D9872" t="s">
        <v>10046</v>
      </c>
      <c r="E9872" t="s">
        <v>8</v>
      </c>
    </row>
    <row r="9873" spans="1:5" hidden="1" outlineLevel="2">
      <c r="A9873" s="3" t="e">
        <f>(HYPERLINK("http://www.autodoc.ru/Web/price/art/8573AGSGYMVZ6J?analog=on","8573AGSGYMVZ6J"))*1</f>
        <v>#VALUE!</v>
      </c>
      <c r="B9873" s="1">
        <v>6961771</v>
      </c>
      <c r="C9873" t="s">
        <v>3850</v>
      </c>
      <c r="D9873" t="s">
        <v>10047</v>
      </c>
      <c r="E9873" t="s">
        <v>8</v>
      </c>
    </row>
    <row r="9874" spans="1:5" hidden="1" outlineLevel="2">
      <c r="A9874" s="3" t="e">
        <f>(HYPERLINK("http://www.autodoc.ru/Web/price/art/8573AGSGYVZ?analog=on","8573AGSGYVZ"))*1</f>
        <v>#VALUE!</v>
      </c>
      <c r="B9874" s="1">
        <v>6961917</v>
      </c>
      <c r="C9874" t="s">
        <v>3850</v>
      </c>
      <c r="D9874" t="s">
        <v>10048</v>
      </c>
      <c r="E9874" t="s">
        <v>8</v>
      </c>
    </row>
    <row r="9875" spans="1:5" hidden="1" outlineLevel="2">
      <c r="A9875" s="3" t="e">
        <f>(HYPERLINK("http://www.autodoc.ru/Web/price/art/8573AGSGYVZ6J?analog=on","8573AGSGYVZ6J"))*1</f>
        <v>#VALUE!</v>
      </c>
      <c r="B9875" s="1">
        <v>6962211</v>
      </c>
      <c r="C9875" t="s">
        <v>3850</v>
      </c>
      <c r="D9875" t="s">
        <v>10049</v>
      </c>
      <c r="E9875" t="s">
        <v>8</v>
      </c>
    </row>
    <row r="9876" spans="1:5" hidden="1" outlineLevel="2">
      <c r="A9876" s="3" t="e">
        <f>(HYPERLINK("http://www.autodoc.ru/Web/price/art/8573AGSMVZ6J?analog=on","8573AGSMVZ6J"))*1</f>
        <v>#VALUE!</v>
      </c>
      <c r="B9876" s="1">
        <v>6961772</v>
      </c>
      <c r="C9876" t="s">
        <v>3326</v>
      </c>
      <c r="D9876" t="s">
        <v>10050</v>
      </c>
      <c r="E9876" t="s">
        <v>8</v>
      </c>
    </row>
    <row r="9877" spans="1:5" hidden="1" outlineLevel="2">
      <c r="A9877" s="3" t="e">
        <f>(HYPERLINK("http://www.autodoc.ru/Web/price/art/8573AGSVZ?analog=on","8573AGSVZ"))*1</f>
        <v>#VALUE!</v>
      </c>
      <c r="B9877" s="1">
        <v>6960743</v>
      </c>
      <c r="C9877" t="s">
        <v>3850</v>
      </c>
      <c r="D9877" t="s">
        <v>10051</v>
      </c>
      <c r="E9877" t="s">
        <v>8</v>
      </c>
    </row>
    <row r="9878" spans="1:5" hidden="1" outlineLevel="2">
      <c r="A9878" s="3" t="e">
        <f>(HYPERLINK("http://www.autodoc.ru/Web/price/art/8573AGSVZ6J?analog=on","8573AGSVZ6J"))*1</f>
        <v>#VALUE!</v>
      </c>
      <c r="B9878" s="1">
        <v>6961563</v>
      </c>
      <c r="C9878" t="s">
        <v>3850</v>
      </c>
      <c r="D9878" t="s">
        <v>10052</v>
      </c>
      <c r="E9878" t="s">
        <v>8</v>
      </c>
    </row>
    <row r="9879" spans="1:5" hidden="1" outlineLevel="2">
      <c r="A9879" s="3" t="e">
        <f>(HYPERLINK("http://www.autodoc.ru/Web/price/art/8573AGSZ?analog=on","8573AGSZ"))*1</f>
        <v>#VALUE!</v>
      </c>
      <c r="B9879" s="1">
        <v>6962069</v>
      </c>
      <c r="C9879" t="s">
        <v>3850</v>
      </c>
      <c r="D9879" t="s">
        <v>10053</v>
      </c>
      <c r="E9879" t="s">
        <v>8</v>
      </c>
    </row>
    <row r="9880" spans="1:5" hidden="1" outlineLevel="2">
      <c r="A9880" s="3" t="e">
        <f>(HYPERLINK("http://www.autodoc.ru/Web/price/art/8573BGDHI1J?analog=on","8573BGDHI1J"))*1</f>
        <v>#VALUE!</v>
      </c>
      <c r="B9880" s="1">
        <v>6993909</v>
      </c>
      <c r="C9880" t="s">
        <v>3326</v>
      </c>
      <c r="D9880" t="s">
        <v>10054</v>
      </c>
      <c r="E9880" t="s">
        <v>23</v>
      </c>
    </row>
    <row r="9881" spans="1:5" hidden="1" outlineLevel="2">
      <c r="A9881" s="3" t="e">
        <f>(HYPERLINK("http://www.autodoc.ru/Web/price/art/8573BGSHI?analog=on","8573BGSHI"))*1</f>
        <v>#VALUE!</v>
      </c>
      <c r="B9881" s="1">
        <v>6992792</v>
      </c>
      <c r="C9881" t="s">
        <v>3850</v>
      </c>
      <c r="D9881" t="s">
        <v>10055</v>
      </c>
      <c r="E9881" t="s">
        <v>23</v>
      </c>
    </row>
    <row r="9882" spans="1:5" hidden="1" outlineLevel="2">
      <c r="A9882" s="3" t="e">
        <f>(HYPERLINK("http://www.autodoc.ru/Web/price/art/8573BGSHI1J?analog=on","8573BGSHI1J"))*1</f>
        <v>#VALUE!</v>
      </c>
      <c r="B9882" s="1">
        <v>6993925</v>
      </c>
      <c r="C9882" t="s">
        <v>3326</v>
      </c>
      <c r="D9882" t="s">
        <v>10056</v>
      </c>
      <c r="E9882" t="s">
        <v>23</v>
      </c>
    </row>
    <row r="9883" spans="1:5" hidden="1" outlineLevel="2">
      <c r="A9883" s="3" t="e">
        <f>(HYPERLINK("http://www.autodoc.ru/Web/price/art/8573LGSH3FD?analog=on","8573LGSH3FD"))*1</f>
        <v>#VALUE!</v>
      </c>
      <c r="B9883" s="1">
        <v>6997578</v>
      </c>
      <c r="C9883" t="s">
        <v>3850</v>
      </c>
      <c r="D9883" t="s">
        <v>10057</v>
      </c>
      <c r="E9883" t="s">
        <v>10</v>
      </c>
    </row>
    <row r="9884" spans="1:5" hidden="1" outlineLevel="2">
      <c r="A9884" s="3" t="e">
        <f>(HYPERLINK("http://www.autodoc.ru/Web/price/art/8573LGSH5FD?analog=on","8573LGSH5FD"))*1</f>
        <v>#VALUE!</v>
      </c>
      <c r="B9884" s="1">
        <v>6993148</v>
      </c>
      <c r="C9884" t="s">
        <v>3850</v>
      </c>
      <c r="D9884" t="s">
        <v>10058</v>
      </c>
      <c r="E9884" t="s">
        <v>10</v>
      </c>
    </row>
    <row r="9885" spans="1:5" hidden="1" outlineLevel="2">
      <c r="A9885" s="3" t="e">
        <f>(HYPERLINK("http://www.autodoc.ru/Web/price/art/8573LGSH5RDW?analog=on","8573LGSH5RDW"))*1</f>
        <v>#VALUE!</v>
      </c>
      <c r="B9885" s="1">
        <v>6992624</v>
      </c>
      <c r="C9885" t="s">
        <v>3850</v>
      </c>
      <c r="D9885" t="s">
        <v>10059</v>
      </c>
      <c r="E9885" t="s">
        <v>10</v>
      </c>
    </row>
    <row r="9886" spans="1:5" hidden="1" outlineLevel="2">
      <c r="A9886" s="3" t="e">
        <f>(HYPERLINK("http://www.autodoc.ru/Web/price/art/8573RGSH3FD?analog=on","8573RGSH3FD"))*1</f>
        <v>#VALUE!</v>
      </c>
      <c r="B9886" s="1">
        <v>6993926</v>
      </c>
      <c r="C9886" t="s">
        <v>3850</v>
      </c>
      <c r="D9886" t="s">
        <v>10060</v>
      </c>
      <c r="E9886" t="s">
        <v>10</v>
      </c>
    </row>
    <row r="9887" spans="1:5" hidden="1" outlineLevel="2">
      <c r="A9887" s="3" t="e">
        <f>(HYPERLINK("http://www.autodoc.ru/Web/price/art/8573RGSH5FD?analog=on","8573RGSH5FD"))*1</f>
        <v>#VALUE!</v>
      </c>
      <c r="B9887" s="1">
        <v>6993149</v>
      </c>
      <c r="C9887" t="s">
        <v>3850</v>
      </c>
      <c r="D9887" t="s">
        <v>10061</v>
      </c>
      <c r="E9887" t="s">
        <v>10</v>
      </c>
    </row>
    <row r="9888" spans="1:5" hidden="1" outlineLevel="2">
      <c r="A9888" s="3" t="e">
        <f>(HYPERLINK("http://www.autodoc.ru/Web/price/art/8573RGSH5RDW?analog=on","8573RGSH5RDW"))*1</f>
        <v>#VALUE!</v>
      </c>
      <c r="B9888" s="1">
        <v>6992625</v>
      </c>
      <c r="C9888" t="s">
        <v>3850</v>
      </c>
      <c r="D9888" t="s">
        <v>10062</v>
      </c>
      <c r="E9888" t="s">
        <v>10</v>
      </c>
    </row>
    <row r="9889" spans="1:5" hidden="1" outlineLevel="1">
      <c r="A9889" s="2">
        <v>0</v>
      </c>
      <c r="B9889" s="26" t="s">
        <v>10063</v>
      </c>
      <c r="C9889" s="27">
        <v>0</v>
      </c>
      <c r="D9889" s="27">
        <v>0</v>
      </c>
      <c r="E9889" s="27">
        <v>0</v>
      </c>
    </row>
    <row r="9890" spans="1:5" hidden="1" outlineLevel="2">
      <c r="A9890" s="3" t="e">
        <f>(HYPERLINK("http://www.autodoc.ru/Web/price/art/8603AGSMVWZ2P?analog=on","8603AGSMVWZ2P"))*1</f>
        <v>#VALUE!</v>
      </c>
      <c r="B9890" s="1">
        <v>6964918</v>
      </c>
      <c r="C9890" t="s">
        <v>211</v>
      </c>
      <c r="D9890" t="s">
        <v>10064</v>
      </c>
      <c r="E9890" t="s">
        <v>8</v>
      </c>
    </row>
    <row r="9891" spans="1:5" hidden="1" outlineLevel="2">
      <c r="A9891" s="3" t="e">
        <f>(HYPERLINK("http://www.autodoc.ru/Web/price/art/8603LGSH5FD?analog=on","8603LGSH5FD"))*1</f>
        <v>#VALUE!</v>
      </c>
      <c r="B9891" s="1">
        <v>6901110</v>
      </c>
      <c r="C9891" t="s">
        <v>211</v>
      </c>
      <c r="D9891" t="s">
        <v>10065</v>
      </c>
      <c r="E9891" t="s">
        <v>10</v>
      </c>
    </row>
    <row r="9892" spans="1:5" hidden="1" outlineLevel="2">
      <c r="A9892" s="3" t="e">
        <f>(HYPERLINK("http://www.autodoc.ru/Web/price/art/8603RGSH5FD?analog=on","8603RGSH5FD"))*1</f>
        <v>#VALUE!</v>
      </c>
      <c r="B9892" s="1">
        <v>6901109</v>
      </c>
      <c r="C9892" t="s">
        <v>211</v>
      </c>
      <c r="D9892" t="s">
        <v>10066</v>
      </c>
      <c r="E9892" t="s">
        <v>10</v>
      </c>
    </row>
    <row r="9893" spans="1:5" hidden="1" outlineLevel="1">
      <c r="A9893" s="2">
        <v>0</v>
      </c>
      <c r="B9893" s="26" t="s">
        <v>10067</v>
      </c>
      <c r="C9893" s="27">
        <v>0</v>
      </c>
      <c r="D9893" s="27">
        <v>0</v>
      </c>
      <c r="E9893" s="27">
        <v>0</v>
      </c>
    </row>
    <row r="9894" spans="1:5" hidden="1" outlineLevel="2">
      <c r="A9894" s="3" t="e">
        <f>(HYPERLINK("http://www.autodoc.ru/Web/price/art/8549ACLW1J?analog=on","8549ACLW1J"))*1</f>
        <v>#VALUE!</v>
      </c>
      <c r="B9894" s="1">
        <v>6960509</v>
      </c>
      <c r="C9894" t="s">
        <v>522</v>
      </c>
      <c r="D9894" t="s">
        <v>10068</v>
      </c>
      <c r="E9894" t="s">
        <v>8</v>
      </c>
    </row>
    <row r="9895" spans="1:5" hidden="1" outlineLevel="2">
      <c r="A9895" s="3" t="e">
        <f>(HYPERLINK("http://www.autodoc.ru/Web/price/art/8549AGNBLW?analog=on","8549AGNBLW"))*1</f>
        <v>#VALUE!</v>
      </c>
      <c r="B9895" s="1">
        <v>6963212</v>
      </c>
      <c r="C9895" t="s">
        <v>522</v>
      </c>
      <c r="D9895" t="s">
        <v>10069</v>
      </c>
      <c r="E9895" t="s">
        <v>8</v>
      </c>
    </row>
    <row r="9896" spans="1:5" hidden="1" outlineLevel="2">
      <c r="A9896" s="3" t="e">
        <f>(HYPERLINK("http://www.autodoc.ru/Web/price/art/8549AGNGNW?analog=on","8549AGNGNW"))*1</f>
        <v>#VALUE!</v>
      </c>
      <c r="B9896" s="1">
        <v>6960511</v>
      </c>
      <c r="C9896" t="s">
        <v>522</v>
      </c>
      <c r="D9896" t="s">
        <v>10070</v>
      </c>
      <c r="E9896" t="s">
        <v>8</v>
      </c>
    </row>
    <row r="9897" spans="1:5" hidden="1" outlineLevel="2">
      <c r="A9897" s="3" t="e">
        <f>(HYPERLINK("http://www.autodoc.ru/Web/price/art/8549AGNGNW1D?analog=on","8549AGNGNW1D"))*1</f>
        <v>#VALUE!</v>
      </c>
      <c r="B9897" s="1">
        <v>6960966</v>
      </c>
      <c r="C9897" t="s">
        <v>522</v>
      </c>
      <c r="D9897" t="s">
        <v>10071</v>
      </c>
      <c r="E9897" t="s">
        <v>8</v>
      </c>
    </row>
    <row r="9898" spans="1:5" hidden="1" outlineLevel="2">
      <c r="A9898" s="3" t="e">
        <f>(HYPERLINK("http://www.autodoc.ru/Web/price/art/8549AGNW?analog=on","8549AGNW"))*1</f>
        <v>#VALUE!</v>
      </c>
      <c r="B9898" s="1">
        <v>6960510</v>
      </c>
      <c r="C9898" t="s">
        <v>522</v>
      </c>
      <c r="D9898" t="s">
        <v>10072</v>
      </c>
      <c r="E9898" t="s">
        <v>8</v>
      </c>
    </row>
    <row r="9899" spans="1:5" hidden="1" outlineLevel="2">
      <c r="A9899" s="3" t="e">
        <f>(HYPERLINK("http://www.autodoc.ru/Web/price/art/8549AGNW1D?analog=on","8549AGNW1D"))*1</f>
        <v>#VALUE!</v>
      </c>
      <c r="B9899" s="1">
        <v>6960965</v>
      </c>
      <c r="C9899" t="s">
        <v>522</v>
      </c>
      <c r="D9899" t="s">
        <v>10072</v>
      </c>
      <c r="E9899" t="s">
        <v>8</v>
      </c>
    </row>
    <row r="9900" spans="1:5" hidden="1" outlineLevel="2">
      <c r="A9900" s="3" t="e">
        <f>(HYPERLINK("http://www.autodoc.ru/Web/price/art/8549BCLVLZ?analog=on","8549BCLVLZ"))*1</f>
        <v>#VALUE!</v>
      </c>
      <c r="B9900" s="1">
        <v>6998836</v>
      </c>
      <c r="C9900" t="s">
        <v>522</v>
      </c>
      <c r="D9900" t="s">
        <v>10073</v>
      </c>
      <c r="E9900" t="s">
        <v>23</v>
      </c>
    </row>
    <row r="9901" spans="1:5" hidden="1" outlineLevel="2">
      <c r="A9901" s="3" t="e">
        <f>(HYPERLINK("http://www.autodoc.ru/Web/price/art/8549BCLVRZ?analog=on","8549BCLVRZ"))*1</f>
        <v>#VALUE!</v>
      </c>
      <c r="B9901" s="1">
        <v>6998837</v>
      </c>
      <c r="C9901" t="s">
        <v>522</v>
      </c>
      <c r="D9901" t="s">
        <v>10074</v>
      </c>
      <c r="E9901" t="s">
        <v>23</v>
      </c>
    </row>
    <row r="9902" spans="1:5" hidden="1" outlineLevel="2">
      <c r="A9902" s="3" t="e">
        <f>(HYPERLINK("http://www.autodoc.ru/Web/price/art/8549BGNEW?analog=on","8549BGNEW"))*1</f>
        <v>#VALUE!</v>
      </c>
      <c r="B9902" s="1">
        <v>6996119</v>
      </c>
      <c r="C9902" t="s">
        <v>522</v>
      </c>
      <c r="D9902" t="s">
        <v>10075</v>
      </c>
      <c r="E9902" t="s">
        <v>23</v>
      </c>
    </row>
    <row r="9903" spans="1:5" hidden="1" outlineLevel="2">
      <c r="A9903" s="3" t="e">
        <f>(HYPERLINK("http://www.autodoc.ru/Web/price/art/8549BGNSZ?analog=on","8549BGNSZ"))*1</f>
        <v>#VALUE!</v>
      </c>
      <c r="B9903" s="1">
        <v>6998838</v>
      </c>
      <c r="C9903" t="s">
        <v>522</v>
      </c>
      <c r="D9903" t="s">
        <v>10076</v>
      </c>
      <c r="E9903" t="s">
        <v>23</v>
      </c>
    </row>
    <row r="9904" spans="1:5" hidden="1" outlineLevel="2">
      <c r="A9904" s="3" t="e">
        <f>(HYPERLINK("http://www.autodoc.ru/Web/price/art/8549LCLS4FD?analog=on","8549LCLS4FD"))*1</f>
        <v>#VALUE!</v>
      </c>
      <c r="B9904" s="1">
        <v>6995894</v>
      </c>
      <c r="C9904" t="s">
        <v>522</v>
      </c>
      <c r="D9904" t="s">
        <v>10077</v>
      </c>
      <c r="E9904" t="s">
        <v>10</v>
      </c>
    </row>
    <row r="9905" spans="1:5" hidden="1" outlineLevel="2">
      <c r="A9905" s="3" t="e">
        <f>(HYPERLINK("http://www.autodoc.ru/Web/price/art/8549LGNS4FD?analog=on","8549LGNS4FD"))*1</f>
        <v>#VALUE!</v>
      </c>
      <c r="B9905" s="1">
        <v>6995896</v>
      </c>
      <c r="C9905" t="s">
        <v>522</v>
      </c>
      <c r="D9905" t="s">
        <v>10078</v>
      </c>
      <c r="E9905" t="s">
        <v>10</v>
      </c>
    </row>
    <row r="9906" spans="1:5" hidden="1" outlineLevel="2">
      <c r="A9906" s="3" t="e">
        <f>(HYPERLINK("http://www.autodoc.ru/Web/price/art/8549LGNS4RD?analog=on","8549LGNS4RD"))*1</f>
        <v>#VALUE!</v>
      </c>
      <c r="B9906" s="1">
        <v>6992995</v>
      </c>
      <c r="C9906" t="s">
        <v>522</v>
      </c>
      <c r="D9906" t="s">
        <v>10079</v>
      </c>
      <c r="E9906" t="s">
        <v>10</v>
      </c>
    </row>
    <row r="9907" spans="1:5" hidden="1" outlineLevel="2">
      <c r="A9907" s="3" t="e">
        <f>(HYPERLINK("http://www.autodoc.ru/Web/price/art/8549RCLS4FD?analog=on","8549RCLS4FD"))*1</f>
        <v>#VALUE!</v>
      </c>
      <c r="B9907" s="1">
        <v>6995895</v>
      </c>
      <c r="C9907" t="s">
        <v>522</v>
      </c>
      <c r="D9907" t="s">
        <v>10080</v>
      </c>
      <c r="E9907" t="s">
        <v>10</v>
      </c>
    </row>
    <row r="9908" spans="1:5" hidden="1" outlineLevel="2">
      <c r="A9908" s="3" t="e">
        <f>(HYPERLINK("http://www.autodoc.ru/Web/price/art/8549RGNS4FD?analog=on","8549RGNS4FD"))*1</f>
        <v>#VALUE!</v>
      </c>
      <c r="B9908" s="1">
        <v>6995897</v>
      </c>
      <c r="C9908" t="s">
        <v>522</v>
      </c>
      <c r="D9908" t="s">
        <v>10081</v>
      </c>
      <c r="E9908" t="s">
        <v>10</v>
      </c>
    </row>
    <row r="9909" spans="1:5" hidden="1" outlineLevel="2">
      <c r="A9909" s="3" t="e">
        <f>(HYPERLINK("http://www.autodoc.ru/Web/price/art/8549RGNS4RD?analog=on","8549RGNS4RD"))*1</f>
        <v>#VALUE!</v>
      </c>
      <c r="B9909" s="1">
        <v>6992996</v>
      </c>
      <c r="C9909" t="s">
        <v>522</v>
      </c>
      <c r="D9909" t="s">
        <v>10082</v>
      </c>
      <c r="E9909" t="s">
        <v>10</v>
      </c>
    </row>
    <row r="9910" spans="1:5" hidden="1" outlineLevel="1">
      <c r="A9910" s="2">
        <v>0</v>
      </c>
      <c r="B9910" s="26" t="s">
        <v>10083</v>
      </c>
      <c r="C9910" s="27">
        <v>0</v>
      </c>
      <c r="D9910" s="27">
        <v>0</v>
      </c>
      <c r="E9910" s="27">
        <v>0</v>
      </c>
    </row>
    <row r="9911" spans="1:5" hidden="1" outlineLevel="2">
      <c r="A9911" s="3" t="e">
        <f>(HYPERLINK("http://www.autodoc.ru/Web/price/art/8571AGNGNMZ?analog=on","8571AGNGNMZ"))*1</f>
        <v>#VALUE!</v>
      </c>
      <c r="B9911" s="1">
        <v>6190505</v>
      </c>
      <c r="C9911" t="s">
        <v>645</v>
      </c>
      <c r="D9911" t="s">
        <v>10084</v>
      </c>
      <c r="E9911" t="s">
        <v>8</v>
      </c>
    </row>
    <row r="9912" spans="1:5" hidden="1" outlineLevel="2">
      <c r="A9912" s="3" t="e">
        <f>(HYPERLINK("http://www.autodoc.ru/Web/price/art/8571AGNGNZ?analog=on","8571AGNGNZ"))*1</f>
        <v>#VALUE!</v>
      </c>
      <c r="B9912" s="1">
        <v>6190506</v>
      </c>
      <c r="C9912" t="s">
        <v>645</v>
      </c>
      <c r="D9912" t="s">
        <v>10085</v>
      </c>
      <c r="E9912" t="s">
        <v>8</v>
      </c>
    </row>
    <row r="9913" spans="1:5" hidden="1" outlineLevel="2">
      <c r="A9913" s="3" t="e">
        <f>(HYPERLINK("http://www.autodoc.ru/Web/price/art/8571AGNGYZ?analog=on","8571AGNGYZ"))*1</f>
        <v>#VALUE!</v>
      </c>
      <c r="B9913" s="1">
        <v>6190507</v>
      </c>
      <c r="C9913" t="s">
        <v>645</v>
      </c>
      <c r="D9913" t="s">
        <v>10086</v>
      </c>
      <c r="E9913" t="s">
        <v>8</v>
      </c>
    </row>
    <row r="9914" spans="1:5" hidden="1" outlineLevel="2">
      <c r="A9914" s="3" t="e">
        <f>(HYPERLINK("http://www.autodoc.ru/Web/price/art/8571AGNMZ?analog=on","8571AGNMZ"))*1</f>
        <v>#VALUE!</v>
      </c>
      <c r="B9914" s="1">
        <v>6190508</v>
      </c>
      <c r="C9914" t="s">
        <v>645</v>
      </c>
      <c r="D9914" t="s">
        <v>10087</v>
      </c>
      <c r="E9914" t="s">
        <v>8</v>
      </c>
    </row>
    <row r="9915" spans="1:5" hidden="1" outlineLevel="2">
      <c r="A9915" s="3" t="e">
        <f>(HYPERLINK("http://www.autodoc.ru/Web/price/art/OLD-8571AGNZ?analog=on","OLD-8571AGNZ"))*1</f>
        <v>#VALUE!</v>
      </c>
      <c r="B9915" s="1">
        <v>6961809</v>
      </c>
      <c r="C9915" t="s">
        <v>645</v>
      </c>
      <c r="D9915" t="s">
        <v>10088</v>
      </c>
      <c r="E9915" t="s">
        <v>8</v>
      </c>
    </row>
    <row r="9916" spans="1:5" hidden="1" outlineLevel="1">
      <c r="A9916" s="2">
        <v>0</v>
      </c>
      <c r="B9916" s="26" t="s">
        <v>10089</v>
      </c>
      <c r="C9916" s="27">
        <v>0</v>
      </c>
      <c r="D9916" s="27">
        <v>0</v>
      </c>
      <c r="E9916" s="27">
        <v>0</v>
      </c>
    </row>
    <row r="9917" spans="1:5" hidden="1" outlineLevel="2">
      <c r="A9917" s="3" t="e">
        <f>(HYPERLINK("http://www.autodoc.ru/Web/price/art/8531ACL?analog=on","8531ACL"))*1</f>
        <v>#VALUE!</v>
      </c>
      <c r="B9917" s="1">
        <v>6963598</v>
      </c>
      <c r="C9917" t="s">
        <v>10090</v>
      </c>
      <c r="D9917" t="s">
        <v>10091</v>
      </c>
      <c r="E9917" t="s">
        <v>8</v>
      </c>
    </row>
    <row r="9918" spans="1:5" hidden="1" outlineLevel="2">
      <c r="A9918" s="3" t="e">
        <f>(HYPERLINK("http://www.autodoc.ru/Web/price/art/8531AGN?analog=on","8531AGN"))*1</f>
        <v>#VALUE!</v>
      </c>
      <c r="B9918" s="1">
        <v>6963770</v>
      </c>
      <c r="C9918" t="s">
        <v>10090</v>
      </c>
      <c r="D9918" t="s">
        <v>10092</v>
      </c>
      <c r="E9918" t="s">
        <v>8</v>
      </c>
    </row>
    <row r="9919" spans="1:5" hidden="1" outlineLevel="2">
      <c r="A9919" s="3" t="e">
        <f>(HYPERLINK("http://www.autodoc.ru/Web/price/art/8531AGNGN?analog=on","8531AGNGN"))*1</f>
        <v>#VALUE!</v>
      </c>
      <c r="B9919" s="1">
        <v>6963771</v>
      </c>
      <c r="C9919" t="s">
        <v>10090</v>
      </c>
      <c r="D9919" t="s">
        <v>10093</v>
      </c>
      <c r="E9919" t="s">
        <v>8</v>
      </c>
    </row>
    <row r="9920" spans="1:5" hidden="1" outlineLevel="1">
      <c r="A9920" s="2">
        <v>0</v>
      </c>
      <c r="B9920" s="26" t="s">
        <v>10094</v>
      </c>
      <c r="C9920" s="27">
        <v>0</v>
      </c>
      <c r="D9920" s="27">
        <v>0</v>
      </c>
      <c r="E9920" s="27">
        <v>0</v>
      </c>
    </row>
    <row r="9921" spans="1:5" hidden="1" outlineLevel="2">
      <c r="A9921" s="3" t="e">
        <f>(HYPERLINK("http://www.autodoc.ru/Web/price/art/8548AGN?analog=on","8548AGN"))*1</f>
        <v>#VALUE!</v>
      </c>
      <c r="B9921" s="1">
        <v>6190666</v>
      </c>
      <c r="C9921" t="s">
        <v>522</v>
      </c>
      <c r="D9921" t="s">
        <v>10095</v>
      </c>
      <c r="E9921" t="s">
        <v>8</v>
      </c>
    </row>
    <row r="9922" spans="1:5" hidden="1" outlineLevel="2">
      <c r="A9922" s="3" t="e">
        <f>(HYPERLINK("http://www.autodoc.ru/Web/price/art/8548AGNBL?analog=on","8548AGNBL"))*1</f>
        <v>#VALUE!</v>
      </c>
      <c r="B9922" s="1">
        <v>6190667</v>
      </c>
      <c r="C9922" t="s">
        <v>10096</v>
      </c>
      <c r="D9922" t="s">
        <v>10097</v>
      </c>
      <c r="E9922" t="s">
        <v>8</v>
      </c>
    </row>
    <row r="9923" spans="1:5" hidden="1" outlineLevel="2">
      <c r="A9923" s="3" t="e">
        <f>(HYPERLINK("http://www.autodoc.ru/Web/price/art/8548AGNBLHV2P?analog=on","8548AGNBLHV2P"))*1</f>
        <v>#VALUE!</v>
      </c>
      <c r="B9923" s="1">
        <v>6190857</v>
      </c>
      <c r="C9923" t="s">
        <v>3984</v>
      </c>
      <c r="D9923" t="s">
        <v>10098</v>
      </c>
      <c r="E9923" t="s">
        <v>8</v>
      </c>
    </row>
    <row r="9924" spans="1:5" hidden="1" outlineLevel="2">
      <c r="A9924" s="3" t="e">
        <f>(HYPERLINK("http://www.autodoc.ru/Web/price/art/8548AGNGN?analog=on","8548AGNGN"))*1</f>
        <v>#VALUE!</v>
      </c>
      <c r="B9924" s="1">
        <v>6190142</v>
      </c>
      <c r="C9924" t="s">
        <v>522</v>
      </c>
      <c r="D9924" t="s">
        <v>10099</v>
      </c>
      <c r="E9924" t="s">
        <v>8</v>
      </c>
    </row>
    <row r="9925" spans="1:5" hidden="1" outlineLevel="2">
      <c r="A9925" s="3" t="e">
        <f>(HYPERLINK("http://www.autodoc.ru/Web/price/art/8548AGNHV1P?analog=on","8548AGNHV1P"))*1</f>
        <v>#VALUE!</v>
      </c>
      <c r="B9925" s="1">
        <v>6190670</v>
      </c>
      <c r="C9925" t="s">
        <v>10100</v>
      </c>
      <c r="D9925" t="s">
        <v>10101</v>
      </c>
      <c r="E9925" t="s">
        <v>8</v>
      </c>
    </row>
    <row r="9926" spans="1:5" hidden="1" outlineLevel="2">
      <c r="A9926" s="3" t="e">
        <f>(HYPERLINK("http://www.autodoc.ru/Web/price/art/8548AGNHV2P?analog=on","8548AGNHV2P"))*1</f>
        <v>#VALUE!</v>
      </c>
      <c r="B9926" s="1">
        <v>6190671</v>
      </c>
      <c r="C9926" t="s">
        <v>3984</v>
      </c>
      <c r="D9926" t="s">
        <v>10102</v>
      </c>
      <c r="E9926" t="s">
        <v>8</v>
      </c>
    </row>
    <row r="9927" spans="1:5" hidden="1" outlineLevel="2">
      <c r="A9927" s="3" t="e">
        <f>(HYPERLINK("http://www.autodoc.ru/Web/price/art/8548AGNV2P?analog=on","8548AGNV2P"))*1</f>
        <v>#VALUE!</v>
      </c>
      <c r="B9927" s="1">
        <v>6190748</v>
      </c>
      <c r="C9927" t="s">
        <v>3984</v>
      </c>
      <c r="D9927" t="s">
        <v>10103</v>
      </c>
      <c r="E9927" t="s">
        <v>8</v>
      </c>
    </row>
    <row r="9928" spans="1:5" hidden="1" outlineLevel="2">
      <c r="A9928" s="3" t="e">
        <f>(HYPERLINK("http://www.autodoc.ru/Web/price/art/8548AGSVW2P?analog=on","8548AGSVW2P"))*1</f>
        <v>#VALUE!</v>
      </c>
      <c r="B9928" s="1">
        <v>6190861</v>
      </c>
      <c r="C9928" t="s">
        <v>1137</v>
      </c>
      <c r="D9928" t="s">
        <v>10104</v>
      </c>
      <c r="E9928" t="s">
        <v>8</v>
      </c>
    </row>
    <row r="9929" spans="1:5" hidden="1" outlineLevel="2">
      <c r="A9929" s="3" t="e">
        <f>(HYPERLINK("http://www.autodoc.ru/Web/price/art/8548ASMVT?analog=on","8548ASMVT"))*1</f>
        <v>#VALUE!</v>
      </c>
      <c r="B9929" s="1">
        <v>6190780</v>
      </c>
      <c r="C9929" t="s">
        <v>19</v>
      </c>
      <c r="D9929" t="s">
        <v>10105</v>
      </c>
      <c r="E9929" t="s">
        <v>21</v>
      </c>
    </row>
    <row r="9930" spans="1:5" hidden="1" outlineLevel="2">
      <c r="A9930" s="3" t="e">
        <f>(HYPERLINK("http://www.autodoc.ru/Web/price/art/8548BGNV?analog=on","8548BGNV"))*1</f>
        <v>#VALUE!</v>
      </c>
      <c r="B9930" s="1">
        <v>6190673</v>
      </c>
      <c r="C9930" t="s">
        <v>10106</v>
      </c>
      <c r="D9930" t="s">
        <v>10107</v>
      </c>
      <c r="E9930" t="s">
        <v>23</v>
      </c>
    </row>
    <row r="9931" spans="1:5" hidden="1" outlineLevel="2">
      <c r="A9931" s="3" t="e">
        <f>(HYPERLINK("http://www.autodoc.ru/Web/price/art/8548BGNVB?analog=on","8548BGNVB"))*1</f>
        <v>#VALUE!</v>
      </c>
      <c r="B9931" s="1">
        <v>6190674</v>
      </c>
      <c r="C9931" t="s">
        <v>10106</v>
      </c>
      <c r="D9931" t="s">
        <v>10108</v>
      </c>
      <c r="E9931" t="s">
        <v>23</v>
      </c>
    </row>
    <row r="9932" spans="1:5" hidden="1" outlineLevel="2">
      <c r="A9932" s="3" t="e">
        <f>(HYPERLINK("http://www.autodoc.ru/Web/price/art/8548BSMV?analog=on","8548BSMV"))*1</f>
        <v>#VALUE!</v>
      </c>
      <c r="B9932" s="1">
        <v>6190781</v>
      </c>
      <c r="C9932" t="s">
        <v>19</v>
      </c>
      <c r="D9932" t="s">
        <v>10109</v>
      </c>
      <c r="E9932" t="s">
        <v>21</v>
      </c>
    </row>
    <row r="9933" spans="1:5" hidden="1" outlineLevel="2">
      <c r="A9933" s="3" t="e">
        <f>(HYPERLINK("http://www.autodoc.ru/Web/price/art/8548LGNV5FD?analog=on","8548LGNV5FD"))*1</f>
        <v>#VALUE!</v>
      </c>
      <c r="B9933" s="1">
        <v>6190675</v>
      </c>
      <c r="C9933" t="s">
        <v>10106</v>
      </c>
      <c r="D9933" t="s">
        <v>10110</v>
      </c>
      <c r="E9933" t="s">
        <v>10</v>
      </c>
    </row>
    <row r="9934" spans="1:5" hidden="1" outlineLevel="2">
      <c r="A9934" s="3" t="e">
        <f>(HYPERLINK("http://www.autodoc.ru/Web/price/art/8548LGNV5RD?analog=on","8548LGNV5RD"))*1</f>
        <v>#VALUE!</v>
      </c>
      <c r="B9934" s="1">
        <v>6190677</v>
      </c>
      <c r="C9934" t="s">
        <v>10106</v>
      </c>
      <c r="D9934" t="s">
        <v>10111</v>
      </c>
      <c r="E9934" t="s">
        <v>10</v>
      </c>
    </row>
    <row r="9935" spans="1:5" hidden="1" outlineLevel="2">
      <c r="A9935" s="3" t="e">
        <f>(HYPERLINK("http://www.autodoc.ru/Web/price/art/8548RGNV5FD?analog=on","8548RGNV5FD"))*1</f>
        <v>#VALUE!</v>
      </c>
      <c r="B9935" s="1">
        <v>6190678</v>
      </c>
      <c r="C9935" t="s">
        <v>10106</v>
      </c>
      <c r="D9935" t="s">
        <v>10112</v>
      </c>
      <c r="E9935" t="s">
        <v>10</v>
      </c>
    </row>
    <row r="9936" spans="1:5" hidden="1" outlineLevel="2">
      <c r="A9936" s="3" t="e">
        <f>(HYPERLINK("http://www.autodoc.ru/Web/price/art/8548RGNV5RD?analog=on","8548RGNV5RD"))*1</f>
        <v>#VALUE!</v>
      </c>
      <c r="B9936" s="1">
        <v>6980259</v>
      </c>
      <c r="C9936" t="s">
        <v>10106</v>
      </c>
      <c r="D9936" t="s">
        <v>10113</v>
      </c>
      <c r="E9936" t="s">
        <v>10</v>
      </c>
    </row>
    <row r="9937" spans="1:5" hidden="1" outlineLevel="1">
      <c r="A9937" s="2">
        <v>0</v>
      </c>
      <c r="B9937" s="26" t="s">
        <v>10114</v>
      </c>
      <c r="C9937" s="27">
        <v>0</v>
      </c>
      <c r="D9937" s="27">
        <v>0</v>
      </c>
      <c r="E9937" s="27">
        <v>0</v>
      </c>
    </row>
    <row r="9938" spans="1:5" hidden="1" outlineLevel="2">
      <c r="A9938" s="3" t="e">
        <f>(HYPERLINK("http://www.autodoc.ru/Web/price/art/8605AGACMVWZ1R?analog=on","8605AGACMVWZ1R"))*1</f>
        <v>#VALUE!</v>
      </c>
      <c r="B9938" s="1">
        <v>6965371</v>
      </c>
      <c r="C9938" t="s">
        <v>211</v>
      </c>
      <c r="D9938" t="s">
        <v>10115</v>
      </c>
      <c r="E9938" t="s">
        <v>8</v>
      </c>
    </row>
    <row r="9939" spans="1:5" hidden="1" outlineLevel="2">
      <c r="A9939" s="3" t="e">
        <f>(HYPERLINK("http://www.autodoc.ru/Web/price/art/8605AGSHMVWZ1B?analog=on","8605AGSHMVWZ1B"))*1</f>
        <v>#VALUE!</v>
      </c>
      <c r="B9939" s="1">
        <v>6965447</v>
      </c>
      <c r="C9939" t="s">
        <v>211</v>
      </c>
      <c r="D9939" t="s">
        <v>10116</v>
      </c>
      <c r="E9939" t="s">
        <v>8</v>
      </c>
    </row>
    <row r="9940" spans="1:5" hidden="1" outlineLevel="2">
      <c r="A9940" s="3" t="e">
        <f>(HYPERLINK("http://www.autodoc.ru/Web/price/art/8605AGSHVWZ?analog=on","8605AGSHVWZ"))*1</f>
        <v>#VALUE!</v>
      </c>
      <c r="B9940" s="1">
        <v>6965267</v>
      </c>
      <c r="C9940" t="s">
        <v>366</v>
      </c>
      <c r="D9940" t="s">
        <v>10117</v>
      </c>
      <c r="E9940" t="s">
        <v>8</v>
      </c>
    </row>
    <row r="9941" spans="1:5" hidden="1" outlineLevel="2">
      <c r="A9941" s="3" t="e">
        <f>(HYPERLINK("http://www.autodoc.ru/Web/price/art/8605AGAVWZ?analog=on","8605AGAVWZ"))*1</f>
        <v>#VALUE!</v>
      </c>
      <c r="B9941" s="1">
        <v>6965268</v>
      </c>
      <c r="C9941" t="s">
        <v>211</v>
      </c>
      <c r="D9941" t="s">
        <v>10118</v>
      </c>
      <c r="E9941" t="s">
        <v>8</v>
      </c>
    </row>
    <row r="9942" spans="1:5" hidden="1" outlineLevel="2">
      <c r="A9942" s="3" t="e">
        <f>(HYPERLINK("http://www.autodoc.ru/Web/price/art/8605AGSMVWZ1B?analog=on","8605AGSMVWZ1B"))*1</f>
        <v>#VALUE!</v>
      </c>
      <c r="B9942" s="1">
        <v>6965270</v>
      </c>
      <c r="C9942" t="s">
        <v>211</v>
      </c>
      <c r="D9942" t="s">
        <v>10119</v>
      </c>
      <c r="E9942" t="s">
        <v>8</v>
      </c>
    </row>
    <row r="9943" spans="1:5" hidden="1" outlineLevel="1">
      <c r="A9943" s="2">
        <v>0</v>
      </c>
      <c r="B9943" s="26" t="s">
        <v>10120</v>
      </c>
      <c r="C9943" s="27">
        <v>0</v>
      </c>
      <c r="D9943" s="27">
        <v>0</v>
      </c>
      <c r="E9943" s="27">
        <v>0</v>
      </c>
    </row>
    <row r="9944" spans="1:5" hidden="1" outlineLevel="2">
      <c r="A9944" s="3" t="e">
        <f>(HYPERLINK("http://www.autodoc.ru/Web/price/art/8536ACL?analog=on","8536ACL"))*1</f>
        <v>#VALUE!</v>
      </c>
      <c r="B9944" s="1">
        <v>6963774</v>
      </c>
      <c r="C9944" t="s">
        <v>19</v>
      </c>
      <c r="D9944" t="s">
        <v>10121</v>
      </c>
      <c r="E9944" t="s">
        <v>8</v>
      </c>
    </row>
    <row r="9945" spans="1:5" hidden="1" outlineLevel="2">
      <c r="A9945" s="3" t="e">
        <f>(HYPERLINK("http://www.autodoc.ru/Web/price/art/8536ASRP?analog=on","8536ASRP"))*1</f>
        <v>#VALUE!</v>
      </c>
      <c r="B9945" s="1">
        <v>6102389</v>
      </c>
      <c r="C9945" t="s">
        <v>19</v>
      </c>
      <c r="D9945" t="s">
        <v>10122</v>
      </c>
      <c r="E9945" t="s">
        <v>21</v>
      </c>
    </row>
    <row r="9946" spans="1:5" hidden="1" outlineLevel="1">
      <c r="A9946" s="2">
        <v>0</v>
      </c>
      <c r="B9946" s="26" t="s">
        <v>10123</v>
      </c>
      <c r="C9946" s="27">
        <v>0</v>
      </c>
      <c r="D9946" s="27">
        <v>0</v>
      </c>
      <c r="E9946" s="27">
        <v>0</v>
      </c>
    </row>
    <row r="9947" spans="1:5" hidden="1" outlineLevel="2">
      <c r="A9947" s="3" t="e">
        <f>(HYPERLINK("http://www.autodoc.ru/Web/price/art/8595AGSMVZ1P?analog=on","8595AGSMVZ1P"))*1</f>
        <v>#VALUE!</v>
      </c>
      <c r="B9947" s="1">
        <v>6962785</v>
      </c>
      <c r="C9947" t="s">
        <v>290</v>
      </c>
      <c r="D9947" t="s">
        <v>10124</v>
      </c>
      <c r="E9947" t="s">
        <v>8</v>
      </c>
    </row>
    <row r="9948" spans="1:5" hidden="1" outlineLevel="2">
      <c r="A9948" s="3" t="e">
        <f>(HYPERLINK("http://www.autodoc.ru/Web/price/art/8595AGSVZ?analog=on","8595AGSVZ"))*1</f>
        <v>#VALUE!</v>
      </c>
      <c r="B9948" s="1">
        <v>6962786</v>
      </c>
      <c r="C9948" t="s">
        <v>290</v>
      </c>
      <c r="D9948" t="s">
        <v>10125</v>
      </c>
      <c r="E9948" t="s">
        <v>8</v>
      </c>
    </row>
    <row r="9949" spans="1:5" hidden="1" outlineLevel="2">
      <c r="A9949" s="3" t="e">
        <f>(HYPERLINK("http://www.autodoc.ru/Web/price/art/8595BGSRAW?analog=on","8595BGSRAW"))*1</f>
        <v>#VALUE!</v>
      </c>
      <c r="B9949" s="1">
        <v>6900461</v>
      </c>
      <c r="C9949" t="s">
        <v>290</v>
      </c>
      <c r="D9949" t="s">
        <v>10126</v>
      </c>
      <c r="E9949" t="s">
        <v>23</v>
      </c>
    </row>
    <row r="9950" spans="1:5" hidden="1" outlineLevel="2">
      <c r="A9950" s="3" t="e">
        <f>(HYPERLINK("http://www.autodoc.ru/Web/price/art/8595LGDR5RVZ?analog=on","8595LGDR5RVZ"))*1</f>
        <v>#VALUE!</v>
      </c>
      <c r="B9950" s="1">
        <v>6993843</v>
      </c>
      <c r="C9950" t="s">
        <v>19</v>
      </c>
      <c r="D9950" t="s">
        <v>10127</v>
      </c>
      <c r="E9950" t="s">
        <v>10</v>
      </c>
    </row>
    <row r="9951" spans="1:5" hidden="1" outlineLevel="2">
      <c r="A9951" s="3" t="e">
        <f>(HYPERLINK("http://www.autodoc.ru/Web/price/art/8595LGSR5FD?analog=on","8595LGSR5FD"))*1</f>
        <v>#VALUE!</v>
      </c>
      <c r="B9951" s="1">
        <v>6900458</v>
      </c>
      <c r="C9951" t="s">
        <v>19</v>
      </c>
      <c r="D9951" t="s">
        <v>10128</v>
      </c>
      <c r="E9951" t="s">
        <v>10</v>
      </c>
    </row>
    <row r="9952" spans="1:5" hidden="1" outlineLevel="2">
      <c r="A9952" s="3" t="e">
        <f>(HYPERLINK("http://www.autodoc.ru/Web/price/art/8595LGSR5RDW?analog=on","8595LGSR5RDW"))*1</f>
        <v>#VALUE!</v>
      </c>
      <c r="B9952" s="1">
        <v>6900460</v>
      </c>
      <c r="C9952" t="s">
        <v>19</v>
      </c>
      <c r="D9952" t="s">
        <v>10129</v>
      </c>
      <c r="E9952" t="s">
        <v>10</v>
      </c>
    </row>
    <row r="9953" spans="1:5" hidden="1" outlineLevel="2">
      <c r="A9953" s="3" t="e">
        <f>(HYPERLINK("http://www.autodoc.ru/Web/price/art/8595LGSR5RVZ?analog=on","8595LGSR5RVZ"))*1</f>
        <v>#VALUE!</v>
      </c>
      <c r="B9953" s="1">
        <v>6993841</v>
      </c>
      <c r="C9953" t="s">
        <v>19</v>
      </c>
      <c r="D9953" t="s">
        <v>10130</v>
      </c>
      <c r="E9953" t="s">
        <v>10</v>
      </c>
    </row>
    <row r="9954" spans="1:5" hidden="1" outlineLevel="2">
      <c r="A9954" s="3" t="e">
        <f>(HYPERLINK("http://www.autodoc.ru/Web/price/art/8595RGDR5RVZ?analog=on","8595RGDR5RVZ"))*1</f>
        <v>#VALUE!</v>
      </c>
      <c r="B9954" s="1">
        <v>6993842</v>
      </c>
      <c r="C9954" t="s">
        <v>19</v>
      </c>
      <c r="D9954" t="s">
        <v>10131</v>
      </c>
      <c r="E9954" t="s">
        <v>10</v>
      </c>
    </row>
    <row r="9955" spans="1:5" hidden="1" outlineLevel="2">
      <c r="A9955" s="3" t="e">
        <f>(HYPERLINK("http://www.autodoc.ru/Web/price/art/8595RGSR5FD?analog=on","8595RGSR5FD"))*1</f>
        <v>#VALUE!</v>
      </c>
      <c r="B9955" s="1">
        <v>6900457</v>
      </c>
      <c r="C9955" t="s">
        <v>19</v>
      </c>
      <c r="D9955" t="s">
        <v>10132</v>
      </c>
      <c r="E9955" t="s">
        <v>10</v>
      </c>
    </row>
    <row r="9956" spans="1:5" hidden="1" outlineLevel="2">
      <c r="A9956" s="3" t="e">
        <f>(HYPERLINK("http://www.autodoc.ru/Web/price/art/8595RGSR5RDW?analog=on","8595RGSR5RDW"))*1</f>
        <v>#VALUE!</v>
      </c>
      <c r="B9956" s="1">
        <v>6900459</v>
      </c>
      <c r="C9956" t="s">
        <v>19</v>
      </c>
      <c r="D9956" t="s">
        <v>10133</v>
      </c>
      <c r="E9956" t="s">
        <v>10</v>
      </c>
    </row>
    <row r="9957" spans="1:5" hidden="1" outlineLevel="2">
      <c r="A9957" s="3" t="e">
        <f>(HYPERLINK("http://www.autodoc.ru/Web/price/art/8595RGSR5RVZ?analog=on","8595RGSR5RVZ"))*1</f>
        <v>#VALUE!</v>
      </c>
      <c r="B9957" s="1">
        <v>6993840</v>
      </c>
      <c r="C9957" t="s">
        <v>19</v>
      </c>
      <c r="D9957" t="s">
        <v>10134</v>
      </c>
      <c r="E9957" t="s">
        <v>10</v>
      </c>
    </row>
    <row r="9958" spans="1:5" hidden="1" outlineLevel="1">
      <c r="A9958" s="2">
        <v>0</v>
      </c>
      <c r="B9958" s="26" t="s">
        <v>10135</v>
      </c>
      <c r="C9958" s="27">
        <v>0</v>
      </c>
      <c r="D9958" s="27">
        <v>0</v>
      </c>
      <c r="E9958" s="27">
        <v>0</v>
      </c>
    </row>
    <row r="9959" spans="1:5" hidden="1" outlineLevel="2">
      <c r="A9959" s="3" t="e">
        <f>(HYPERLINK("http://www.autodoc.ru/Web/price/art/8577AGSGYZ?analog=on","8577AGSGYZ"))*1</f>
        <v>#VALUE!</v>
      </c>
      <c r="B9959" s="1">
        <v>6960993</v>
      </c>
      <c r="C9959" t="s">
        <v>670</v>
      </c>
      <c r="D9959" t="s">
        <v>10136</v>
      </c>
      <c r="E9959" t="s">
        <v>8</v>
      </c>
    </row>
    <row r="9960" spans="1:5" hidden="1" outlineLevel="2">
      <c r="A9960" s="3" t="e">
        <f>(HYPERLINK("http://www.autodoc.ru/Web/price/art/8577AGSGYVZ?analog=on","8577AGSGYVZ"))*1</f>
        <v>#VALUE!</v>
      </c>
      <c r="B9960" s="1">
        <v>6961267</v>
      </c>
      <c r="C9960" t="s">
        <v>670</v>
      </c>
      <c r="D9960" t="s">
        <v>10137</v>
      </c>
      <c r="E9960" t="s">
        <v>8</v>
      </c>
    </row>
    <row r="9961" spans="1:5" hidden="1" outlineLevel="2">
      <c r="A9961" s="3" t="e">
        <f>(HYPERLINK("http://www.autodoc.ru/Web/price/art/8577AGSGYVZ1P?analog=on","8577AGSGYVZ1P"))*1</f>
        <v>#VALUE!</v>
      </c>
      <c r="B9961" s="1">
        <v>6962878</v>
      </c>
      <c r="C9961" t="s">
        <v>670</v>
      </c>
      <c r="D9961" t="s">
        <v>10138</v>
      </c>
      <c r="E9961" t="s">
        <v>8</v>
      </c>
    </row>
    <row r="9962" spans="1:5" hidden="1" outlineLevel="2">
      <c r="A9962" s="3" t="e">
        <f>(HYPERLINK("http://www.autodoc.ru/Web/price/art/8577AGSMVZ1B?analog=on","8577AGSMVZ1B"))*1</f>
        <v>#VALUE!</v>
      </c>
      <c r="B9962" s="1">
        <v>6961773</v>
      </c>
      <c r="C9962" t="s">
        <v>670</v>
      </c>
      <c r="D9962" t="s">
        <v>10139</v>
      </c>
      <c r="E9962" t="s">
        <v>8</v>
      </c>
    </row>
    <row r="9963" spans="1:5" hidden="1" outlineLevel="2">
      <c r="A9963" s="3" t="e">
        <f>(HYPERLINK("http://www.autodoc.ru/Web/price/art/8577AGSMVZ6T?analog=on","8577AGSMVZ6T"))*1</f>
        <v>#VALUE!</v>
      </c>
      <c r="B9963" s="1">
        <v>6962729</v>
      </c>
      <c r="C9963" t="s">
        <v>670</v>
      </c>
      <c r="D9963" t="s">
        <v>10139</v>
      </c>
      <c r="E9963" t="s">
        <v>8</v>
      </c>
    </row>
    <row r="9964" spans="1:5" hidden="1" outlineLevel="2">
      <c r="A9964" s="3" t="e">
        <f>(HYPERLINK("http://www.autodoc.ru/Web/price/art/8577AGSMVZ6J?analog=on","8577AGSMVZ6J"))*1</f>
        <v>#VALUE!</v>
      </c>
      <c r="B9964" s="1">
        <v>6965230</v>
      </c>
      <c r="C9964" t="s">
        <v>211</v>
      </c>
      <c r="D9964" t="s">
        <v>10140</v>
      </c>
      <c r="E9964" t="s">
        <v>8</v>
      </c>
    </row>
    <row r="9965" spans="1:5" hidden="1" outlineLevel="2">
      <c r="A9965" s="3" t="e">
        <f>(HYPERLINK("http://www.autodoc.ru/Web/price/art/8577AGSVZ?analog=on","8577AGSVZ"))*1</f>
        <v>#VALUE!</v>
      </c>
      <c r="B9965" s="1">
        <v>6961268</v>
      </c>
      <c r="C9965" t="s">
        <v>670</v>
      </c>
      <c r="D9965" t="s">
        <v>10141</v>
      </c>
      <c r="E9965" t="s">
        <v>8</v>
      </c>
    </row>
    <row r="9966" spans="1:5" hidden="1" outlineLevel="2">
      <c r="A9966" s="3" t="e">
        <f>(HYPERLINK("http://www.autodoc.ru/Web/price/art/8577AGSVZ1P?analog=on","8577AGSVZ1P"))*1</f>
        <v>#VALUE!</v>
      </c>
      <c r="B9966" s="1">
        <v>6962752</v>
      </c>
      <c r="C9966" t="s">
        <v>670</v>
      </c>
      <c r="D9966" t="s">
        <v>10142</v>
      </c>
      <c r="E9966" t="s">
        <v>8</v>
      </c>
    </row>
    <row r="9967" spans="1:5" hidden="1" outlineLevel="2">
      <c r="A9967" s="3" t="e">
        <f>(HYPERLINK("http://www.autodoc.ru/Web/price/art/8577AGSZ?analog=on","8577AGSZ"))*1</f>
        <v>#VALUE!</v>
      </c>
      <c r="B9967" s="1">
        <v>6960992</v>
      </c>
      <c r="C9967" t="s">
        <v>670</v>
      </c>
      <c r="D9967" t="s">
        <v>10143</v>
      </c>
      <c r="E9967" t="s">
        <v>8</v>
      </c>
    </row>
    <row r="9968" spans="1:5" hidden="1" outlineLevel="2">
      <c r="A9968" s="3" t="e">
        <f>(HYPERLINK("http://www.autodoc.ru/Web/price/art/8577BGDVZ?analog=on","8577BGDVZ"))*1</f>
        <v>#VALUE!</v>
      </c>
      <c r="B9968" s="1">
        <v>6991655</v>
      </c>
      <c r="C9968" t="s">
        <v>670</v>
      </c>
      <c r="D9968" t="s">
        <v>10144</v>
      </c>
      <c r="E9968" t="s">
        <v>23</v>
      </c>
    </row>
    <row r="9969" spans="1:5" hidden="1" outlineLevel="2">
      <c r="A9969" s="3" t="e">
        <f>(HYPERLINK("http://www.autodoc.ru/Web/price/art/8577BGSVZ?analog=on","8577BGSVZ"))*1</f>
        <v>#VALUE!</v>
      </c>
      <c r="B9969" s="1">
        <v>6991633</v>
      </c>
      <c r="C9969" t="s">
        <v>670</v>
      </c>
      <c r="D9969" t="s">
        <v>10145</v>
      </c>
      <c r="E9969" t="s">
        <v>23</v>
      </c>
    </row>
    <row r="9970" spans="1:5" hidden="1" outlineLevel="2">
      <c r="A9970" s="3" t="e">
        <f>(HYPERLINK("http://www.autodoc.ru/Web/price/art/8577BYPVZ?analog=on","8577BYPVZ"))*1</f>
        <v>#VALUE!</v>
      </c>
      <c r="B9970" s="1">
        <v>6996066</v>
      </c>
      <c r="C9970" t="s">
        <v>670</v>
      </c>
      <c r="D9970" t="s">
        <v>10146</v>
      </c>
      <c r="E9970" t="s">
        <v>23</v>
      </c>
    </row>
    <row r="9971" spans="1:5" hidden="1" outlineLevel="2">
      <c r="A9971" s="3" t="e">
        <f>(HYPERLINK("http://www.autodoc.ru/Web/price/art/8577LGDV5RDW?analog=on","8577LGDV5RDW"))*1</f>
        <v>#VALUE!</v>
      </c>
      <c r="B9971" s="1">
        <v>6997460</v>
      </c>
      <c r="C9971" t="s">
        <v>670</v>
      </c>
      <c r="D9971" t="s">
        <v>10147</v>
      </c>
      <c r="E9971" t="s">
        <v>10</v>
      </c>
    </row>
    <row r="9972" spans="1:5" hidden="1" outlineLevel="2">
      <c r="A9972" s="3" t="e">
        <f>(HYPERLINK("http://www.autodoc.ru/Web/price/art/8577LGDV5RV?analog=on","8577LGDV5RV"))*1</f>
        <v>#VALUE!</v>
      </c>
      <c r="B9972" s="1">
        <v>6996294</v>
      </c>
      <c r="C9972" t="s">
        <v>670</v>
      </c>
      <c r="D9972" t="s">
        <v>10148</v>
      </c>
      <c r="E9972" t="s">
        <v>10</v>
      </c>
    </row>
    <row r="9973" spans="1:5" hidden="1" outlineLevel="2">
      <c r="A9973" s="3" t="e">
        <f>(HYPERLINK("http://www.autodoc.ru/Web/price/art/8577LGSV5FD?analog=on","8577LGSV5FD"))*1</f>
        <v>#VALUE!</v>
      </c>
      <c r="B9973" s="1">
        <v>6996124</v>
      </c>
      <c r="C9973" t="s">
        <v>670</v>
      </c>
      <c r="D9973" t="s">
        <v>10149</v>
      </c>
      <c r="E9973" t="s">
        <v>10</v>
      </c>
    </row>
    <row r="9974" spans="1:5" hidden="1" outlineLevel="2">
      <c r="A9974" s="3" t="e">
        <f>(HYPERLINK("http://www.autodoc.ru/Web/price/art/8577LGSV5RDW?analog=on","8577LGSV5RDW"))*1</f>
        <v>#VALUE!</v>
      </c>
      <c r="B9974" s="1">
        <v>6996292</v>
      </c>
      <c r="C9974" t="s">
        <v>670</v>
      </c>
      <c r="D9974" t="s">
        <v>10150</v>
      </c>
      <c r="E9974" t="s">
        <v>10</v>
      </c>
    </row>
    <row r="9975" spans="1:5" hidden="1" outlineLevel="2">
      <c r="A9975" s="3" t="e">
        <f>(HYPERLINK("http://www.autodoc.ru/Web/price/art/8577LGSV5RV?analog=on","8577LGSV5RV"))*1</f>
        <v>#VALUE!</v>
      </c>
      <c r="B9975" s="1">
        <v>6996296</v>
      </c>
      <c r="C9975" t="s">
        <v>670</v>
      </c>
      <c r="D9975" t="s">
        <v>10151</v>
      </c>
      <c r="E9975" t="s">
        <v>10</v>
      </c>
    </row>
    <row r="9976" spans="1:5" hidden="1" outlineLevel="2">
      <c r="A9976" s="3" t="e">
        <f>(HYPERLINK("http://www.autodoc.ru/Web/price/art/8577RGDV5RDW?analog=on","8577RGDV5RDW"))*1</f>
        <v>#VALUE!</v>
      </c>
      <c r="B9976" s="1">
        <v>6997465</v>
      </c>
      <c r="C9976" t="s">
        <v>670</v>
      </c>
      <c r="D9976" t="s">
        <v>10152</v>
      </c>
      <c r="E9976" t="s">
        <v>10</v>
      </c>
    </row>
    <row r="9977" spans="1:5" hidden="1" outlineLevel="2">
      <c r="A9977" s="3" t="e">
        <f>(HYPERLINK("http://www.autodoc.ru/Web/price/art/8577RGDV5RV?analog=on","8577RGDV5RV"))*1</f>
        <v>#VALUE!</v>
      </c>
      <c r="B9977" s="1">
        <v>6996295</v>
      </c>
      <c r="C9977" t="s">
        <v>670</v>
      </c>
      <c r="D9977" t="s">
        <v>10153</v>
      </c>
      <c r="E9977" t="s">
        <v>10</v>
      </c>
    </row>
    <row r="9978" spans="1:5" hidden="1" outlineLevel="2">
      <c r="A9978" s="3" t="e">
        <f>(HYPERLINK("http://www.autodoc.ru/Web/price/art/8577RGSV5FD?analog=on","8577RGSV5FD"))*1</f>
        <v>#VALUE!</v>
      </c>
      <c r="B9978" s="1">
        <v>6993898</v>
      </c>
      <c r="C9978" t="s">
        <v>670</v>
      </c>
      <c r="D9978" t="s">
        <v>10154</v>
      </c>
      <c r="E9978" t="s">
        <v>10</v>
      </c>
    </row>
    <row r="9979" spans="1:5" hidden="1" outlineLevel="2">
      <c r="A9979" s="3" t="e">
        <f>(HYPERLINK("http://www.autodoc.ru/Web/price/art/8577RGSV5RDW?analog=on","8577RGSV5RDW"))*1</f>
        <v>#VALUE!</v>
      </c>
      <c r="B9979" s="1">
        <v>6996293</v>
      </c>
      <c r="C9979" t="s">
        <v>670</v>
      </c>
      <c r="D9979" t="s">
        <v>10155</v>
      </c>
      <c r="E9979" t="s">
        <v>10</v>
      </c>
    </row>
    <row r="9980" spans="1:5" hidden="1" outlineLevel="2">
      <c r="A9980" s="3" t="e">
        <f>(HYPERLINK("http://www.autodoc.ru/Web/price/art/8577RGSV5RV?analog=on","8577RGSV5RV"))*1</f>
        <v>#VALUE!</v>
      </c>
      <c r="B9980" s="1">
        <v>6996297</v>
      </c>
      <c r="C9980" t="s">
        <v>670</v>
      </c>
      <c r="D9980" t="s">
        <v>10156</v>
      </c>
      <c r="E9980" t="s">
        <v>10</v>
      </c>
    </row>
    <row r="9981" spans="1:5" hidden="1" outlineLevel="1">
      <c r="A9981" s="2">
        <v>0</v>
      </c>
      <c r="B9981" s="26" t="s">
        <v>10157</v>
      </c>
      <c r="C9981" s="27">
        <v>0</v>
      </c>
      <c r="D9981" s="27">
        <v>0</v>
      </c>
      <c r="E9981" s="27">
        <v>0</v>
      </c>
    </row>
    <row r="9982" spans="1:5" hidden="1" outlineLevel="2">
      <c r="A9982" s="3" t="e">
        <f>(HYPERLINK("http://www.autodoc.ru/Web/price/art/8527ACL?analog=on","8527ACL"))*1</f>
        <v>#VALUE!</v>
      </c>
      <c r="B9982" s="1">
        <v>6967501</v>
      </c>
      <c r="C9982" t="s">
        <v>5076</v>
      </c>
      <c r="D9982" t="s">
        <v>10158</v>
      </c>
      <c r="E9982" t="s">
        <v>8</v>
      </c>
    </row>
    <row r="9983" spans="1:5" hidden="1" outlineLevel="2">
      <c r="A9983" s="3" t="e">
        <f>(HYPERLINK("http://www.autodoc.ru/Web/price/art/8527AGN?analog=on","8527AGN"))*1</f>
        <v>#VALUE!</v>
      </c>
      <c r="B9983" s="1">
        <v>6967502</v>
      </c>
      <c r="C9983" t="s">
        <v>5076</v>
      </c>
      <c r="D9983" t="s">
        <v>10159</v>
      </c>
      <c r="E9983" t="s">
        <v>8</v>
      </c>
    </row>
    <row r="9984" spans="1:5" hidden="1" outlineLevel="2">
      <c r="A9984" s="3" t="e">
        <f>(HYPERLINK("http://www.autodoc.ru/Web/price/art/8527AGNA?analog=on","8527AGNA"))*1</f>
        <v>#VALUE!</v>
      </c>
      <c r="B9984" s="1">
        <v>6963712</v>
      </c>
      <c r="C9984" t="s">
        <v>5076</v>
      </c>
      <c r="D9984" t="s">
        <v>10160</v>
      </c>
      <c r="E9984" t="s">
        <v>8</v>
      </c>
    </row>
    <row r="9985" spans="1:5" hidden="1" outlineLevel="2">
      <c r="A9985" s="3" t="e">
        <f>(HYPERLINK("http://www.autodoc.ru/Web/price/art/8527AGNBL?analog=on","8527AGNBL"))*1</f>
        <v>#VALUE!</v>
      </c>
      <c r="B9985" s="1">
        <v>6967503</v>
      </c>
      <c r="C9985" t="s">
        <v>5076</v>
      </c>
      <c r="D9985" t="s">
        <v>10161</v>
      </c>
      <c r="E9985" t="s">
        <v>8</v>
      </c>
    </row>
    <row r="9986" spans="1:5" hidden="1" outlineLevel="2">
      <c r="A9986" s="3" t="e">
        <f>(HYPERLINK("http://www.autodoc.ru/Web/price/art/8527AGNGN?analog=on","8527AGNGN"))*1</f>
        <v>#VALUE!</v>
      </c>
      <c r="B9986" s="1">
        <v>6967504</v>
      </c>
      <c r="C9986" t="s">
        <v>5076</v>
      </c>
      <c r="D9986" t="s">
        <v>10162</v>
      </c>
      <c r="E9986" t="s">
        <v>8</v>
      </c>
    </row>
    <row r="9987" spans="1:5" hidden="1" outlineLevel="2">
      <c r="A9987" s="3" t="e">
        <f>(HYPERLINK("http://www.autodoc.ru/Web/price/art/8527ASRV?analog=on","8527ASRV"))*1</f>
        <v>#VALUE!</v>
      </c>
      <c r="B9987" s="1">
        <v>6100231</v>
      </c>
      <c r="C9987" t="s">
        <v>19</v>
      </c>
      <c r="D9987" t="s">
        <v>10163</v>
      </c>
      <c r="E9987" t="s">
        <v>21</v>
      </c>
    </row>
    <row r="9988" spans="1:5" hidden="1" outlineLevel="2">
      <c r="A9988" s="3" t="e">
        <f>(HYPERLINK("http://www.autodoc.ru/Web/price/art/8527BCLV?analog=on","8527BCLV"))*1</f>
        <v>#VALUE!</v>
      </c>
      <c r="B9988" s="1">
        <v>6998984</v>
      </c>
      <c r="C9988" t="s">
        <v>5076</v>
      </c>
      <c r="D9988" t="s">
        <v>10164</v>
      </c>
      <c r="E9988" t="s">
        <v>23</v>
      </c>
    </row>
    <row r="9989" spans="1:5" hidden="1" outlineLevel="2">
      <c r="A9989" s="3" t="e">
        <f>(HYPERLINK("http://www.autodoc.ru/Web/price/art/8527BSRV?analog=on","8527BSRV"))*1</f>
        <v>#VALUE!</v>
      </c>
      <c r="B9989" s="1">
        <v>6101176</v>
      </c>
      <c r="C9989" t="s">
        <v>19</v>
      </c>
      <c r="D9989" t="s">
        <v>10165</v>
      </c>
      <c r="E9989" t="s">
        <v>21</v>
      </c>
    </row>
    <row r="9990" spans="1:5" hidden="1" outlineLevel="2">
      <c r="A9990" s="3" t="e">
        <f>(HYPERLINK("http://www.autodoc.ru/Web/price/art/8527LCLV2FD?analog=on","8527LCLV2FD"))*1</f>
        <v>#VALUE!</v>
      </c>
      <c r="B9990" s="1">
        <v>6996907</v>
      </c>
      <c r="C9990" t="s">
        <v>5076</v>
      </c>
      <c r="D9990" t="s">
        <v>10166</v>
      </c>
      <c r="E9990" t="s">
        <v>10</v>
      </c>
    </row>
    <row r="9991" spans="1:5" hidden="1" outlineLevel="2">
      <c r="A9991" s="3" t="e">
        <f>(HYPERLINK("http://www.autodoc.ru/Web/price/art/8527LCLV2FV?analog=on","8527LCLV2FV"))*1</f>
        <v>#VALUE!</v>
      </c>
      <c r="B9991" s="1">
        <v>6996908</v>
      </c>
      <c r="C9991" t="s">
        <v>5076</v>
      </c>
      <c r="D9991" t="s">
        <v>10167</v>
      </c>
      <c r="E9991" t="s">
        <v>10</v>
      </c>
    </row>
    <row r="9992" spans="1:5" hidden="1" outlineLevel="2">
      <c r="A9992" s="3" t="e">
        <f>(HYPERLINK("http://www.autodoc.ru/Web/price/art/8527RCLV2FD?analog=on","8527RCLV2FD"))*1</f>
        <v>#VALUE!</v>
      </c>
      <c r="B9992" s="1">
        <v>6996909</v>
      </c>
      <c r="C9992" t="s">
        <v>5076</v>
      </c>
      <c r="D9992" t="s">
        <v>10168</v>
      </c>
      <c r="E9992" t="s">
        <v>10</v>
      </c>
    </row>
    <row r="9993" spans="1:5" hidden="1" outlineLevel="2">
      <c r="A9993" s="3" t="e">
        <f>(HYPERLINK("http://www.autodoc.ru/Web/price/art/8527RCLV2FV?analog=on","8527RCLV2FV"))*1</f>
        <v>#VALUE!</v>
      </c>
      <c r="B9993" s="1">
        <v>6996910</v>
      </c>
      <c r="C9993" t="s">
        <v>5076</v>
      </c>
      <c r="D9993" t="s">
        <v>10169</v>
      </c>
      <c r="E9993" t="s">
        <v>10</v>
      </c>
    </row>
    <row r="9994" spans="1:5" hidden="1" outlineLevel="1">
      <c r="A9994" s="2">
        <v>0</v>
      </c>
      <c r="B9994" s="26" t="s">
        <v>10170</v>
      </c>
      <c r="C9994" s="27">
        <v>0</v>
      </c>
      <c r="D9994" s="27">
        <v>0</v>
      </c>
      <c r="E9994" s="27">
        <v>0</v>
      </c>
    </row>
    <row r="9995" spans="1:5" hidden="1" outlineLevel="2">
      <c r="A9995" s="3" t="e">
        <f>(HYPERLINK("http://www.autodoc.ru/Web/price/art/8537ACL?analog=on","8537ACL"))*1</f>
        <v>#VALUE!</v>
      </c>
      <c r="B9995" s="1">
        <v>6967505</v>
      </c>
      <c r="C9995" t="s">
        <v>10171</v>
      </c>
      <c r="D9995" t="s">
        <v>10172</v>
      </c>
      <c r="E9995" t="s">
        <v>8</v>
      </c>
    </row>
    <row r="9996" spans="1:5" hidden="1" outlineLevel="2">
      <c r="A9996" s="3" t="e">
        <f>(HYPERLINK("http://www.autodoc.ru/Web/price/art/8537ACL1B?analog=on","8537ACL1B"))*1</f>
        <v>#VALUE!</v>
      </c>
      <c r="B9996" s="1">
        <v>6961626</v>
      </c>
      <c r="C9996" t="s">
        <v>250</v>
      </c>
      <c r="D9996" t="s">
        <v>10173</v>
      </c>
      <c r="E9996" t="s">
        <v>8</v>
      </c>
    </row>
    <row r="9997" spans="1:5" hidden="1" outlineLevel="2">
      <c r="A9997" s="3" t="e">
        <f>(HYPERLINK("http://www.autodoc.ru/Web/price/art/8537ACLA1B?analog=on","8537ACLA1B"))*1</f>
        <v>#VALUE!</v>
      </c>
      <c r="B9997" s="1">
        <v>6963715</v>
      </c>
      <c r="C9997" t="s">
        <v>10171</v>
      </c>
      <c r="D9997" t="s">
        <v>10174</v>
      </c>
      <c r="E9997" t="s">
        <v>8</v>
      </c>
    </row>
    <row r="9998" spans="1:5" hidden="1" outlineLevel="2">
      <c r="A9998" s="3" t="e">
        <f>(HYPERLINK("http://www.autodoc.ru/Web/price/art/8537ACLGY1B?analog=on","8537ACLGY1B"))*1</f>
        <v>#VALUE!</v>
      </c>
      <c r="B9998" s="1">
        <v>6961651</v>
      </c>
      <c r="C9998" t="s">
        <v>250</v>
      </c>
      <c r="D9998" t="s">
        <v>10175</v>
      </c>
      <c r="E9998" t="s">
        <v>8</v>
      </c>
    </row>
    <row r="9999" spans="1:5" hidden="1" outlineLevel="2">
      <c r="A9999" s="3" t="e">
        <f>(HYPERLINK("http://www.autodoc.ru/Web/price/art/8537ACLGYA1B?analog=on","8537ACLGYA1B"))*1</f>
        <v>#VALUE!</v>
      </c>
      <c r="B9999" s="1">
        <v>6961710</v>
      </c>
      <c r="C9999" t="s">
        <v>250</v>
      </c>
      <c r="D9999" t="s">
        <v>10176</v>
      </c>
      <c r="E9999" t="s">
        <v>8</v>
      </c>
    </row>
    <row r="10000" spans="1:5" hidden="1" outlineLevel="2">
      <c r="A10000" s="3" t="e">
        <f>(HYPERLINK("http://www.autodoc.ru/Web/price/art/8537AGN?analog=on","8537AGN"))*1</f>
        <v>#VALUE!</v>
      </c>
      <c r="B10000" s="1">
        <v>6967506</v>
      </c>
      <c r="C10000" t="s">
        <v>10171</v>
      </c>
      <c r="D10000" t="s">
        <v>10177</v>
      </c>
      <c r="E10000" t="s">
        <v>8</v>
      </c>
    </row>
    <row r="10001" spans="1:5" hidden="1" outlineLevel="2">
      <c r="A10001" s="3" t="e">
        <f>(HYPERLINK("http://www.autodoc.ru/Web/price/art/8537AGN1B?analog=on","8537AGN1B"))*1</f>
        <v>#VALUE!</v>
      </c>
      <c r="B10001" s="1">
        <v>6961627</v>
      </c>
      <c r="C10001" t="s">
        <v>250</v>
      </c>
      <c r="D10001" t="s">
        <v>10178</v>
      </c>
      <c r="E10001" t="s">
        <v>8</v>
      </c>
    </row>
    <row r="10002" spans="1:5" hidden="1" outlineLevel="2">
      <c r="A10002" s="3" t="e">
        <f>(HYPERLINK("http://www.autodoc.ru/Web/price/art/8537AGNA1B?analog=on","8537AGNA1B"))*1</f>
        <v>#VALUE!</v>
      </c>
      <c r="B10002" s="1">
        <v>6963716</v>
      </c>
      <c r="C10002" t="s">
        <v>10171</v>
      </c>
      <c r="D10002" t="s">
        <v>10179</v>
      </c>
      <c r="E10002" t="s">
        <v>8</v>
      </c>
    </row>
    <row r="10003" spans="1:5" hidden="1" outlineLevel="2">
      <c r="A10003" s="3" t="e">
        <f>(HYPERLINK("http://www.autodoc.ru/Web/price/art/8537AGNBL?analog=on","8537AGNBL"))*1</f>
        <v>#VALUE!</v>
      </c>
      <c r="B10003" s="1">
        <v>6967508</v>
      </c>
      <c r="C10003" t="s">
        <v>10171</v>
      </c>
      <c r="D10003" t="s">
        <v>10180</v>
      </c>
      <c r="E10003" t="s">
        <v>8</v>
      </c>
    </row>
    <row r="10004" spans="1:5" hidden="1" outlineLevel="2">
      <c r="A10004" s="3" t="e">
        <f>(HYPERLINK("http://www.autodoc.ru/Web/price/art/8537AGNBL1B?analog=on","8537AGNBL1B"))*1</f>
        <v>#VALUE!</v>
      </c>
      <c r="B10004" s="1">
        <v>6961629</v>
      </c>
      <c r="C10004" t="s">
        <v>250</v>
      </c>
      <c r="D10004" t="s">
        <v>10181</v>
      </c>
      <c r="E10004" t="s">
        <v>8</v>
      </c>
    </row>
    <row r="10005" spans="1:5" hidden="1" outlineLevel="2">
      <c r="A10005" s="3" t="e">
        <f>(HYPERLINK("http://www.autodoc.ru/Web/price/art/8537AGNBLA1B?analog=on","8537AGNBLA1B"))*1</f>
        <v>#VALUE!</v>
      </c>
      <c r="B10005" s="1">
        <v>6963717</v>
      </c>
      <c r="C10005" t="s">
        <v>10171</v>
      </c>
      <c r="D10005" t="s">
        <v>10182</v>
      </c>
      <c r="E10005" t="s">
        <v>8</v>
      </c>
    </row>
    <row r="10006" spans="1:5" hidden="1" outlineLevel="2">
      <c r="A10006" s="3" t="e">
        <f>(HYPERLINK("http://www.autodoc.ru/Web/price/art/8537AGNGN?analog=on","8537AGNGN"))*1</f>
        <v>#VALUE!</v>
      </c>
      <c r="B10006" s="1">
        <v>6967507</v>
      </c>
      <c r="C10006" t="s">
        <v>10171</v>
      </c>
      <c r="D10006" t="s">
        <v>10183</v>
      </c>
      <c r="E10006" t="s">
        <v>8</v>
      </c>
    </row>
    <row r="10007" spans="1:5" hidden="1" outlineLevel="2">
      <c r="A10007" s="3" t="e">
        <f>(HYPERLINK("http://www.autodoc.ru/Web/price/art/8537AGNGN1B?analog=on","8537AGNGN1B"))*1</f>
        <v>#VALUE!</v>
      </c>
      <c r="B10007" s="1">
        <v>6961628</v>
      </c>
      <c r="C10007" t="s">
        <v>250</v>
      </c>
      <c r="D10007" t="s">
        <v>10184</v>
      </c>
      <c r="E10007" t="s">
        <v>8</v>
      </c>
    </row>
    <row r="10008" spans="1:5" hidden="1" outlineLevel="2">
      <c r="A10008" s="3" t="e">
        <f>(HYPERLINK("http://www.autodoc.ru/Web/price/art/8537AGNGNA1B?analog=on","8537AGNGNA1B"))*1</f>
        <v>#VALUE!</v>
      </c>
      <c r="B10008" s="1">
        <v>6963718</v>
      </c>
      <c r="C10008" t="s">
        <v>10171</v>
      </c>
      <c r="D10008" t="s">
        <v>10185</v>
      </c>
      <c r="E10008" t="s">
        <v>8</v>
      </c>
    </row>
    <row r="10009" spans="1:5" hidden="1" outlineLevel="2">
      <c r="A10009" s="3" t="e">
        <f>(HYPERLINK("http://www.autodoc.ru/Web/price/art/8537AGNGY1B?analog=on","8537AGNGY1B"))*1</f>
        <v>#VALUE!</v>
      </c>
      <c r="B10009" s="1">
        <v>6960756</v>
      </c>
      <c r="C10009" t="s">
        <v>250</v>
      </c>
      <c r="D10009" t="s">
        <v>10186</v>
      </c>
      <c r="E10009" t="s">
        <v>8</v>
      </c>
    </row>
    <row r="10010" spans="1:5" hidden="1" outlineLevel="2">
      <c r="A10010" s="3" t="e">
        <f>(HYPERLINK("http://www.autodoc.ru/Web/price/art/8537AGNGYA1B?analog=on","8537AGNGYA1B"))*1</f>
        <v>#VALUE!</v>
      </c>
      <c r="B10010" s="1">
        <v>6960755</v>
      </c>
      <c r="C10010" t="s">
        <v>10171</v>
      </c>
      <c r="D10010" t="s">
        <v>10187</v>
      </c>
      <c r="E10010" t="s">
        <v>8</v>
      </c>
    </row>
    <row r="10011" spans="1:5" hidden="1" outlineLevel="2">
      <c r="A10011" s="3" t="e">
        <f>(HYPERLINK("http://www.autodoc.ru/Web/price/art/8537ASMV?analog=on","8537ASMV"))*1</f>
        <v>#VALUE!</v>
      </c>
      <c r="B10011" s="1">
        <v>6100238</v>
      </c>
      <c r="C10011" t="s">
        <v>19</v>
      </c>
      <c r="D10011" t="s">
        <v>10188</v>
      </c>
      <c r="E10011" t="s">
        <v>21</v>
      </c>
    </row>
    <row r="10012" spans="1:5" hidden="1" outlineLevel="2">
      <c r="A10012" s="3" t="e">
        <f>(HYPERLINK("http://www.autodoc.ru/Web/price/art/8537BCLP?analog=on","8537BCLP"))*1</f>
        <v>#VALUE!</v>
      </c>
      <c r="B10012" s="1">
        <v>6998014</v>
      </c>
      <c r="C10012" t="s">
        <v>10171</v>
      </c>
      <c r="D10012" t="s">
        <v>10189</v>
      </c>
      <c r="E10012" t="s">
        <v>23</v>
      </c>
    </row>
    <row r="10013" spans="1:5" hidden="1" outlineLevel="2">
      <c r="A10013" s="3" t="e">
        <f>(HYPERLINK("http://www.autodoc.ru/Web/price/art/8537BCLV?analog=on","8537BCLV"))*1</f>
        <v>#VALUE!</v>
      </c>
      <c r="B10013" s="1">
        <v>6998678</v>
      </c>
      <c r="C10013" t="s">
        <v>10171</v>
      </c>
      <c r="D10013" t="s">
        <v>10190</v>
      </c>
      <c r="E10013" t="s">
        <v>23</v>
      </c>
    </row>
    <row r="10014" spans="1:5" hidden="1" outlineLevel="2">
      <c r="A10014" s="3" t="e">
        <f>(HYPERLINK("http://www.autodoc.ru/Web/price/art/8537BCLVBL?analog=on","8537BCLVBL"))*1</f>
        <v>#VALUE!</v>
      </c>
      <c r="B10014" s="1">
        <v>6993913</v>
      </c>
      <c r="C10014" t="s">
        <v>10171</v>
      </c>
      <c r="D10014" t="s">
        <v>10191</v>
      </c>
      <c r="E10014" t="s">
        <v>23</v>
      </c>
    </row>
    <row r="10015" spans="1:5" hidden="1" outlineLevel="2">
      <c r="A10015" s="3" t="e">
        <f>(HYPERLINK("http://www.autodoc.ru/Web/price/art/8537BCLVL?analog=on","8537BCLVL"))*1</f>
        <v>#VALUE!</v>
      </c>
      <c r="B10015" s="1">
        <v>6993914</v>
      </c>
      <c r="C10015" t="s">
        <v>10171</v>
      </c>
      <c r="D10015" t="s">
        <v>10192</v>
      </c>
      <c r="E10015" t="s">
        <v>23</v>
      </c>
    </row>
    <row r="10016" spans="1:5" hidden="1" outlineLevel="2">
      <c r="A10016" s="3" t="e">
        <f>(HYPERLINK("http://www.autodoc.ru/Web/price/art/8537BCLVL1J?analog=on","8537BCLVL1J"))*1</f>
        <v>#VALUE!</v>
      </c>
      <c r="B10016" s="1">
        <v>6991693</v>
      </c>
      <c r="C10016" t="s">
        <v>10171</v>
      </c>
      <c r="D10016" t="s">
        <v>10193</v>
      </c>
      <c r="E10016" t="s">
        <v>23</v>
      </c>
    </row>
    <row r="10017" spans="1:5" hidden="1" outlineLevel="2">
      <c r="A10017" s="3" t="e">
        <f>(HYPERLINK("http://www.autodoc.ru/Web/price/art/8537BCLVLU?analog=on","8537BCLVLU"))*1</f>
        <v>#VALUE!</v>
      </c>
      <c r="B10017" s="1">
        <v>6998068</v>
      </c>
      <c r="C10017" t="s">
        <v>10171</v>
      </c>
      <c r="D10017" t="s">
        <v>10192</v>
      </c>
      <c r="E10017" t="s">
        <v>23</v>
      </c>
    </row>
    <row r="10018" spans="1:5" hidden="1" outlineLevel="2">
      <c r="A10018" s="3" t="e">
        <f>(HYPERLINK("http://www.autodoc.ru/Web/price/art/8537BCLVR?analog=on","8537BCLVR"))*1</f>
        <v>#VALUE!</v>
      </c>
      <c r="B10018" s="1">
        <v>6998540</v>
      </c>
      <c r="C10018" t="s">
        <v>10171</v>
      </c>
      <c r="D10018" t="s">
        <v>10194</v>
      </c>
      <c r="E10018" t="s">
        <v>23</v>
      </c>
    </row>
    <row r="10019" spans="1:5" hidden="1" outlineLevel="2">
      <c r="A10019" s="3" t="e">
        <f>(HYPERLINK("http://www.autodoc.ru/Web/price/art/8537BCLVR1J?analog=on","8537BCLVR1J"))*1</f>
        <v>#VALUE!</v>
      </c>
      <c r="B10019" s="1">
        <v>6991696</v>
      </c>
      <c r="C10019" t="s">
        <v>10171</v>
      </c>
      <c r="D10019" t="s">
        <v>10195</v>
      </c>
      <c r="E10019" t="s">
        <v>23</v>
      </c>
    </row>
    <row r="10020" spans="1:5" hidden="1" outlineLevel="2">
      <c r="A10020" s="3" t="e">
        <f>(HYPERLINK("http://www.autodoc.ru/Web/price/art/8537BCLVRU?analog=on","8537BCLVRU"))*1</f>
        <v>#VALUE!</v>
      </c>
      <c r="B10020" s="1">
        <v>6998069</v>
      </c>
      <c r="C10020" t="s">
        <v>10171</v>
      </c>
      <c r="D10020" t="s">
        <v>10196</v>
      </c>
      <c r="E10020" t="s">
        <v>23</v>
      </c>
    </row>
    <row r="10021" spans="1:5" hidden="1" outlineLevel="2">
      <c r="A10021" s="3" t="e">
        <f>(HYPERLINK("http://www.autodoc.ru/Web/price/art/8537BCLVU?analog=on","8537BCLVU"))*1</f>
        <v>#VALUE!</v>
      </c>
      <c r="B10021" s="1">
        <v>6990714</v>
      </c>
      <c r="C10021" t="s">
        <v>10171</v>
      </c>
      <c r="D10021" t="s">
        <v>10197</v>
      </c>
      <c r="E10021" t="s">
        <v>23</v>
      </c>
    </row>
    <row r="10022" spans="1:5" hidden="1" outlineLevel="2">
      <c r="A10022" s="3" t="e">
        <f>(HYPERLINK("http://www.autodoc.ru/Web/price/art/8537BGNV?analog=on","8537BGNV"))*1</f>
        <v>#VALUE!</v>
      </c>
      <c r="B10022" s="1">
        <v>6998875</v>
      </c>
      <c r="C10022" t="s">
        <v>10171</v>
      </c>
      <c r="D10022" t="s">
        <v>10198</v>
      </c>
      <c r="E10022" t="s">
        <v>23</v>
      </c>
    </row>
    <row r="10023" spans="1:5" hidden="1" outlineLevel="2">
      <c r="A10023" s="3" t="e">
        <f>(HYPERLINK("http://www.autodoc.ru/Web/price/art/8537BGNVBL?analog=on","8537BGNVBL"))*1</f>
        <v>#VALUE!</v>
      </c>
      <c r="B10023" s="1">
        <v>6993916</v>
      </c>
      <c r="C10023" t="s">
        <v>10171</v>
      </c>
      <c r="D10023" t="s">
        <v>10199</v>
      </c>
      <c r="E10023" t="s">
        <v>23</v>
      </c>
    </row>
    <row r="10024" spans="1:5" hidden="1" outlineLevel="2">
      <c r="A10024" s="3" t="e">
        <f>(HYPERLINK("http://www.autodoc.ru/Web/price/art/8537BGNVL?analog=on","8537BGNVL"))*1</f>
        <v>#VALUE!</v>
      </c>
      <c r="B10024" s="1">
        <v>6998015</v>
      </c>
      <c r="C10024" t="s">
        <v>10171</v>
      </c>
      <c r="D10024" t="s">
        <v>10200</v>
      </c>
      <c r="E10024" t="s">
        <v>23</v>
      </c>
    </row>
    <row r="10025" spans="1:5" hidden="1" outlineLevel="2">
      <c r="A10025" s="3" t="e">
        <f>(HYPERLINK("http://www.autodoc.ru/Web/price/art/8537BGNVR?analog=on","8537BGNVR"))*1</f>
        <v>#VALUE!</v>
      </c>
      <c r="B10025" s="1">
        <v>6998070</v>
      </c>
      <c r="C10025" t="s">
        <v>10171</v>
      </c>
      <c r="D10025" t="s">
        <v>10201</v>
      </c>
      <c r="E10025" t="s">
        <v>23</v>
      </c>
    </row>
    <row r="10026" spans="1:5" hidden="1" outlineLevel="2">
      <c r="A10026" s="3" t="e">
        <f>(HYPERLINK("http://www.autodoc.ru/Web/price/art/8537BSMV?analog=on","8537BSMV"))*1</f>
        <v>#VALUE!</v>
      </c>
      <c r="B10026" s="1">
        <v>6101270</v>
      </c>
      <c r="C10026" t="s">
        <v>19</v>
      </c>
      <c r="D10026" t="s">
        <v>10202</v>
      </c>
      <c r="E10026" t="s">
        <v>21</v>
      </c>
    </row>
    <row r="10027" spans="1:5" hidden="1" outlineLevel="2">
      <c r="A10027" s="3" t="e">
        <f>(HYPERLINK("http://www.autodoc.ru/Web/price/art/8537FCLV3MQ?analog=on","8537FCLV3MQ"))*1</f>
        <v>#VALUE!</v>
      </c>
      <c r="B10027" s="1">
        <v>6998542</v>
      </c>
      <c r="C10027" t="s">
        <v>10171</v>
      </c>
      <c r="D10027" t="s">
        <v>10203</v>
      </c>
      <c r="E10027" t="s">
        <v>10</v>
      </c>
    </row>
    <row r="10028" spans="1:5" hidden="1" outlineLevel="2">
      <c r="A10028" s="3" t="e">
        <f>(HYPERLINK("http://www.autodoc.ru/Web/price/art/8537FCLV3MQ1B?analog=on","8537FCLV3MQ1B"))*1</f>
        <v>#VALUE!</v>
      </c>
      <c r="B10028" s="1">
        <v>6993917</v>
      </c>
      <c r="C10028" t="s">
        <v>10171</v>
      </c>
      <c r="D10028" t="s">
        <v>10204</v>
      </c>
      <c r="E10028" t="s">
        <v>10</v>
      </c>
    </row>
    <row r="10029" spans="1:5" hidden="1" outlineLevel="2">
      <c r="A10029" s="3" t="e">
        <f>(HYPERLINK("http://www.autodoc.ru/Web/price/art/8537FGNV3MQ?analog=on","8537FGNV3MQ"))*1</f>
        <v>#VALUE!</v>
      </c>
      <c r="B10029" s="1">
        <v>6993918</v>
      </c>
      <c r="C10029" t="s">
        <v>10171</v>
      </c>
      <c r="D10029" t="s">
        <v>10205</v>
      </c>
      <c r="E10029" t="s">
        <v>10</v>
      </c>
    </row>
    <row r="10030" spans="1:5" hidden="1" outlineLevel="2">
      <c r="A10030" s="3" t="e">
        <f>(HYPERLINK("http://www.autodoc.ru/Web/price/art/8537FGNV3MQ1B?analog=on","8537FGNV3MQ1B"))*1</f>
        <v>#VALUE!</v>
      </c>
      <c r="B10030" s="1">
        <v>6998541</v>
      </c>
      <c r="C10030" t="s">
        <v>10171</v>
      </c>
      <c r="D10030" t="s">
        <v>10206</v>
      </c>
      <c r="E10030" t="s">
        <v>10</v>
      </c>
    </row>
    <row r="10031" spans="1:5" hidden="1" outlineLevel="2">
      <c r="A10031" s="3" t="e">
        <f>(HYPERLINK("http://www.autodoc.ru/Web/price/art/8537LCLV2FD?analog=on","8537LCLV2FD"))*1</f>
        <v>#VALUE!</v>
      </c>
      <c r="B10031" s="1">
        <v>6998520</v>
      </c>
      <c r="C10031" t="s">
        <v>10171</v>
      </c>
      <c r="D10031" t="s">
        <v>10207</v>
      </c>
      <c r="E10031" t="s">
        <v>10</v>
      </c>
    </row>
    <row r="10032" spans="1:5" hidden="1" outlineLevel="2">
      <c r="A10032" s="3" t="e">
        <f>(HYPERLINK("http://www.autodoc.ru/Web/price/art/8537LCLV2RQ?analog=on","8537LCLV2RQ"))*1</f>
        <v>#VALUE!</v>
      </c>
      <c r="B10032" s="1">
        <v>6993920</v>
      </c>
      <c r="C10032" t="s">
        <v>10171</v>
      </c>
      <c r="D10032" t="s">
        <v>10208</v>
      </c>
      <c r="E10032" t="s">
        <v>10</v>
      </c>
    </row>
    <row r="10033" spans="1:5" hidden="1" outlineLevel="2">
      <c r="A10033" s="3" t="e">
        <f>(HYPERLINK("http://www.autodoc.ru/Web/price/art/8537LCLV2RQ1J?analog=on","8537LCLV2RQ1J"))*1</f>
        <v>#VALUE!</v>
      </c>
      <c r="B10033" s="1">
        <v>6990968</v>
      </c>
      <c r="C10033" t="s">
        <v>10171</v>
      </c>
      <c r="D10033" t="s">
        <v>10209</v>
      </c>
      <c r="E10033" t="s">
        <v>10</v>
      </c>
    </row>
    <row r="10034" spans="1:5" hidden="1" outlineLevel="2">
      <c r="A10034" s="3" t="e">
        <f>(HYPERLINK("http://www.autodoc.ru/Web/price/art/8537LCLV4MQ?analog=on","8537LCLV4MQ"))*1</f>
        <v>#VALUE!</v>
      </c>
      <c r="B10034" s="1">
        <v>6994270</v>
      </c>
      <c r="C10034" t="s">
        <v>10171</v>
      </c>
      <c r="D10034" t="s">
        <v>10210</v>
      </c>
      <c r="E10034" t="s">
        <v>10</v>
      </c>
    </row>
    <row r="10035" spans="1:5" hidden="1" outlineLevel="2">
      <c r="A10035" s="3" t="e">
        <f>(HYPERLINK("http://www.autodoc.ru/Web/price/art/8537LGNV2FD?analog=on","8537LGNV2FD"))*1</f>
        <v>#VALUE!</v>
      </c>
      <c r="B10035" s="1">
        <v>6998518</v>
      </c>
      <c r="C10035" t="s">
        <v>10171</v>
      </c>
      <c r="D10035" t="s">
        <v>10211</v>
      </c>
      <c r="E10035" t="s">
        <v>10</v>
      </c>
    </row>
    <row r="10036" spans="1:5" hidden="1" outlineLevel="2">
      <c r="A10036" s="3" t="e">
        <f>(HYPERLINK("http://www.autodoc.ru/Web/price/art/8537LGNV2RQ?analog=on","8537LGNV2RQ"))*1</f>
        <v>#VALUE!</v>
      </c>
      <c r="B10036" s="1">
        <v>6999227</v>
      </c>
      <c r="C10036" t="s">
        <v>10171</v>
      </c>
      <c r="D10036" t="s">
        <v>10212</v>
      </c>
      <c r="E10036" t="s">
        <v>10</v>
      </c>
    </row>
    <row r="10037" spans="1:5" hidden="1" outlineLevel="2">
      <c r="A10037" s="3" t="e">
        <f>(HYPERLINK("http://www.autodoc.ru/Web/price/art/8537LGNV2RQ1J?analog=on","8537LGNV2RQ1J"))*1</f>
        <v>#VALUE!</v>
      </c>
      <c r="B10037" s="1">
        <v>6990723</v>
      </c>
      <c r="C10037" t="s">
        <v>10171</v>
      </c>
      <c r="D10037" t="s">
        <v>10213</v>
      </c>
      <c r="E10037" t="s">
        <v>10</v>
      </c>
    </row>
    <row r="10038" spans="1:5" hidden="1" outlineLevel="2">
      <c r="A10038" s="3" t="e">
        <f>(HYPERLINK("http://www.autodoc.ru/Web/price/art/8537RCLV2FD?analog=on","8537RCLV2FD"))*1</f>
        <v>#VALUE!</v>
      </c>
      <c r="B10038" s="1">
        <v>6998521</v>
      </c>
      <c r="C10038" t="s">
        <v>10171</v>
      </c>
      <c r="D10038" t="s">
        <v>10214</v>
      </c>
      <c r="E10038" t="s">
        <v>10</v>
      </c>
    </row>
    <row r="10039" spans="1:5" hidden="1" outlineLevel="2">
      <c r="A10039" s="3" t="e">
        <f>(HYPERLINK("http://www.autodoc.ru/Web/price/art/8537RCLV2RQ?analog=on","8537RCLV2RQ"))*1</f>
        <v>#VALUE!</v>
      </c>
      <c r="B10039" s="1">
        <v>6993921</v>
      </c>
      <c r="C10039" t="s">
        <v>10171</v>
      </c>
      <c r="D10039" t="s">
        <v>10215</v>
      </c>
      <c r="E10039" t="s">
        <v>10</v>
      </c>
    </row>
    <row r="10040" spans="1:5" hidden="1" outlineLevel="2">
      <c r="A10040" s="3" t="e">
        <f>(HYPERLINK("http://www.autodoc.ru/Web/price/art/8537RCLV2RQ1J?analog=on","8537RCLV2RQ1J"))*1</f>
        <v>#VALUE!</v>
      </c>
      <c r="B10040" s="1">
        <v>6990963</v>
      </c>
      <c r="C10040" t="s">
        <v>10171</v>
      </c>
      <c r="D10040" t="s">
        <v>10215</v>
      </c>
      <c r="E10040" t="s">
        <v>10</v>
      </c>
    </row>
    <row r="10041" spans="1:5" hidden="1" outlineLevel="2">
      <c r="A10041" s="3" t="e">
        <f>(HYPERLINK("http://www.autodoc.ru/Web/price/art/8537RGNV2FD?analog=on","8537RGNV2FD"))*1</f>
        <v>#VALUE!</v>
      </c>
      <c r="B10041" s="1">
        <v>6998519</v>
      </c>
      <c r="C10041" t="s">
        <v>10171</v>
      </c>
      <c r="D10041" t="s">
        <v>10216</v>
      </c>
      <c r="E10041" t="s">
        <v>10</v>
      </c>
    </row>
    <row r="10042" spans="1:5" hidden="1" outlineLevel="2">
      <c r="A10042" s="3" t="e">
        <f>(HYPERLINK("http://www.autodoc.ru/Web/price/art/8537RGNV2RQ?analog=on","8537RGNV2RQ"))*1</f>
        <v>#VALUE!</v>
      </c>
      <c r="B10042" s="1">
        <v>6999228</v>
      </c>
      <c r="C10042" t="s">
        <v>10171</v>
      </c>
      <c r="D10042" t="s">
        <v>10217</v>
      </c>
      <c r="E10042" t="s">
        <v>10</v>
      </c>
    </row>
    <row r="10043" spans="1:5" hidden="1" outlineLevel="2">
      <c r="A10043" s="3" t="e">
        <f>(HYPERLINK("http://www.autodoc.ru/Web/price/art/8537RGNV2RQ1J?analog=on","8537RGNV2RQ1J"))*1</f>
        <v>#VALUE!</v>
      </c>
      <c r="B10043" s="1">
        <v>6990964</v>
      </c>
      <c r="C10043" t="s">
        <v>10171</v>
      </c>
      <c r="D10043" t="s">
        <v>10218</v>
      </c>
      <c r="E10043" t="s">
        <v>10</v>
      </c>
    </row>
    <row r="10044" spans="1:5" hidden="1" outlineLevel="1">
      <c r="A10044" s="2">
        <v>0</v>
      </c>
      <c r="B10044" s="26" t="s">
        <v>10219</v>
      </c>
      <c r="C10044" s="27">
        <v>0</v>
      </c>
      <c r="D10044" s="27">
        <v>0</v>
      </c>
      <c r="E10044" s="27">
        <v>0</v>
      </c>
    </row>
    <row r="10045" spans="1:5" hidden="1" outlineLevel="2">
      <c r="A10045" s="3" t="e">
        <f>(HYPERLINK("http://www.autodoc.ru/Web/price/art/8579AGSAVZ1B?analog=on","8579AGSAVZ1B"))*1</f>
        <v>#VALUE!</v>
      </c>
      <c r="B10045" s="1">
        <v>6962375</v>
      </c>
      <c r="C10045" t="s">
        <v>782</v>
      </c>
      <c r="D10045" t="s">
        <v>10220</v>
      </c>
      <c r="E10045" t="s">
        <v>8</v>
      </c>
    </row>
    <row r="10046" spans="1:5" hidden="1" outlineLevel="2">
      <c r="A10046" s="3" t="e">
        <f>(HYPERLINK("http://www.autodoc.ru/Web/price/art/8579AGSMVZ1B?analog=on","8579AGSMVZ1B"))*1</f>
        <v>#VALUE!</v>
      </c>
      <c r="B10046" s="1">
        <v>6962733</v>
      </c>
      <c r="C10046" t="s">
        <v>782</v>
      </c>
      <c r="D10046" t="s">
        <v>10221</v>
      </c>
      <c r="E10046" t="s">
        <v>8</v>
      </c>
    </row>
    <row r="10047" spans="1:5" hidden="1" outlineLevel="2">
      <c r="A10047" s="3" t="e">
        <f>(HYPERLINK("http://www.autodoc.ru/Web/price/art/8579AGSAMVZ1B?analog=on","8579AGSAMVZ1B"))*1</f>
        <v>#VALUE!</v>
      </c>
      <c r="B10047" s="1">
        <v>6962842</v>
      </c>
      <c r="C10047" t="s">
        <v>782</v>
      </c>
      <c r="D10047" t="s">
        <v>10222</v>
      </c>
      <c r="E10047" t="s">
        <v>8</v>
      </c>
    </row>
    <row r="10048" spans="1:5" hidden="1" outlineLevel="2">
      <c r="A10048" s="3" t="e">
        <f>(HYPERLINK("http://www.autodoc.ru/Web/price/art/8579AGSGYAMVZ1B?analog=on","8579AGSGYAMVZ1B"))*1</f>
        <v>#VALUE!</v>
      </c>
      <c r="B10048" s="1">
        <v>6960973</v>
      </c>
      <c r="C10048" t="s">
        <v>782</v>
      </c>
      <c r="D10048" t="s">
        <v>10223</v>
      </c>
      <c r="E10048" t="s">
        <v>8</v>
      </c>
    </row>
    <row r="10049" spans="1:5" hidden="1" outlineLevel="2">
      <c r="A10049" s="3" t="e">
        <f>(HYPERLINK("http://www.autodoc.ru/Web/price/art/8579AGSGYAVZ?analog=on","8579AGSGYAVZ"))*1</f>
        <v>#VALUE!</v>
      </c>
      <c r="B10049" s="1">
        <v>6961712</v>
      </c>
      <c r="C10049" t="s">
        <v>782</v>
      </c>
      <c r="D10049" t="s">
        <v>10224</v>
      </c>
      <c r="E10049" t="s">
        <v>8</v>
      </c>
    </row>
    <row r="10050" spans="1:5" hidden="1" outlineLevel="2">
      <c r="A10050" s="3" t="e">
        <f>(HYPERLINK("http://www.autodoc.ru/Web/price/art/8579AGSGYAVZ1B?analog=on","8579AGSGYAVZ1B"))*1</f>
        <v>#VALUE!</v>
      </c>
      <c r="B10050" s="1">
        <v>6960972</v>
      </c>
      <c r="C10050" t="s">
        <v>782</v>
      </c>
      <c r="D10050" t="s">
        <v>10225</v>
      </c>
      <c r="E10050" t="s">
        <v>8</v>
      </c>
    </row>
    <row r="10051" spans="1:5" hidden="1" outlineLevel="2">
      <c r="A10051" s="3" t="e">
        <f>(HYPERLINK("http://www.autodoc.ru/Web/price/art/8579AGSGYMVZ1B?analog=on","8579AGSGYMVZ1B"))*1</f>
        <v>#VALUE!</v>
      </c>
      <c r="B10051" s="1">
        <v>6960971</v>
      </c>
      <c r="C10051" t="s">
        <v>782</v>
      </c>
      <c r="D10051" t="s">
        <v>10226</v>
      </c>
      <c r="E10051" t="s">
        <v>8</v>
      </c>
    </row>
    <row r="10052" spans="1:5" hidden="1" outlineLevel="2">
      <c r="A10052" s="3" t="e">
        <f>(HYPERLINK("http://www.autodoc.ru/Web/price/art/8579AGSGYVZ1B?analog=on","8579AGSGYVZ1B"))*1</f>
        <v>#VALUE!</v>
      </c>
      <c r="B10052" s="1">
        <v>6960970</v>
      </c>
      <c r="C10052" t="s">
        <v>782</v>
      </c>
      <c r="D10052" t="s">
        <v>10227</v>
      </c>
      <c r="E10052" t="s">
        <v>8</v>
      </c>
    </row>
    <row r="10053" spans="1:5" hidden="1" outlineLevel="2">
      <c r="A10053" s="3" t="e">
        <f>(HYPERLINK("http://www.autodoc.ru/Web/price/art/8579BGSVL?analog=on","8579BGSVL"))*1</f>
        <v>#VALUE!</v>
      </c>
      <c r="B10053" s="1">
        <v>6995967</v>
      </c>
      <c r="C10053" t="s">
        <v>782</v>
      </c>
      <c r="D10053" t="s">
        <v>10228</v>
      </c>
      <c r="E10053" t="s">
        <v>23</v>
      </c>
    </row>
    <row r="10054" spans="1:5" hidden="1" outlineLevel="2">
      <c r="A10054" s="3" t="e">
        <f>(HYPERLINK("http://www.autodoc.ru/Web/price/art/8579BGSVR?analog=on","8579BGSVR"))*1</f>
        <v>#VALUE!</v>
      </c>
      <c r="B10054" s="1">
        <v>6995968</v>
      </c>
      <c r="C10054" t="s">
        <v>782</v>
      </c>
      <c r="D10054" t="s">
        <v>10229</v>
      </c>
      <c r="E10054" t="s">
        <v>23</v>
      </c>
    </row>
    <row r="10055" spans="1:5" hidden="1" outlineLevel="2">
      <c r="A10055" s="3" t="e">
        <f>(HYPERLINK("http://www.autodoc.ru/Web/price/art/8579BGSVI?analog=on","8579BGSVI"))*1</f>
        <v>#VALUE!</v>
      </c>
      <c r="B10055" s="1">
        <v>6996130</v>
      </c>
      <c r="C10055" t="s">
        <v>782</v>
      </c>
      <c r="D10055" t="s">
        <v>10230</v>
      </c>
      <c r="E10055" t="s">
        <v>23</v>
      </c>
    </row>
    <row r="10056" spans="1:5" hidden="1" outlineLevel="2">
      <c r="A10056" s="3" t="e">
        <f>(HYPERLINK("http://www.autodoc.ru/Web/price/art/8579BGSV1H?analog=on","8579BGSV1H"))*1</f>
        <v>#VALUE!</v>
      </c>
      <c r="B10056" s="1">
        <v>6996125</v>
      </c>
      <c r="C10056" t="s">
        <v>782</v>
      </c>
      <c r="D10056" t="s">
        <v>10230</v>
      </c>
      <c r="E10056" t="s">
        <v>23</v>
      </c>
    </row>
    <row r="10057" spans="1:5" hidden="1" outlineLevel="2">
      <c r="A10057" s="3" t="e">
        <f>(HYPERLINK("http://www.autodoc.ru/Web/price/art/8579LGSV2FD?analog=on","8579LGSV2FD"))*1</f>
        <v>#VALUE!</v>
      </c>
      <c r="B10057" s="1">
        <v>6995969</v>
      </c>
      <c r="C10057" t="s">
        <v>782</v>
      </c>
      <c r="D10057" t="s">
        <v>10231</v>
      </c>
      <c r="E10057" t="s">
        <v>10</v>
      </c>
    </row>
    <row r="10058" spans="1:5" hidden="1" outlineLevel="2">
      <c r="A10058" s="3" t="e">
        <f>(HYPERLINK("http://www.autodoc.ru/Web/price/art/8579LGSV2MQ?analog=on","8579LGSV2MQ"))*1</f>
        <v>#VALUE!</v>
      </c>
      <c r="B10058" s="1">
        <v>6900112</v>
      </c>
      <c r="C10058" t="s">
        <v>782</v>
      </c>
      <c r="D10058" t="s">
        <v>10232</v>
      </c>
      <c r="E10058" t="s">
        <v>10</v>
      </c>
    </row>
    <row r="10059" spans="1:5" hidden="1" outlineLevel="2">
      <c r="A10059" s="3" t="e">
        <f>(HYPERLINK("http://www.autodoc.ru/Web/price/art/8579LGSV4RD?analog=on","8579LGSV4RD"))*1</f>
        <v>#VALUE!</v>
      </c>
      <c r="B10059" s="1">
        <v>6997644</v>
      </c>
      <c r="C10059" t="s">
        <v>782</v>
      </c>
      <c r="D10059" t="s">
        <v>10233</v>
      </c>
      <c r="E10059" t="s">
        <v>10</v>
      </c>
    </row>
    <row r="10060" spans="1:5" hidden="1" outlineLevel="2">
      <c r="A10060" s="3" t="e">
        <f>(HYPERLINK("http://www.autodoc.ru/Web/price/art/8579LGSV4RQ?analog=on","8579LGSV4RQ"))*1</f>
        <v>#VALUE!</v>
      </c>
      <c r="B10060" s="1">
        <v>6900340</v>
      </c>
      <c r="C10060" t="s">
        <v>782</v>
      </c>
      <c r="D10060" t="s">
        <v>10234</v>
      </c>
      <c r="E10060" t="s">
        <v>10</v>
      </c>
    </row>
    <row r="10061" spans="1:5" hidden="1" outlineLevel="2">
      <c r="A10061" s="3" t="e">
        <f>(HYPERLINK("http://www.autodoc.ru/Web/price/art/8579LGSV4RQW1J?analog=on","8579LGSV4RQW1J"))*1</f>
        <v>#VALUE!</v>
      </c>
      <c r="B10061" s="1">
        <v>6992067</v>
      </c>
      <c r="C10061" t="s">
        <v>782</v>
      </c>
      <c r="D10061" t="s">
        <v>10235</v>
      </c>
      <c r="E10061" t="s">
        <v>10</v>
      </c>
    </row>
    <row r="10062" spans="1:5" hidden="1" outlineLevel="2">
      <c r="A10062" s="3" t="e">
        <f>(HYPERLINK("http://www.autodoc.ru/Web/price/art/8579LGPV4RQW1J?analog=on","8579LGPV4RQW1J"))*1</f>
        <v>#VALUE!</v>
      </c>
      <c r="B10062" s="1">
        <v>6993172</v>
      </c>
      <c r="C10062" t="s">
        <v>782</v>
      </c>
      <c r="D10062" t="s">
        <v>10236</v>
      </c>
      <c r="E10062" t="s">
        <v>10</v>
      </c>
    </row>
    <row r="10063" spans="1:5" hidden="1" outlineLevel="2">
      <c r="A10063" s="3" t="e">
        <f>(HYPERLINK("http://www.autodoc.ru/Web/price/art/8579RGSV2FD?analog=on","8579RGSV2FD"))*1</f>
        <v>#VALUE!</v>
      </c>
      <c r="B10063" s="1">
        <v>6993927</v>
      </c>
      <c r="C10063" t="s">
        <v>782</v>
      </c>
      <c r="D10063" t="s">
        <v>10237</v>
      </c>
      <c r="E10063" t="s">
        <v>10</v>
      </c>
    </row>
    <row r="10064" spans="1:5" hidden="1" outlineLevel="2">
      <c r="A10064" s="3" t="e">
        <f>(HYPERLINK("http://www.autodoc.ru/Web/price/art/8579RGSV2MQ?analog=on","8579RGSV2MQ"))*1</f>
        <v>#VALUE!</v>
      </c>
      <c r="B10064" s="1">
        <v>6900120</v>
      </c>
      <c r="C10064" t="s">
        <v>782</v>
      </c>
      <c r="D10064" t="s">
        <v>10238</v>
      </c>
      <c r="E10064" t="s">
        <v>10</v>
      </c>
    </row>
    <row r="10065" spans="1:5" hidden="1" outlineLevel="2">
      <c r="A10065" s="3" t="e">
        <f>(HYPERLINK("http://www.autodoc.ru/Web/price/art/8579RGSV4RD?analog=on","8579RGSV4RD"))*1</f>
        <v>#VALUE!</v>
      </c>
      <c r="B10065" s="1">
        <v>6993997</v>
      </c>
      <c r="C10065" t="s">
        <v>782</v>
      </c>
      <c r="D10065" t="s">
        <v>10239</v>
      </c>
      <c r="E10065" t="s">
        <v>10</v>
      </c>
    </row>
    <row r="10066" spans="1:5" hidden="1" outlineLevel="2">
      <c r="A10066" s="3" t="e">
        <f>(HYPERLINK("http://www.autodoc.ru/Web/price/art/8579RGSV4RQ?analog=on","8579RGSV4RQ"))*1</f>
        <v>#VALUE!</v>
      </c>
      <c r="B10066" s="1">
        <v>6900353</v>
      </c>
      <c r="C10066" t="s">
        <v>782</v>
      </c>
      <c r="D10066" t="s">
        <v>10240</v>
      </c>
      <c r="E10066" t="s">
        <v>10</v>
      </c>
    </row>
    <row r="10067" spans="1:5" hidden="1" outlineLevel="2">
      <c r="A10067" s="3" t="e">
        <f>(HYPERLINK("http://www.autodoc.ru/Web/price/art/8579RGSV4RQW1J?analog=on","8579RGSV4RQW1J"))*1</f>
        <v>#VALUE!</v>
      </c>
      <c r="B10067" s="1">
        <v>6992066</v>
      </c>
      <c r="C10067" t="s">
        <v>782</v>
      </c>
      <c r="D10067" t="s">
        <v>10241</v>
      </c>
      <c r="E10067" t="s">
        <v>10</v>
      </c>
    </row>
    <row r="10068" spans="1:5" hidden="1" outlineLevel="2">
      <c r="A10068" s="3" t="e">
        <f>(HYPERLINK("http://www.autodoc.ru/Web/price/art/8579RGPV4RQW1J?analog=on","8579RGPV4RQW1J"))*1</f>
        <v>#VALUE!</v>
      </c>
      <c r="B10068" s="1">
        <v>6993171</v>
      </c>
      <c r="C10068" t="s">
        <v>782</v>
      </c>
      <c r="D10068" t="s">
        <v>10242</v>
      </c>
      <c r="E10068" t="s">
        <v>10</v>
      </c>
    </row>
    <row r="10069" spans="1:5" hidden="1" outlineLevel="1">
      <c r="A10069" s="2">
        <v>0</v>
      </c>
      <c r="B10069" s="26" t="s">
        <v>10243</v>
      </c>
      <c r="C10069" s="27">
        <v>0</v>
      </c>
      <c r="D10069" s="27">
        <v>0</v>
      </c>
      <c r="E10069" s="27">
        <v>0</v>
      </c>
    </row>
    <row r="10070" spans="1:5" hidden="1" outlineLevel="2">
      <c r="A10070" s="3" t="e">
        <f>(HYPERLINK("http://www.autodoc.ru/Web/price/art/8576AGSGYHMVZ1B?analog=on","8576AGSGYHMVZ1B"))*1</f>
        <v>#VALUE!</v>
      </c>
      <c r="B10070" s="1">
        <v>6962904</v>
      </c>
      <c r="C10070" t="s">
        <v>2349</v>
      </c>
      <c r="D10070" t="s">
        <v>10244</v>
      </c>
      <c r="E10070" t="s">
        <v>8</v>
      </c>
    </row>
    <row r="10071" spans="1:5" hidden="1" outlineLevel="2">
      <c r="A10071" s="3" t="e">
        <f>(HYPERLINK("http://www.autodoc.ru/Web/price/art/8576AGSGYHVZ?analog=on","8576AGSGYHVZ"))*1</f>
        <v>#VALUE!</v>
      </c>
      <c r="B10071" s="1">
        <v>6962903</v>
      </c>
      <c r="C10071" t="s">
        <v>2349</v>
      </c>
      <c r="D10071" t="s">
        <v>10245</v>
      </c>
      <c r="E10071" t="s">
        <v>8</v>
      </c>
    </row>
    <row r="10072" spans="1:5" hidden="1" outlineLevel="2">
      <c r="A10072" s="3" t="e">
        <f>(HYPERLINK("http://www.autodoc.ru/Web/price/art/8576AGSGYMVZ?analog=on","8576AGSGYMVZ"))*1</f>
        <v>#VALUE!</v>
      </c>
      <c r="B10072" s="1">
        <v>6950161</v>
      </c>
      <c r="C10072" t="s">
        <v>2349</v>
      </c>
      <c r="D10072" t="s">
        <v>10246</v>
      </c>
      <c r="E10072" t="s">
        <v>8</v>
      </c>
    </row>
    <row r="10073" spans="1:5" hidden="1" outlineLevel="2">
      <c r="A10073" s="3" t="e">
        <f>(HYPERLINK("http://www.autodoc.ru/Web/price/art/8576AGSGYMVZ1B?analog=on","8576AGSGYMVZ1B"))*1</f>
        <v>#VALUE!</v>
      </c>
      <c r="B10073" s="1">
        <v>6961353</v>
      </c>
      <c r="C10073" t="s">
        <v>2349</v>
      </c>
      <c r="D10073" t="s">
        <v>10247</v>
      </c>
      <c r="E10073" t="s">
        <v>8</v>
      </c>
    </row>
    <row r="10074" spans="1:5" hidden="1" outlineLevel="2">
      <c r="A10074" s="3" t="e">
        <f>(HYPERLINK("http://www.autodoc.ru/Web/price/art/8576AGSGYVZ?analog=on","8576AGSGYVZ"))*1</f>
        <v>#VALUE!</v>
      </c>
      <c r="B10074" s="1">
        <v>6961354</v>
      </c>
      <c r="C10074" t="s">
        <v>2349</v>
      </c>
      <c r="D10074" t="s">
        <v>10248</v>
      </c>
      <c r="E10074" t="s">
        <v>8</v>
      </c>
    </row>
    <row r="10075" spans="1:5" hidden="1" outlineLevel="2">
      <c r="A10075" s="3" t="e">
        <f>(HYPERLINK("http://www.autodoc.ru/Web/price/art/8576BGDRAW?analog=on","8576BGDRAW"))*1</f>
        <v>#VALUE!</v>
      </c>
      <c r="B10075" s="1">
        <v>6997488</v>
      </c>
      <c r="C10075" t="s">
        <v>2349</v>
      </c>
      <c r="D10075" t="s">
        <v>10249</v>
      </c>
      <c r="E10075" t="s">
        <v>23</v>
      </c>
    </row>
    <row r="10076" spans="1:5" hidden="1" outlineLevel="2">
      <c r="A10076" s="3" t="e">
        <f>(HYPERLINK("http://www.autodoc.ru/Web/price/art/8576BGSRAW?analog=on","8576BGSRAW"))*1</f>
        <v>#VALUE!</v>
      </c>
      <c r="B10076" s="1">
        <v>6997489</v>
      </c>
      <c r="C10076" t="s">
        <v>2349</v>
      </c>
      <c r="D10076" t="s">
        <v>10250</v>
      </c>
      <c r="E10076" t="s">
        <v>23</v>
      </c>
    </row>
    <row r="10077" spans="1:5" hidden="1" outlineLevel="2">
      <c r="A10077" s="3" t="e">
        <f>(HYPERLINK("http://www.autodoc.ru/Web/price/art/8576LGSR5FD?analog=on","8576LGSR5FD"))*1</f>
        <v>#VALUE!</v>
      </c>
      <c r="B10077" s="1">
        <v>6995970</v>
      </c>
      <c r="C10077" t="s">
        <v>2349</v>
      </c>
      <c r="D10077" t="s">
        <v>10251</v>
      </c>
      <c r="E10077" t="s">
        <v>10</v>
      </c>
    </row>
    <row r="10078" spans="1:5" hidden="1" outlineLevel="2">
      <c r="A10078" s="3" t="e">
        <f>(HYPERLINK("http://www.autodoc.ru/Web/price/art/8576LGSR5RD?analog=on","8576LGSR5RD"))*1</f>
        <v>#VALUE!</v>
      </c>
      <c r="B10078" s="1">
        <v>6997527</v>
      </c>
      <c r="C10078" t="s">
        <v>2349</v>
      </c>
      <c r="D10078" t="s">
        <v>10252</v>
      </c>
      <c r="E10078" t="s">
        <v>10</v>
      </c>
    </row>
    <row r="10079" spans="1:5" hidden="1" outlineLevel="2">
      <c r="A10079" s="3" t="e">
        <f>(HYPERLINK("http://www.autodoc.ru/Web/price/art/8576LGSR5RQAZ?analog=on","8576LGSR5RQAZ"))*1</f>
        <v>#VALUE!</v>
      </c>
      <c r="B10079" s="1">
        <v>6997512</v>
      </c>
      <c r="C10079" t="s">
        <v>2349</v>
      </c>
      <c r="D10079" t="s">
        <v>10253</v>
      </c>
      <c r="E10079" t="s">
        <v>10</v>
      </c>
    </row>
    <row r="10080" spans="1:5" hidden="1" outlineLevel="2">
      <c r="A10080" s="3" t="e">
        <f>(HYPERLINK("http://www.autodoc.ru/Web/price/art/8576LGSR5RQAZ1D?analog=on","8576LGSR5RQAZ1D"))*1</f>
        <v>#VALUE!</v>
      </c>
      <c r="B10080" s="1">
        <v>6997511</v>
      </c>
      <c r="C10080" t="s">
        <v>2349</v>
      </c>
      <c r="D10080" t="s">
        <v>10254</v>
      </c>
      <c r="E10080" t="s">
        <v>10</v>
      </c>
    </row>
    <row r="10081" spans="1:5" hidden="1" outlineLevel="2">
      <c r="A10081" s="3" t="e">
        <f>(HYPERLINK("http://www.autodoc.ru/Web/price/art/8576RGSR5FD?analog=on","8576RGSR5FD"))*1</f>
        <v>#VALUE!</v>
      </c>
      <c r="B10081" s="1">
        <v>6993928</v>
      </c>
      <c r="C10081" t="s">
        <v>2349</v>
      </c>
      <c r="D10081" t="s">
        <v>10255</v>
      </c>
      <c r="E10081" t="s">
        <v>10</v>
      </c>
    </row>
    <row r="10082" spans="1:5" hidden="1" outlineLevel="2">
      <c r="A10082" s="3" t="e">
        <f>(HYPERLINK("http://www.autodoc.ru/Web/price/art/8576RGSR5RD?analog=on","8576RGSR5RD"))*1</f>
        <v>#VALUE!</v>
      </c>
      <c r="B10082" s="1">
        <v>6993929</v>
      </c>
      <c r="C10082" t="s">
        <v>2349</v>
      </c>
      <c r="D10082" t="s">
        <v>10256</v>
      </c>
      <c r="E10082" t="s">
        <v>10</v>
      </c>
    </row>
    <row r="10083" spans="1:5" hidden="1" outlineLevel="2">
      <c r="A10083" s="3" t="e">
        <f>(HYPERLINK("http://www.autodoc.ru/Web/price/art/8576RGSR5RQAZ?analog=on","8576RGSR5RQAZ"))*1</f>
        <v>#VALUE!</v>
      </c>
      <c r="B10083" s="1">
        <v>6997514</v>
      </c>
      <c r="C10083" t="s">
        <v>2349</v>
      </c>
      <c r="D10083" t="s">
        <v>10257</v>
      </c>
      <c r="E10083" t="s">
        <v>10</v>
      </c>
    </row>
    <row r="10084" spans="1:5" hidden="1" outlineLevel="2">
      <c r="A10084" s="3" t="e">
        <f>(HYPERLINK("http://www.autodoc.ru/Web/price/art/8576RGSR5RQAZ1D?analog=on","8576RGSR5RQAZ1D"))*1</f>
        <v>#VALUE!</v>
      </c>
      <c r="B10084" s="1">
        <v>6997513</v>
      </c>
      <c r="C10084" t="s">
        <v>2349</v>
      </c>
      <c r="D10084" t="s">
        <v>10258</v>
      </c>
      <c r="E10084" t="s">
        <v>10</v>
      </c>
    </row>
    <row r="10085" spans="1:5" hidden="1" outlineLevel="1">
      <c r="A10085" s="2">
        <v>0</v>
      </c>
      <c r="B10085" s="26" t="s">
        <v>10259</v>
      </c>
      <c r="C10085" s="27">
        <v>0</v>
      </c>
      <c r="D10085" s="27">
        <v>0</v>
      </c>
      <c r="E10085" s="27">
        <v>0</v>
      </c>
    </row>
    <row r="10086" spans="1:5" hidden="1" outlineLevel="2">
      <c r="A10086" s="3" t="e">
        <f>(HYPERLINK("http://www.autodoc.ru/Web/price/art/8606AGSMVWZ1B?analog=on","8606AGSMVWZ1B"))*1</f>
        <v>#VALUE!</v>
      </c>
      <c r="B10086" s="1">
        <v>6965258</v>
      </c>
      <c r="C10086" t="s">
        <v>341</v>
      </c>
      <c r="D10086" t="s">
        <v>10260</v>
      </c>
      <c r="E10086" t="s">
        <v>8</v>
      </c>
    </row>
    <row r="10087" spans="1:5" hidden="1" outlineLevel="2">
      <c r="A10087" s="3" t="e">
        <f>(HYPERLINK("http://www.autodoc.ru/Web/price/art/8606AGAHMVWZ?analog=on","8606AGAHMVWZ"))*1</f>
        <v>#VALUE!</v>
      </c>
      <c r="B10087" s="1">
        <v>6965256</v>
      </c>
      <c r="C10087" t="s">
        <v>341</v>
      </c>
      <c r="D10087" t="s">
        <v>10261</v>
      </c>
      <c r="E10087" t="s">
        <v>8</v>
      </c>
    </row>
    <row r="10088" spans="1:5" hidden="1" outlineLevel="2">
      <c r="A10088" s="3" t="e">
        <f>(HYPERLINK("http://www.autodoc.ru/Web/price/art/8606AGACMVWZ1B?analog=on","8606AGACMVWZ1B"))*1</f>
        <v>#VALUE!</v>
      </c>
      <c r="B10088" s="1">
        <v>6965259</v>
      </c>
      <c r="C10088" t="s">
        <v>341</v>
      </c>
      <c r="D10088" t="s">
        <v>10262</v>
      </c>
      <c r="E10088" t="s">
        <v>8</v>
      </c>
    </row>
    <row r="10089" spans="1:5" hidden="1" outlineLevel="2">
      <c r="A10089" s="3" t="e">
        <f>(HYPERLINK("http://www.autodoc.ru/Web/price/art/8606AGAMVWZ?analog=on","8606AGAMVWZ"))*1</f>
        <v>#VALUE!</v>
      </c>
      <c r="B10089" s="1">
        <v>6965257</v>
      </c>
      <c r="C10089" t="s">
        <v>341</v>
      </c>
      <c r="D10089" t="s">
        <v>10263</v>
      </c>
      <c r="E10089" t="s">
        <v>8</v>
      </c>
    </row>
    <row r="10090" spans="1:5" hidden="1" outlineLevel="2">
      <c r="A10090" s="3" t="e">
        <f>(HYPERLINK("http://www.autodoc.ru/Web/price/art/8606LGSR5FD?analog=on","8606LGSR5FD"))*1</f>
        <v>#VALUE!</v>
      </c>
      <c r="B10090" s="1">
        <v>6998218</v>
      </c>
      <c r="C10090" t="s">
        <v>341</v>
      </c>
      <c r="D10090" t="s">
        <v>10264</v>
      </c>
      <c r="E10090" t="s">
        <v>10</v>
      </c>
    </row>
    <row r="10091" spans="1:5" hidden="1" outlineLevel="2">
      <c r="A10091" s="3" t="e">
        <f>(HYPERLINK("http://www.autodoc.ru/Web/price/art/8606RGSR5FD?analog=on","8606RGSR5FD"))*1</f>
        <v>#VALUE!</v>
      </c>
      <c r="B10091" s="1">
        <v>6998217</v>
      </c>
      <c r="C10091" t="s">
        <v>341</v>
      </c>
      <c r="D10091" t="s">
        <v>10265</v>
      </c>
      <c r="E10091" t="s">
        <v>10</v>
      </c>
    </row>
    <row r="10092" spans="1:5" collapsed="1">
      <c r="A10092" s="28" t="s">
        <v>10266</v>
      </c>
      <c r="B10092" s="28">
        <v>0</v>
      </c>
      <c r="C10092" s="28">
        <v>0</v>
      </c>
      <c r="D10092" s="28">
        <v>0</v>
      </c>
      <c r="E10092" s="28">
        <v>0</v>
      </c>
    </row>
    <row r="10093" spans="1:5" hidden="1" outlineLevel="1">
      <c r="A10093" s="2">
        <v>0</v>
      </c>
      <c r="B10093" s="26" t="s">
        <v>10267</v>
      </c>
      <c r="C10093" s="27">
        <v>0</v>
      </c>
      <c r="D10093" s="27">
        <v>0</v>
      </c>
      <c r="E10093" s="27">
        <v>0</v>
      </c>
    </row>
    <row r="10094" spans="1:5" hidden="1" outlineLevel="2">
      <c r="A10094" s="3" t="e">
        <f>(HYPERLINK("http://www.autodoc.ru/Web/price/art/8810ACL?analog=on","8810ACL"))*1</f>
        <v>#VALUE!</v>
      </c>
      <c r="B10094" s="1">
        <v>6969126</v>
      </c>
      <c r="C10094" t="s">
        <v>2917</v>
      </c>
      <c r="D10094" t="s">
        <v>10268</v>
      </c>
      <c r="E10094" t="s">
        <v>8</v>
      </c>
    </row>
    <row r="10095" spans="1:5" hidden="1" outlineLevel="2">
      <c r="A10095" s="3" t="e">
        <f>(HYPERLINK("http://www.autodoc.ru/Web/price/art/8810AGN?analog=on","8810AGN"))*1</f>
        <v>#VALUE!</v>
      </c>
      <c r="B10095" s="1">
        <v>6969127</v>
      </c>
      <c r="C10095" t="s">
        <v>2917</v>
      </c>
      <c r="D10095" t="s">
        <v>10269</v>
      </c>
      <c r="E10095" t="s">
        <v>8</v>
      </c>
    </row>
    <row r="10096" spans="1:5" hidden="1" outlineLevel="2">
      <c r="A10096" s="3" t="e">
        <f>(HYPERLINK("http://www.autodoc.ru/Web/price/art/8810AGNBL?analog=on","8810AGNBL"))*1</f>
        <v>#VALUE!</v>
      </c>
      <c r="B10096" s="1">
        <v>6969128</v>
      </c>
      <c r="C10096" t="s">
        <v>2917</v>
      </c>
      <c r="D10096" t="s">
        <v>10270</v>
      </c>
      <c r="E10096" t="s">
        <v>8</v>
      </c>
    </row>
    <row r="10097" spans="1:5" hidden="1" outlineLevel="2">
      <c r="A10097" s="3" t="e">
        <f>(HYPERLINK("http://www.autodoc.ru/Web/price/art/8810AKCS?analog=on","8810AKCS"))*1</f>
        <v>#VALUE!</v>
      </c>
      <c r="B10097" s="1">
        <v>6100543</v>
      </c>
      <c r="C10097" t="s">
        <v>19</v>
      </c>
      <c r="D10097" t="s">
        <v>10271</v>
      </c>
      <c r="E10097" t="s">
        <v>21</v>
      </c>
    </row>
    <row r="10098" spans="1:5" hidden="1" outlineLevel="2">
      <c r="A10098" s="3" t="e">
        <f>(HYPERLINK("http://www.autodoc.ru/Web/price/art/8810BGNEB?analog=on","8810BGNEB"))*1</f>
        <v>#VALUE!</v>
      </c>
      <c r="B10098" s="1">
        <v>6998614</v>
      </c>
      <c r="C10098" t="s">
        <v>2917</v>
      </c>
      <c r="D10098" t="s">
        <v>10272</v>
      </c>
      <c r="E10098" t="s">
        <v>23</v>
      </c>
    </row>
    <row r="10099" spans="1:5" hidden="1" outlineLevel="2">
      <c r="A10099" s="3" t="e">
        <f>(HYPERLINK("http://www.autodoc.ru/Web/price/art/8810BGNEZ?analog=on","8810BGNEZ"))*1</f>
        <v>#VALUE!</v>
      </c>
      <c r="B10099" s="1">
        <v>6998684</v>
      </c>
      <c r="C10099" t="s">
        <v>2381</v>
      </c>
      <c r="D10099" t="s">
        <v>10273</v>
      </c>
      <c r="E10099" t="s">
        <v>23</v>
      </c>
    </row>
    <row r="10100" spans="1:5" hidden="1" outlineLevel="2">
      <c r="A10100" s="3" t="e">
        <f>(HYPERLINK("http://www.autodoc.ru/Web/price/art/8810LGNS4FD?analog=on","8810LGNS4FD"))*1</f>
        <v>#VALUE!</v>
      </c>
      <c r="B10100" s="1">
        <v>6996953</v>
      </c>
      <c r="C10100" t="s">
        <v>2917</v>
      </c>
      <c r="D10100" t="s">
        <v>10274</v>
      </c>
      <c r="E10100" t="s">
        <v>10</v>
      </c>
    </row>
    <row r="10101" spans="1:5" hidden="1" outlineLevel="2">
      <c r="A10101" s="3" t="e">
        <f>(HYPERLINK("http://www.autodoc.ru/Web/price/art/8810RGNS4FD?analog=on","8810RGNS4FD"))*1</f>
        <v>#VALUE!</v>
      </c>
      <c r="B10101" s="1">
        <v>6996954</v>
      </c>
      <c r="C10101" t="s">
        <v>2917</v>
      </c>
      <c r="D10101" t="s">
        <v>10275</v>
      </c>
      <c r="E10101" t="s">
        <v>10</v>
      </c>
    </row>
    <row r="10102" spans="1:5" hidden="1" outlineLevel="1">
      <c r="A10102" s="2">
        <v>0</v>
      </c>
      <c r="B10102" s="26" t="s">
        <v>10276</v>
      </c>
      <c r="C10102" s="27">
        <v>0</v>
      </c>
      <c r="D10102" s="27">
        <v>0</v>
      </c>
      <c r="E10102" s="27">
        <v>0</v>
      </c>
    </row>
    <row r="10103" spans="1:5" hidden="1" outlineLevel="2">
      <c r="A10103" s="3" t="e">
        <f>(HYPERLINK("http://www.autodoc.ru/Web/price/art/8807ACL?analog=on","8807ACL"))*1</f>
        <v>#VALUE!</v>
      </c>
      <c r="B10103" s="1">
        <v>6969104</v>
      </c>
      <c r="C10103" t="s">
        <v>10277</v>
      </c>
      <c r="D10103" t="s">
        <v>10278</v>
      </c>
      <c r="E10103" t="s">
        <v>8</v>
      </c>
    </row>
    <row r="10104" spans="1:5" hidden="1" outlineLevel="2">
      <c r="A10104" s="3" t="e">
        <f>(HYPERLINK("http://www.autodoc.ru/Web/price/art/8807AGNBL1C?analog=on","8807AGNBL1C"))*1</f>
        <v>#VALUE!</v>
      </c>
      <c r="B10104" s="1">
        <v>6969106</v>
      </c>
      <c r="C10104" t="s">
        <v>10277</v>
      </c>
      <c r="D10104" t="s">
        <v>10279</v>
      </c>
      <c r="E10104" t="s">
        <v>8</v>
      </c>
    </row>
    <row r="10105" spans="1:5" hidden="1" outlineLevel="2">
      <c r="A10105" s="3" t="e">
        <f>(HYPERLINK("http://www.autodoc.ru/Web/price/art/8807BGNS?analog=on","8807BGNS"))*1</f>
        <v>#VALUE!</v>
      </c>
      <c r="B10105" s="1">
        <v>6998019</v>
      </c>
      <c r="C10105" t="s">
        <v>10280</v>
      </c>
      <c r="D10105" t="s">
        <v>10281</v>
      </c>
      <c r="E10105" t="s">
        <v>23</v>
      </c>
    </row>
    <row r="10106" spans="1:5" hidden="1" outlineLevel="2">
      <c r="A10106" s="3" t="e">
        <f>(HYPERLINK("http://www.autodoc.ru/Web/price/art/8807LCLH5FD1J?analog=on","8807LCLH5FD1J"))*1</f>
        <v>#VALUE!</v>
      </c>
      <c r="B10106" s="1">
        <v>6996936</v>
      </c>
      <c r="C10106" t="s">
        <v>10280</v>
      </c>
      <c r="D10106" t="s">
        <v>10282</v>
      </c>
      <c r="E10106" t="s">
        <v>10</v>
      </c>
    </row>
    <row r="10107" spans="1:5" hidden="1" outlineLevel="2">
      <c r="A10107" s="3" t="e">
        <f>(HYPERLINK("http://www.autodoc.ru/Web/price/art/8807LCLH5RV?analog=on","8807LCLH5RV"))*1</f>
        <v>#VALUE!</v>
      </c>
      <c r="B10107" s="1">
        <v>6996016</v>
      </c>
      <c r="C10107" t="s">
        <v>10280</v>
      </c>
      <c r="D10107" t="s">
        <v>10283</v>
      </c>
      <c r="E10107" t="s">
        <v>10</v>
      </c>
    </row>
    <row r="10108" spans="1:5" hidden="1" outlineLevel="2">
      <c r="A10108" s="3" t="e">
        <f>(HYPERLINK("http://www.autodoc.ru/Web/price/art/8807LGNH5FD1J?analog=on","8807LGNH5FD1J"))*1</f>
        <v>#VALUE!</v>
      </c>
      <c r="B10108" s="1">
        <v>6996938</v>
      </c>
      <c r="C10108" t="s">
        <v>10280</v>
      </c>
      <c r="D10108" t="s">
        <v>10284</v>
      </c>
      <c r="E10108" t="s">
        <v>10</v>
      </c>
    </row>
    <row r="10109" spans="1:5" hidden="1" outlineLevel="2">
      <c r="A10109" s="3" t="e">
        <f>(HYPERLINK("http://www.autodoc.ru/Web/price/art/8807LGNH5RV?analog=on","8807LGNH5RV"))*1</f>
        <v>#VALUE!</v>
      </c>
      <c r="B10109" s="1">
        <v>6996005</v>
      </c>
      <c r="C10109" t="s">
        <v>10280</v>
      </c>
      <c r="D10109" t="s">
        <v>10285</v>
      </c>
      <c r="E10109" t="s">
        <v>10</v>
      </c>
    </row>
    <row r="10110" spans="1:5" hidden="1" outlineLevel="2">
      <c r="A10110" s="3" t="e">
        <f>(HYPERLINK("http://www.autodoc.ru/Web/price/art/8807RCLH5RV?analog=on","8807RCLH5RV"))*1</f>
        <v>#VALUE!</v>
      </c>
      <c r="B10110" s="1">
        <v>6996017</v>
      </c>
      <c r="C10110" t="s">
        <v>10280</v>
      </c>
      <c r="D10110" t="s">
        <v>10286</v>
      </c>
      <c r="E10110" t="s">
        <v>10</v>
      </c>
    </row>
    <row r="10111" spans="1:5" hidden="1" outlineLevel="2">
      <c r="A10111" s="3" t="e">
        <f>(HYPERLINK("http://www.autodoc.ru/Web/price/art/8807RGNH5FD1J?analog=on","8807RGNH5FD1J"))*1</f>
        <v>#VALUE!</v>
      </c>
      <c r="B10111" s="1">
        <v>6996940</v>
      </c>
      <c r="C10111" t="s">
        <v>10280</v>
      </c>
      <c r="D10111" t="s">
        <v>10287</v>
      </c>
      <c r="E10111" t="s">
        <v>10</v>
      </c>
    </row>
    <row r="10112" spans="1:5" hidden="1" outlineLevel="2">
      <c r="A10112" s="3" t="e">
        <f>(HYPERLINK("http://www.autodoc.ru/Web/price/art/8807RGNH5RV?analog=on","8807RGNH5RV"))*1</f>
        <v>#VALUE!</v>
      </c>
      <c r="B10112" s="1">
        <v>6996004</v>
      </c>
      <c r="C10112" t="s">
        <v>10280</v>
      </c>
      <c r="D10112" t="s">
        <v>10288</v>
      </c>
      <c r="E10112" t="s">
        <v>10</v>
      </c>
    </row>
    <row r="10113" spans="1:5" hidden="1" outlineLevel="1">
      <c r="A10113" s="2">
        <v>0</v>
      </c>
      <c r="B10113" s="26" t="s">
        <v>10289</v>
      </c>
      <c r="C10113" s="27">
        <v>0</v>
      </c>
      <c r="D10113" s="27">
        <v>0</v>
      </c>
      <c r="E10113" s="27">
        <v>0</v>
      </c>
    </row>
    <row r="10114" spans="1:5" hidden="1" outlineLevel="2">
      <c r="A10114" s="3" t="e">
        <f>(HYPERLINK("http://www.autodoc.ru/Web/price/art/8820ACL?analog=on","8820ACL"))*1</f>
        <v>#VALUE!</v>
      </c>
      <c r="B10114" s="1">
        <v>6969109</v>
      </c>
      <c r="C10114" t="s">
        <v>6212</v>
      </c>
      <c r="D10114" t="s">
        <v>10290</v>
      </c>
      <c r="E10114" t="s">
        <v>8</v>
      </c>
    </row>
    <row r="10115" spans="1:5" hidden="1" outlineLevel="2">
      <c r="A10115" s="3" t="e">
        <f>(HYPERLINK("http://www.autodoc.ru/Web/price/art/8820ACLV?analog=on","8820ACLV"))*1</f>
        <v>#VALUE!</v>
      </c>
      <c r="B10115" s="1">
        <v>6969141</v>
      </c>
      <c r="C10115" t="s">
        <v>6212</v>
      </c>
      <c r="D10115" t="s">
        <v>10291</v>
      </c>
      <c r="E10115" t="s">
        <v>8</v>
      </c>
    </row>
    <row r="10116" spans="1:5" hidden="1" outlineLevel="2">
      <c r="A10116" s="3" t="e">
        <f>(HYPERLINK("http://www.autodoc.ru/Web/price/art/8820AGNBLV?analog=on","8820AGNBLV"))*1</f>
        <v>#VALUE!</v>
      </c>
      <c r="B10116" s="1">
        <v>6969140</v>
      </c>
      <c r="C10116" t="s">
        <v>6212</v>
      </c>
      <c r="D10116" t="s">
        <v>10292</v>
      </c>
      <c r="E10116" t="s">
        <v>8</v>
      </c>
    </row>
    <row r="10117" spans="1:5" hidden="1" outlineLevel="2">
      <c r="A10117" s="3" t="e">
        <f>(HYPERLINK("http://www.autodoc.ru/Web/price/art/8820ASMHT?analog=on","8820ASMHT"))*1</f>
        <v>#VALUE!</v>
      </c>
      <c r="B10117" s="1">
        <v>6100545</v>
      </c>
      <c r="C10117" t="s">
        <v>19</v>
      </c>
      <c r="D10117" t="s">
        <v>10293</v>
      </c>
      <c r="E10117" t="s">
        <v>21</v>
      </c>
    </row>
    <row r="10118" spans="1:5" hidden="1" outlineLevel="2">
      <c r="A10118" s="3" t="e">
        <f>(HYPERLINK("http://www.autodoc.ru/Web/price/art/8820BGNHB?analog=on","8820BGNHB"))*1</f>
        <v>#VALUE!</v>
      </c>
      <c r="B10118" s="1">
        <v>6998686</v>
      </c>
      <c r="C10118" t="s">
        <v>6212</v>
      </c>
      <c r="D10118" t="s">
        <v>10294</v>
      </c>
      <c r="E10118" t="s">
        <v>23</v>
      </c>
    </row>
    <row r="10119" spans="1:5" hidden="1" outlineLevel="2">
      <c r="A10119" s="3" t="e">
        <f>(HYPERLINK("http://www.autodoc.ru/Web/price/art/8820BGNSB?analog=on","8820BGNSB"))*1</f>
        <v>#VALUE!</v>
      </c>
      <c r="B10119" s="1">
        <v>6998932</v>
      </c>
      <c r="C10119" t="s">
        <v>6212</v>
      </c>
      <c r="D10119" t="s">
        <v>10295</v>
      </c>
      <c r="E10119" t="s">
        <v>23</v>
      </c>
    </row>
    <row r="10120" spans="1:5" hidden="1" outlineLevel="2">
      <c r="A10120" s="3" t="e">
        <f>(HYPERLINK("http://www.autodoc.ru/Web/price/art/8820LGNH5FD?analog=on","8820LGNH5FD"))*1</f>
        <v>#VALUE!</v>
      </c>
      <c r="B10120" s="1">
        <v>6996945</v>
      </c>
      <c r="C10120" t="s">
        <v>6212</v>
      </c>
      <c r="D10120" t="s">
        <v>10296</v>
      </c>
      <c r="E10120" t="s">
        <v>10</v>
      </c>
    </row>
    <row r="10121" spans="1:5" hidden="1" outlineLevel="2">
      <c r="A10121" s="3" t="e">
        <f>(HYPERLINK("http://www.autodoc.ru/Web/price/art/8820LGNH5RD?analog=on","8820LGNH5RD"))*1</f>
        <v>#VALUE!</v>
      </c>
      <c r="B10121" s="1">
        <v>6996946</v>
      </c>
      <c r="C10121" t="s">
        <v>6212</v>
      </c>
      <c r="D10121" t="s">
        <v>10297</v>
      </c>
      <c r="E10121" t="s">
        <v>10</v>
      </c>
    </row>
    <row r="10122" spans="1:5" hidden="1" outlineLevel="2">
      <c r="A10122" s="3" t="e">
        <f>(HYPERLINK("http://www.autodoc.ru/Web/price/art/8820RGNH5FD?analog=on","8820RGNH5FD"))*1</f>
        <v>#VALUE!</v>
      </c>
      <c r="B10122" s="1">
        <v>6996947</v>
      </c>
      <c r="C10122" t="s">
        <v>6212</v>
      </c>
      <c r="D10122" t="s">
        <v>10298</v>
      </c>
      <c r="E10122" t="s">
        <v>10</v>
      </c>
    </row>
    <row r="10123" spans="1:5" hidden="1" outlineLevel="2">
      <c r="A10123" s="3" t="e">
        <f>(HYPERLINK("http://www.autodoc.ru/Web/price/art/8820RGNH5RD?analog=on","8820RGNH5RD"))*1</f>
        <v>#VALUE!</v>
      </c>
      <c r="B10123" s="1">
        <v>6996948</v>
      </c>
      <c r="C10123" t="s">
        <v>6212</v>
      </c>
      <c r="D10123" t="s">
        <v>10299</v>
      </c>
      <c r="E10123" t="s">
        <v>10</v>
      </c>
    </row>
    <row r="10124" spans="1:5" hidden="1" outlineLevel="1">
      <c r="A10124" s="2">
        <v>0</v>
      </c>
      <c r="B10124" s="26" t="s">
        <v>10300</v>
      </c>
      <c r="C10124" s="27">
        <v>0</v>
      </c>
      <c r="D10124" s="27">
        <v>0</v>
      </c>
      <c r="E10124" s="27">
        <v>0</v>
      </c>
    </row>
    <row r="10125" spans="1:5" hidden="1" outlineLevel="2">
      <c r="A10125" s="3" t="e">
        <f>(HYPERLINK("http://www.autodoc.ru/Web/price/art/8819AGNBL?analog=on","8819AGNBL"))*1</f>
        <v>#VALUE!</v>
      </c>
      <c r="B10125" s="1">
        <v>6963725</v>
      </c>
      <c r="C10125" t="s">
        <v>620</v>
      </c>
      <c r="D10125" t="s">
        <v>10301</v>
      </c>
      <c r="E10125" t="s">
        <v>8</v>
      </c>
    </row>
    <row r="10126" spans="1:5" hidden="1" outlineLevel="2">
      <c r="A10126" s="3" t="e">
        <f>(HYPERLINK("http://www.autodoc.ru/Web/price/art/8819LGNC2FD?analog=on","8819LGNC2FD"))*1</f>
        <v>#VALUE!</v>
      </c>
      <c r="B10126" s="1">
        <v>6998223</v>
      </c>
      <c r="C10126" t="s">
        <v>620</v>
      </c>
      <c r="D10126" t="s">
        <v>10302</v>
      </c>
      <c r="E10126" t="s">
        <v>10</v>
      </c>
    </row>
    <row r="10127" spans="1:5" hidden="1" outlineLevel="1">
      <c r="A10127" s="2">
        <v>0</v>
      </c>
      <c r="B10127" s="26" t="s">
        <v>10303</v>
      </c>
      <c r="C10127" s="27">
        <v>0</v>
      </c>
      <c r="D10127" s="27">
        <v>0</v>
      </c>
      <c r="E10127" s="27">
        <v>0</v>
      </c>
    </row>
    <row r="10128" spans="1:5" hidden="1" outlineLevel="2">
      <c r="A10128" s="3" t="e">
        <f>(HYPERLINK("http://www.autodoc.ru/Web/price/art/8830ACL?analog=on","8830ACL"))*1</f>
        <v>#VALUE!</v>
      </c>
      <c r="B10128" s="1">
        <v>6190684</v>
      </c>
      <c r="C10128" t="s">
        <v>4409</v>
      </c>
      <c r="D10128" t="s">
        <v>10304</v>
      </c>
      <c r="E10128" t="s">
        <v>8</v>
      </c>
    </row>
    <row r="10129" spans="1:5" hidden="1" outlineLevel="1">
      <c r="A10129" s="2">
        <v>0</v>
      </c>
      <c r="B10129" s="26" t="s">
        <v>10305</v>
      </c>
      <c r="C10129" s="27">
        <v>0</v>
      </c>
      <c r="D10129" s="27">
        <v>0</v>
      </c>
      <c r="E10129" s="27">
        <v>0</v>
      </c>
    </row>
    <row r="10130" spans="1:5" hidden="1" outlineLevel="2">
      <c r="A10130" s="3" t="e">
        <f>(HYPERLINK("http://www.autodoc.ru/Web/price/art/8812AGNBL?analog=on","8812AGNBL"))*1</f>
        <v>#VALUE!</v>
      </c>
      <c r="B10130" s="1">
        <v>6950148</v>
      </c>
      <c r="C10130" t="s">
        <v>6</v>
      </c>
      <c r="D10130" t="s">
        <v>10306</v>
      </c>
      <c r="E10130" t="s">
        <v>8</v>
      </c>
    </row>
    <row r="10131" spans="1:5" hidden="1" outlineLevel="2">
      <c r="A10131" s="3" t="e">
        <f>(HYPERLINK("http://www.autodoc.ru/Web/price/art/8812AKCS?analog=on","8812AKCS"))*1</f>
        <v>#VALUE!</v>
      </c>
      <c r="B10131" s="1">
        <v>6100246</v>
      </c>
      <c r="C10131" t="s">
        <v>19</v>
      </c>
      <c r="D10131" t="s">
        <v>10307</v>
      </c>
      <c r="E10131" t="s">
        <v>21</v>
      </c>
    </row>
    <row r="10132" spans="1:5" hidden="1" outlineLevel="2">
      <c r="A10132" s="3" t="e">
        <f>(HYPERLINK("http://www.autodoc.ru/Web/price/art/8812BGNE?analog=on","8812BGNE"))*1</f>
        <v>#VALUE!</v>
      </c>
      <c r="B10132" s="1">
        <v>6998841</v>
      </c>
      <c r="C10132" t="s">
        <v>6</v>
      </c>
      <c r="D10132" t="s">
        <v>10308</v>
      </c>
      <c r="E10132" t="s">
        <v>23</v>
      </c>
    </row>
    <row r="10133" spans="1:5" hidden="1" outlineLevel="2">
      <c r="A10133" s="3" t="e">
        <f>(HYPERLINK("http://www.autodoc.ru/Web/price/art/8812LGNE5RQ?analog=on","8812LGNE5RQ"))*1</f>
        <v>#VALUE!</v>
      </c>
      <c r="B10133" s="1">
        <v>6996941</v>
      </c>
      <c r="C10133" t="s">
        <v>6</v>
      </c>
      <c r="D10133" t="s">
        <v>10309</v>
      </c>
      <c r="E10133" t="s">
        <v>10</v>
      </c>
    </row>
    <row r="10134" spans="1:5" hidden="1" outlineLevel="2">
      <c r="A10134" s="3" t="e">
        <f>(HYPERLINK("http://www.autodoc.ru/Web/price/art/8812LGNS4FD?analog=on","8812LGNS4FD"))*1</f>
        <v>#VALUE!</v>
      </c>
      <c r="B10134" s="1">
        <v>6996942</v>
      </c>
      <c r="C10134" t="s">
        <v>6</v>
      </c>
      <c r="D10134" t="s">
        <v>10310</v>
      </c>
      <c r="E10134" t="s">
        <v>10</v>
      </c>
    </row>
    <row r="10135" spans="1:5" hidden="1" outlineLevel="2">
      <c r="A10135" s="3" t="e">
        <f>(HYPERLINK("http://www.autodoc.ru/Web/price/art/8812LGNS4RD?analog=on","8812LGNS4RD"))*1</f>
        <v>#VALUE!</v>
      </c>
      <c r="B10135" s="1">
        <v>6995510</v>
      </c>
      <c r="C10135" t="s">
        <v>6</v>
      </c>
      <c r="D10135" t="s">
        <v>10311</v>
      </c>
      <c r="E10135" t="s">
        <v>10</v>
      </c>
    </row>
    <row r="10136" spans="1:5" hidden="1" outlineLevel="2">
      <c r="A10136" s="3" t="e">
        <f>(HYPERLINK("http://www.autodoc.ru/Web/price/art/8812LGNS4RV?analog=on","8812LGNS4RV"))*1</f>
        <v>#VALUE!</v>
      </c>
      <c r="B10136" s="1">
        <v>6999105</v>
      </c>
      <c r="C10136" t="s">
        <v>6</v>
      </c>
      <c r="D10136" t="s">
        <v>10312</v>
      </c>
      <c r="E10136" t="s">
        <v>10</v>
      </c>
    </row>
    <row r="10137" spans="1:5" hidden="1" outlineLevel="2">
      <c r="A10137" s="3" t="e">
        <f>(HYPERLINK("http://www.autodoc.ru/Web/price/art/8812RGNE5RQ?analog=on","8812RGNE5RQ"))*1</f>
        <v>#VALUE!</v>
      </c>
      <c r="B10137" s="1">
        <v>6996943</v>
      </c>
      <c r="C10137" t="s">
        <v>6</v>
      </c>
      <c r="D10137" t="s">
        <v>10313</v>
      </c>
      <c r="E10137" t="s">
        <v>10</v>
      </c>
    </row>
    <row r="10138" spans="1:5" hidden="1" outlineLevel="2">
      <c r="A10138" s="3" t="e">
        <f>(HYPERLINK("http://www.autodoc.ru/Web/price/art/8812RGNS4FD?analog=on","8812RGNS4FD"))*1</f>
        <v>#VALUE!</v>
      </c>
      <c r="B10138" s="1">
        <v>6996944</v>
      </c>
      <c r="C10138" t="s">
        <v>6</v>
      </c>
      <c r="D10138" t="s">
        <v>10314</v>
      </c>
      <c r="E10138" t="s">
        <v>10</v>
      </c>
    </row>
    <row r="10139" spans="1:5" hidden="1" outlineLevel="2">
      <c r="A10139" s="3" t="e">
        <f>(HYPERLINK("http://www.autodoc.ru/Web/price/art/8812RGNS4RD?analog=on","8812RGNS4RD"))*1</f>
        <v>#VALUE!</v>
      </c>
      <c r="B10139" s="1">
        <v>6995512</v>
      </c>
      <c r="C10139" t="s">
        <v>6</v>
      </c>
      <c r="D10139" t="s">
        <v>10315</v>
      </c>
      <c r="E10139" t="s">
        <v>10</v>
      </c>
    </row>
    <row r="10140" spans="1:5" hidden="1" outlineLevel="2">
      <c r="A10140" s="3" t="e">
        <f>(HYPERLINK("http://www.autodoc.ru/Web/price/art/8812RGNS4RV?analog=on","8812RGNS4RV"))*1</f>
        <v>#VALUE!</v>
      </c>
      <c r="B10140" s="1">
        <v>6999104</v>
      </c>
      <c r="C10140" t="s">
        <v>6</v>
      </c>
      <c r="D10140" t="s">
        <v>10316</v>
      </c>
      <c r="E10140" t="s">
        <v>10</v>
      </c>
    </row>
    <row r="10141" spans="1:5" hidden="1" outlineLevel="1">
      <c r="A10141" s="2">
        <v>0</v>
      </c>
      <c r="B10141" s="26" t="s">
        <v>10317</v>
      </c>
      <c r="C10141" s="27">
        <v>0</v>
      </c>
      <c r="D10141" s="27">
        <v>0</v>
      </c>
      <c r="E10141" s="27">
        <v>0</v>
      </c>
    </row>
    <row r="10142" spans="1:5" hidden="1" outlineLevel="2">
      <c r="A10142" s="3" t="e">
        <f>(HYPERLINK("http://www.autodoc.ru/Web/price/art/8818AGNBL?analog=on","8818AGNBL"))*1</f>
        <v>#VALUE!</v>
      </c>
      <c r="B10142" s="1">
        <v>6963724</v>
      </c>
      <c r="C10142" t="s">
        <v>6401</v>
      </c>
      <c r="D10142" t="s">
        <v>10318</v>
      </c>
      <c r="E10142" t="s">
        <v>8</v>
      </c>
    </row>
    <row r="10143" spans="1:5" hidden="1" outlineLevel="2">
      <c r="A10143" s="3" t="e">
        <f>(HYPERLINK("http://www.autodoc.ru/Web/price/art/8818LGNS4FD?analog=on","8818LGNS4FD"))*1</f>
        <v>#VALUE!</v>
      </c>
      <c r="B10143" s="1">
        <v>6190594</v>
      </c>
      <c r="C10143" t="s">
        <v>4754</v>
      </c>
      <c r="D10143" t="s">
        <v>10319</v>
      </c>
      <c r="E10143" t="s">
        <v>10</v>
      </c>
    </row>
    <row r="10144" spans="1:5" hidden="1" outlineLevel="2">
      <c r="A10144" s="3" t="e">
        <f>(HYPERLINK("http://www.autodoc.ru/Web/price/art/8818LGNS4RD?analog=on","8818LGNS4RD"))*1</f>
        <v>#VALUE!</v>
      </c>
      <c r="B10144" s="1">
        <v>6190595</v>
      </c>
      <c r="C10144" t="s">
        <v>4754</v>
      </c>
      <c r="D10144" t="s">
        <v>10320</v>
      </c>
      <c r="E10144" t="s">
        <v>10</v>
      </c>
    </row>
    <row r="10145" spans="1:5" hidden="1" outlineLevel="2">
      <c r="A10145" s="3" t="e">
        <f>(HYPERLINK("http://www.autodoc.ru/Web/price/art/8818LGNS4RV?analog=on","8818LGNS4RV"))*1</f>
        <v>#VALUE!</v>
      </c>
      <c r="B10145" s="1">
        <v>6190596</v>
      </c>
      <c r="C10145" t="s">
        <v>4754</v>
      </c>
      <c r="D10145" t="s">
        <v>10321</v>
      </c>
      <c r="E10145" t="s">
        <v>10</v>
      </c>
    </row>
    <row r="10146" spans="1:5" hidden="1" outlineLevel="2">
      <c r="A10146" s="3" t="e">
        <f>(HYPERLINK("http://www.autodoc.ru/Web/price/art/8818RGNS4FD?analog=on","8818RGNS4FD"))*1</f>
        <v>#VALUE!</v>
      </c>
      <c r="B10146" s="1">
        <v>6190597</v>
      </c>
      <c r="C10146" t="s">
        <v>4754</v>
      </c>
      <c r="D10146" t="s">
        <v>10322</v>
      </c>
      <c r="E10146" t="s">
        <v>10</v>
      </c>
    </row>
    <row r="10147" spans="1:5" hidden="1" outlineLevel="2">
      <c r="A10147" s="3" t="e">
        <f>(HYPERLINK("http://www.autodoc.ru/Web/price/art/8818RGNS4RD?analog=on","8818RGNS4RD"))*1</f>
        <v>#VALUE!</v>
      </c>
      <c r="B10147" s="1">
        <v>6190598</v>
      </c>
      <c r="C10147" t="s">
        <v>4754</v>
      </c>
      <c r="D10147" t="s">
        <v>10323</v>
      </c>
      <c r="E10147" t="s">
        <v>10</v>
      </c>
    </row>
    <row r="10148" spans="1:5" hidden="1" outlineLevel="2">
      <c r="A10148" s="3" t="e">
        <f>(HYPERLINK("http://www.autodoc.ru/Web/price/art/8818RGNS4RV?analog=on","8818RGNS4RV"))*1</f>
        <v>#VALUE!</v>
      </c>
      <c r="B10148" s="1">
        <v>6190599</v>
      </c>
      <c r="C10148" t="s">
        <v>4754</v>
      </c>
      <c r="D10148" t="s">
        <v>10324</v>
      </c>
      <c r="E10148" t="s">
        <v>10</v>
      </c>
    </row>
    <row r="10149" spans="1:5" hidden="1" outlineLevel="1">
      <c r="A10149" s="2">
        <v>0</v>
      </c>
      <c r="B10149" s="26" t="s">
        <v>10325</v>
      </c>
      <c r="C10149" s="27">
        <v>0</v>
      </c>
      <c r="D10149" s="27">
        <v>0</v>
      </c>
      <c r="E10149" s="27">
        <v>0</v>
      </c>
    </row>
    <row r="10150" spans="1:5" hidden="1" outlineLevel="2">
      <c r="A10150" s="3" t="e">
        <f>(HYPERLINK("http://www.autodoc.ru/Web/price/art/8822AGNBL?analog=on","8822AGNBL"))*1</f>
        <v>#VALUE!</v>
      </c>
      <c r="B10150" s="1">
        <v>6969144</v>
      </c>
      <c r="C10150" t="s">
        <v>3237</v>
      </c>
      <c r="D10150" t="s">
        <v>10326</v>
      </c>
      <c r="E10150" t="s">
        <v>8</v>
      </c>
    </row>
    <row r="10151" spans="1:5" hidden="1" outlineLevel="2">
      <c r="A10151" s="3" t="e">
        <f>(HYPERLINK("http://www.autodoc.ru/Web/price/art/8822AGNGN?analog=on","8822AGNGN"))*1</f>
        <v>#VALUE!</v>
      </c>
      <c r="B10151" s="1">
        <v>6969143</v>
      </c>
      <c r="C10151" t="s">
        <v>3237</v>
      </c>
      <c r="D10151" t="s">
        <v>10327</v>
      </c>
      <c r="E10151" t="s">
        <v>8</v>
      </c>
    </row>
    <row r="10152" spans="1:5" hidden="1" outlineLevel="2">
      <c r="A10152" s="3" t="e">
        <f>(HYPERLINK("http://www.autodoc.ru/Web/price/art/8822ASMST?analog=on","8822ASMST"))*1</f>
        <v>#VALUE!</v>
      </c>
      <c r="B10152" s="1">
        <v>6100546</v>
      </c>
      <c r="C10152" t="s">
        <v>19</v>
      </c>
      <c r="D10152" t="s">
        <v>10328</v>
      </c>
      <c r="E10152" t="s">
        <v>21</v>
      </c>
    </row>
    <row r="10153" spans="1:5" hidden="1" outlineLevel="2">
      <c r="A10153" s="3" t="e">
        <f>(HYPERLINK("http://www.autodoc.ru/Web/price/art/8822BGNEW?analog=on","8822BGNEW"))*1</f>
        <v>#VALUE!</v>
      </c>
      <c r="B10153" s="1">
        <v>6996135</v>
      </c>
      <c r="C10153" t="s">
        <v>3237</v>
      </c>
      <c r="D10153" t="s">
        <v>10329</v>
      </c>
      <c r="E10153" t="s">
        <v>23</v>
      </c>
    </row>
    <row r="10154" spans="1:5" hidden="1" outlineLevel="2">
      <c r="A10154" s="3" t="e">
        <f>(HYPERLINK("http://www.autodoc.ru/Web/price/art/8822LGNS4FDW?analog=on","8822LGNS4FDW"))*1</f>
        <v>#VALUE!</v>
      </c>
      <c r="B10154" s="1">
        <v>6994691</v>
      </c>
      <c r="C10154" t="s">
        <v>3237</v>
      </c>
      <c r="D10154" t="s">
        <v>10330</v>
      </c>
      <c r="E10154" t="s">
        <v>10</v>
      </c>
    </row>
    <row r="10155" spans="1:5" hidden="1" outlineLevel="2">
      <c r="A10155" s="3" t="e">
        <f>(HYPERLINK("http://www.autodoc.ru/Web/price/art/8822LGNS4RDW?analog=on","8822LGNS4RDW"))*1</f>
        <v>#VALUE!</v>
      </c>
      <c r="B10155" s="1">
        <v>6994692</v>
      </c>
      <c r="C10155" t="s">
        <v>3237</v>
      </c>
      <c r="D10155" t="s">
        <v>10331</v>
      </c>
      <c r="E10155" t="s">
        <v>10</v>
      </c>
    </row>
    <row r="10156" spans="1:5" hidden="1" outlineLevel="2">
      <c r="A10156" s="3" t="e">
        <f>(HYPERLINK("http://www.autodoc.ru/Web/price/art/8822RGNS4FDW?analog=on","8822RGNS4FDW"))*1</f>
        <v>#VALUE!</v>
      </c>
      <c r="B10156" s="1">
        <v>6994693</v>
      </c>
      <c r="C10156" t="s">
        <v>3237</v>
      </c>
      <c r="D10156" t="s">
        <v>10332</v>
      </c>
      <c r="E10156" t="s">
        <v>10</v>
      </c>
    </row>
    <row r="10157" spans="1:5" hidden="1" outlineLevel="2">
      <c r="A10157" s="3" t="e">
        <f>(HYPERLINK("http://www.autodoc.ru/Web/price/art/8822RGNS4RDW?analog=on","8822RGNS4RDW"))*1</f>
        <v>#VALUE!</v>
      </c>
      <c r="B10157" s="1">
        <v>6994694</v>
      </c>
      <c r="C10157" t="s">
        <v>3237</v>
      </c>
      <c r="D10157" t="s">
        <v>10333</v>
      </c>
      <c r="E10157" t="s">
        <v>10</v>
      </c>
    </row>
    <row r="10158" spans="1:5" hidden="1" outlineLevel="2">
      <c r="A10158" s="3" t="e">
        <f>(HYPERLINK("http://www.autodoc.ru/Web/price/art/8822RGNS4RQ?analog=on","8822RGNS4RQ"))*1</f>
        <v>#VALUE!</v>
      </c>
      <c r="B10158" s="1">
        <v>6995516</v>
      </c>
      <c r="C10158" t="s">
        <v>3237</v>
      </c>
      <c r="D10158" t="s">
        <v>10334</v>
      </c>
      <c r="E10158" t="s">
        <v>10</v>
      </c>
    </row>
    <row r="10159" spans="1:5" hidden="1" outlineLevel="1">
      <c r="A10159" s="2">
        <v>0</v>
      </c>
      <c r="B10159" s="26" t="s">
        <v>10335</v>
      </c>
      <c r="C10159" s="27">
        <v>0</v>
      </c>
      <c r="D10159" s="27">
        <v>0</v>
      </c>
      <c r="E10159" s="27">
        <v>0</v>
      </c>
    </row>
    <row r="10160" spans="1:5" hidden="1" outlineLevel="2">
      <c r="A10160" s="3" t="e">
        <f>(HYPERLINK("http://www.autodoc.ru/Web/price/art/8821AGNBL?analog=on","8821AGNBL"))*1</f>
        <v>#VALUE!</v>
      </c>
      <c r="B10160" s="1">
        <v>6969150</v>
      </c>
      <c r="C10160" t="s">
        <v>177</v>
      </c>
      <c r="D10160" t="s">
        <v>10336</v>
      </c>
      <c r="E10160" t="s">
        <v>8</v>
      </c>
    </row>
    <row r="10161" spans="1:5" hidden="1" outlineLevel="2">
      <c r="A10161" s="3" t="e">
        <f>(HYPERLINK("http://www.autodoc.ru/Web/price/art/8821AGNBL1B?analog=on","8821AGNBL1B"))*1</f>
        <v>#VALUE!</v>
      </c>
      <c r="B10161" s="1">
        <v>6969152</v>
      </c>
      <c r="C10161" t="s">
        <v>177</v>
      </c>
      <c r="D10161" t="s">
        <v>10337</v>
      </c>
      <c r="E10161" t="s">
        <v>8</v>
      </c>
    </row>
    <row r="10162" spans="1:5" hidden="1" outlineLevel="1">
      <c r="A10162" s="2">
        <v>0</v>
      </c>
      <c r="B10162" s="26" t="s">
        <v>10338</v>
      </c>
      <c r="C10162" s="27">
        <v>0</v>
      </c>
      <c r="D10162" s="27">
        <v>0</v>
      </c>
      <c r="E10162" s="27">
        <v>0</v>
      </c>
    </row>
    <row r="10163" spans="1:5" hidden="1" outlineLevel="2">
      <c r="A10163" s="3" t="e">
        <f>(HYPERLINK("http://www.autodoc.ru/Web/price/art/8833AGSMVZ1R?analog=on","8833AGSMVZ1R"))*1</f>
        <v>#VALUE!</v>
      </c>
      <c r="B10163" s="1">
        <v>6962839</v>
      </c>
      <c r="C10163" t="s">
        <v>3341</v>
      </c>
      <c r="D10163" t="s">
        <v>10339</v>
      </c>
      <c r="E10163" t="s">
        <v>8</v>
      </c>
    </row>
    <row r="10164" spans="1:5" hidden="1" outlineLevel="2">
      <c r="A10164" s="3" t="e">
        <f>(HYPERLINK("http://www.autodoc.ru/Web/price/art/8833AGSVZ1M?analog=on","8833AGSVZ1M"))*1</f>
        <v>#VALUE!</v>
      </c>
      <c r="B10164" s="1">
        <v>6962841</v>
      </c>
      <c r="C10164" t="s">
        <v>3341</v>
      </c>
      <c r="D10164" t="s">
        <v>10340</v>
      </c>
      <c r="E10164" t="s">
        <v>8</v>
      </c>
    </row>
    <row r="10165" spans="1:5" hidden="1" outlineLevel="2">
      <c r="A10165" s="3" t="e">
        <f>(HYPERLINK("http://www.autodoc.ru/Web/price/art/8833LGST2FD?analog=on","8833LGST2FD"))*1</f>
        <v>#VALUE!</v>
      </c>
      <c r="B10165" s="1">
        <v>6900800</v>
      </c>
      <c r="C10165" t="s">
        <v>3341</v>
      </c>
      <c r="D10165" t="s">
        <v>10341</v>
      </c>
      <c r="E10165" t="s">
        <v>10</v>
      </c>
    </row>
    <row r="10166" spans="1:5" hidden="1" outlineLevel="2">
      <c r="A10166" s="3" t="e">
        <f>(HYPERLINK("http://www.autodoc.ru/Web/price/art/8833RGST2FD?analog=on","8833RGST2FD"))*1</f>
        <v>#VALUE!</v>
      </c>
      <c r="B10166" s="1">
        <v>6900799</v>
      </c>
      <c r="C10166" t="s">
        <v>3341</v>
      </c>
      <c r="D10166" t="s">
        <v>10342</v>
      </c>
      <c r="E10166" t="s">
        <v>10</v>
      </c>
    </row>
    <row r="10167" spans="1:5" hidden="1" outlineLevel="1">
      <c r="A10167" s="2">
        <v>0</v>
      </c>
      <c r="B10167" s="26" t="s">
        <v>10343</v>
      </c>
      <c r="C10167" s="27">
        <v>0</v>
      </c>
      <c r="D10167" s="27">
        <v>0</v>
      </c>
      <c r="E10167" s="27">
        <v>0</v>
      </c>
    </row>
    <row r="10168" spans="1:5" hidden="1" outlineLevel="2">
      <c r="A10168" s="3" t="e">
        <f>(HYPERLINK("http://www.autodoc.ru/Web/price/art/8808ACL?analog=on","8808ACL"))*1</f>
        <v>#VALUE!</v>
      </c>
      <c r="B10168" s="1">
        <v>6964440</v>
      </c>
      <c r="C10168" t="s">
        <v>10344</v>
      </c>
      <c r="D10168" t="s">
        <v>10345</v>
      </c>
      <c r="E10168" t="s">
        <v>8</v>
      </c>
    </row>
    <row r="10169" spans="1:5" hidden="1" outlineLevel="1">
      <c r="A10169" s="2">
        <v>0</v>
      </c>
      <c r="B10169" s="26" t="s">
        <v>10346</v>
      </c>
      <c r="C10169" s="27">
        <v>0</v>
      </c>
      <c r="D10169" s="27">
        <v>0</v>
      </c>
      <c r="E10169" s="27">
        <v>0</v>
      </c>
    </row>
    <row r="10170" spans="1:5" hidden="1" outlineLevel="2">
      <c r="A10170" s="3" t="e">
        <f>(HYPERLINK("http://www.autodoc.ru/Web/price/art/8824AGN1R?analog=on","8824AGN1R"))*1</f>
        <v>#VALUE!</v>
      </c>
      <c r="B10170" s="1">
        <v>6969805</v>
      </c>
      <c r="C10170" t="s">
        <v>240</v>
      </c>
      <c r="D10170" t="s">
        <v>10347</v>
      </c>
      <c r="E10170" t="s">
        <v>8</v>
      </c>
    </row>
    <row r="10171" spans="1:5" hidden="1" outlineLevel="2">
      <c r="A10171" s="3" t="e">
        <f>(HYPERLINK("http://www.autodoc.ru/Web/price/art/8824AGNBL1R?analog=on","8824AGNBL1R"))*1</f>
        <v>#VALUE!</v>
      </c>
      <c r="B10171" s="1">
        <v>6963239</v>
      </c>
      <c r="C10171" t="s">
        <v>240</v>
      </c>
      <c r="D10171" t="s">
        <v>10348</v>
      </c>
      <c r="E10171" t="s">
        <v>8</v>
      </c>
    </row>
    <row r="10172" spans="1:5" hidden="1" outlineLevel="2">
      <c r="A10172" s="3" t="e">
        <f>(HYPERLINK("http://www.autodoc.ru/Web/price/art/8824AGNBLV2R?analog=on","8824AGNBLV2R"))*1</f>
        <v>#VALUE!</v>
      </c>
      <c r="B10172" s="1">
        <v>6960104</v>
      </c>
      <c r="C10172" t="s">
        <v>645</v>
      </c>
      <c r="D10172" t="s">
        <v>10349</v>
      </c>
      <c r="E10172" t="s">
        <v>8</v>
      </c>
    </row>
    <row r="10173" spans="1:5" hidden="1" outlineLevel="2">
      <c r="A10173" s="3" t="e">
        <f>(HYPERLINK("http://www.autodoc.ru/Web/price/art/8824AGNBLV3R?analog=on","8824AGNBLV3R"))*1</f>
        <v>#VALUE!</v>
      </c>
      <c r="B10173" s="1">
        <v>6960929</v>
      </c>
      <c r="C10173" t="s">
        <v>5213</v>
      </c>
      <c r="D10173" t="s">
        <v>10350</v>
      </c>
      <c r="E10173" t="s">
        <v>8</v>
      </c>
    </row>
    <row r="10174" spans="1:5" hidden="1" outlineLevel="2">
      <c r="A10174" s="3" t="e">
        <f>(HYPERLINK("http://www.autodoc.ru/Web/price/art/8824AGNV2R?analog=on","8824AGNV2R"))*1</f>
        <v>#VALUE!</v>
      </c>
      <c r="B10174" s="1">
        <v>6960036</v>
      </c>
      <c r="C10174" t="s">
        <v>645</v>
      </c>
      <c r="D10174" t="s">
        <v>10351</v>
      </c>
      <c r="E10174" t="s">
        <v>8</v>
      </c>
    </row>
    <row r="10175" spans="1:5" hidden="1" outlineLevel="2">
      <c r="A10175" s="3" t="e">
        <f>(HYPERLINK("http://www.autodoc.ru/Web/price/art/8824AGNV3R?analog=on","8824AGNV3R"))*1</f>
        <v>#VALUE!</v>
      </c>
      <c r="B10175" s="1">
        <v>6960930</v>
      </c>
      <c r="C10175" t="s">
        <v>654</v>
      </c>
      <c r="D10175" t="s">
        <v>10352</v>
      </c>
      <c r="E10175" t="s">
        <v>8</v>
      </c>
    </row>
    <row r="10176" spans="1:5" hidden="1" outlineLevel="2">
      <c r="A10176" s="3" t="e">
        <f>(HYPERLINK("http://www.autodoc.ru/Web/price/art/8824AKCS?analog=on","8824AKCS"))*1</f>
        <v>#VALUE!</v>
      </c>
      <c r="B10176" s="1">
        <v>6102385</v>
      </c>
      <c r="C10176" t="s">
        <v>19</v>
      </c>
      <c r="D10176" t="s">
        <v>10353</v>
      </c>
      <c r="E10176" t="s">
        <v>21</v>
      </c>
    </row>
    <row r="10177" spans="1:5" hidden="1" outlineLevel="2">
      <c r="A10177" s="3" t="e">
        <f>(HYPERLINK("http://www.autodoc.ru/Web/price/art/8824AKKS1G?analog=on","8824AKKS1G"))*1</f>
        <v>#VALUE!</v>
      </c>
      <c r="B10177" s="1">
        <v>6101129</v>
      </c>
      <c r="C10177" t="s">
        <v>19</v>
      </c>
      <c r="D10177" t="s">
        <v>10354</v>
      </c>
      <c r="E10177" t="s">
        <v>21</v>
      </c>
    </row>
    <row r="10178" spans="1:5" hidden="1" outlineLevel="2">
      <c r="A10178" s="3" t="e">
        <f>(HYPERLINK("http://www.autodoc.ru/Web/price/art/8824ASMST?analog=on","8824ASMST"))*1</f>
        <v>#VALUE!</v>
      </c>
      <c r="B10178" s="1">
        <v>6100249</v>
      </c>
      <c r="C10178" t="s">
        <v>19</v>
      </c>
      <c r="D10178" t="s">
        <v>10355</v>
      </c>
      <c r="E10178" t="s">
        <v>21</v>
      </c>
    </row>
    <row r="10179" spans="1:5" hidden="1" outlineLevel="2">
      <c r="A10179" s="3" t="e">
        <f>(HYPERLINK("http://www.autodoc.ru/Web/price/art/8824BGNSB?analog=on","8824BGNSB"))*1</f>
        <v>#VALUE!</v>
      </c>
      <c r="B10179" s="1">
        <v>6998988</v>
      </c>
      <c r="C10179" t="s">
        <v>1770</v>
      </c>
      <c r="D10179" t="s">
        <v>10356</v>
      </c>
      <c r="E10179" t="s">
        <v>23</v>
      </c>
    </row>
    <row r="10180" spans="1:5" hidden="1" outlineLevel="2">
      <c r="A10180" s="3" t="e">
        <f>(HYPERLINK("http://www.autodoc.ru/Web/price/art/8824LGNS4FD?analog=on","8824LGNS4FD"))*1</f>
        <v>#VALUE!</v>
      </c>
      <c r="B10180" s="1">
        <v>6996601</v>
      </c>
      <c r="C10180" t="s">
        <v>1770</v>
      </c>
      <c r="D10180" t="s">
        <v>10357</v>
      </c>
      <c r="E10180" t="s">
        <v>10</v>
      </c>
    </row>
    <row r="10181" spans="1:5" hidden="1" outlineLevel="2">
      <c r="A10181" s="3" t="e">
        <f>(HYPERLINK("http://www.autodoc.ru/Web/price/art/8824LGNS4RD?analog=on","8824LGNS4RD"))*1</f>
        <v>#VALUE!</v>
      </c>
      <c r="B10181" s="1">
        <v>6996602</v>
      </c>
      <c r="C10181" t="s">
        <v>1770</v>
      </c>
      <c r="D10181" t="s">
        <v>10358</v>
      </c>
      <c r="E10181" t="s">
        <v>10</v>
      </c>
    </row>
    <row r="10182" spans="1:5" hidden="1" outlineLevel="2">
      <c r="A10182" s="3" t="e">
        <f>(HYPERLINK("http://www.autodoc.ru/Web/price/art/8824RGNS4FD?analog=on","8824RGNS4FD"))*1</f>
        <v>#VALUE!</v>
      </c>
      <c r="B10182" s="1">
        <v>6996604</v>
      </c>
      <c r="C10182" t="s">
        <v>1770</v>
      </c>
      <c r="D10182" t="s">
        <v>10359</v>
      </c>
      <c r="E10182" t="s">
        <v>10</v>
      </c>
    </row>
    <row r="10183" spans="1:5" hidden="1" outlineLevel="2">
      <c r="A10183" s="3" t="e">
        <f>(HYPERLINK("http://www.autodoc.ru/Web/price/art/8824RGNS4RD?analog=on","8824RGNS4RD"))*1</f>
        <v>#VALUE!</v>
      </c>
      <c r="B10183" s="1">
        <v>6996605</v>
      </c>
      <c r="C10183" t="s">
        <v>1770</v>
      </c>
      <c r="D10183" t="s">
        <v>10360</v>
      </c>
      <c r="E10183" t="s">
        <v>10</v>
      </c>
    </row>
    <row r="10184" spans="1:5" hidden="1" outlineLevel="1">
      <c r="A10184" s="2">
        <v>0</v>
      </c>
      <c r="B10184" s="26" t="s">
        <v>10361</v>
      </c>
      <c r="C10184" s="27">
        <v>0</v>
      </c>
      <c r="D10184" s="27">
        <v>0</v>
      </c>
      <c r="E10184" s="27">
        <v>0</v>
      </c>
    </row>
    <row r="10185" spans="1:5" hidden="1" outlineLevel="2">
      <c r="A10185" s="3" t="e">
        <f>(HYPERLINK("http://www.autodoc.ru/Web/price/art/8832AGSMVZ1R?analog=on","8832AGSMVZ1R"))*1</f>
        <v>#VALUE!</v>
      </c>
      <c r="B10185" s="1">
        <v>6961113</v>
      </c>
      <c r="C10185" t="s">
        <v>221</v>
      </c>
      <c r="D10185" t="s">
        <v>10362</v>
      </c>
      <c r="E10185" t="s">
        <v>8</v>
      </c>
    </row>
    <row r="10186" spans="1:5" hidden="1" outlineLevel="2">
      <c r="A10186" s="3" t="e">
        <f>(HYPERLINK("http://www.autodoc.ru/Web/price/art/8832AGSMVZ2R?analog=on","8832AGSMVZ2R"))*1</f>
        <v>#VALUE!</v>
      </c>
      <c r="B10186" s="1">
        <v>6962320</v>
      </c>
      <c r="C10186" t="s">
        <v>3378</v>
      </c>
      <c r="D10186" t="s">
        <v>10363</v>
      </c>
      <c r="E10186" t="s">
        <v>8</v>
      </c>
    </row>
    <row r="10187" spans="1:5" hidden="1" outlineLevel="2">
      <c r="A10187" s="3" t="e">
        <f>(HYPERLINK("http://www.autodoc.ru/Web/price/art/8832AGSVZ1M?analog=on","8832AGSVZ1M"))*1</f>
        <v>#VALUE!</v>
      </c>
      <c r="B10187" s="1">
        <v>6961112</v>
      </c>
      <c r="C10187" t="s">
        <v>879</v>
      </c>
      <c r="D10187" t="s">
        <v>10364</v>
      </c>
      <c r="E10187" t="s">
        <v>8</v>
      </c>
    </row>
    <row r="10188" spans="1:5" hidden="1" outlineLevel="2">
      <c r="A10188" s="3" t="e">
        <f>(HYPERLINK("http://www.autodoc.ru/Web/price/art/8832AGSBLMVZ2R?analog=on","8832AGSBLMVZ2R"))*1</f>
        <v>#VALUE!</v>
      </c>
      <c r="B10188" s="1">
        <v>6962723</v>
      </c>
      <c r="C10188" t="s">
        <v>221</v>
      </c>
      <c r="D10188" t="s">
        <v>10365</v>
      </c>
      <c r="E10188" t="s">
        <v>8</v>
      </c>
    </row>
    <row r="10189" spans="1:5" hidden="1" outlineLevel="2">
      <c r="A10189" s="3" t="e">
        <f>(HYPERLINK("http://www.autodoc.ru/Web/price/art/8832BGSEABI?analog=on","8832BGSEABI"))*1</f>
        <v>#VALUE!</v>
      </c>
      <c r="B10189" s="1">
        <v>6997568</v>
      </c>
      <c r="C10189" t="s">
        <v>221</v>
      </c>
      <c r="D10189" t="s">
        <v>10366</v>
      </c>
      <c r="E10189" t="s">
        <v>23</v>
      </c>
    </row>
    <row r="10190" spans="1:5" hidden="1" outlineLevel="2">
      <c r="A10190" s="3" t="e">
        <f>(HYPERLINK("http://www.autodoc.ru/Web/price/art/8832BGSSABZ?analog=on","8832BGSSABZ"))*1</f>
        <v>#VALUE!</v>
      </c>
      <c r="B10190" s="1">
        <v>6997567</v>
      </c>
      <c r="C10190" t="s">
        <v>221</v>
      </c>
      <c r="D10190" t="s">
        <v>10367</v>
      </c>
      <c r="E10190" t="s">
        <v>23</v>
      </c>
    </row>
    <row r="10191" spans="1:5" hidden="1" outlineLevel="2">
      <c r="A10191" s="3" t="e">
        <f>(HYPERLINK("http://www.autodoc.ru/Web/price/art/8832LGSE5RD?analog=on","8832LGSE5RD"))*1</f>
        <v>#VALUE!</v>
      </c>
      <c r="B10191" s="1">
        <v>6997626</v>
      </c>
      <c r="C10191" t="s">
        <v>221</v>
      </c>
      <c r="D10191" t="s">
        <v>10368</v>
      </c>
      <c r="E10191" t="s">
        <v>10</v>
      </c>
    </row>
    <row r="10192" spans="1:5" hidden="1" outlineLevel="2">
      <c r="A10192" s="3" t="e">
        <f>(HYPERLINK("http://www.autodoc.ru/Web/price/art/8832LGSH3FD?analog=on","8832LGSH3FD"))*1</f>
        <v>#VALUE!</v>
      </c>
      <c r="B10192" s="1">
        <v>6993710</v>
      </c>
      <c r="C10192" t="s">
        <v>3378</v>
      </c>
      <c r="D10192" t="s">
        <v>10369</v>
      </c>
      <c r="E10192" t="s">
        <v>10</v>
      </c>
    </row>
    <row r="10193" spans="1:5" hidden="1" outlineLevel="2">
      <c r="A10193" s="3" t="e">
        <f>(HYPERLINK("http://www.autodoc.ru/Web/price/art/8832LGSH3FDKW?analog=on","8832LGSH3FDKW"))*1</f>
        <v>#VALUE!</v>
      </c>
      <c r="B10193" s="1">
        <v>6961197</v>
      </c>
      <c r="C10193" t="s">
        <v>3378</v>
      </c>
      <c r="D10193" t="s">
        <v>10370</v>
      </c>
      <c r="E10193" t="s">
        <v>10</v>
      </c>
    </row>
    <row r="10194" spans="1:5" hidden="1" outlineLevel="2">
      <c r="A10194" s="3" t="e">
        <f>(HYPERLINK("http://www.autodoc.ru/Web/price/art/8832LGSS4FD?analog=on","8832LGSS4FD"))*1</f>
        <v>#VALUE!</v>
      </c>
      <c r="B10194" s="1">
        <v>6997577</v>
      </c>
      <c r="C10194" t="s">
        <v>221</v>
      </c>
      <c r="D10194" t="s">
        <v>10371</v>
      </c>
      <c r="E10194" t="s">
        <v>10</v>
      </c>
    </row>
    <row r="10195" spans="1:5" hidden="1" outlineLevel="2">
      <c r="A10195" s="3" t="e">
        <f>(HYPERLINK("http://www.autodoc.ru/Web/price/art/8832LGSS4RD?analog=on","8832LGSS4RD"))*1</f>
        <v>#VALUE!</v>
      </c>
      <c r="B10195" s="1">
        <v>6997625</v>
      </c>
      <c r="C10195" t="s">
        <v>221</v>
      </c>
      <c r="D10195" t="s">
        <v>10368</v>
      </c>
      <c r="E10195" t="s">
        <v>10</v>
      </c>
    </row>
    <row r="10196" spans="1:5" hidden="1" outlineLevel="2">
      <c r="A10196" s="3" t="e">
        <f>(HYPERLINK("http://www.autodoc.ru/Web/price/art/8832RGSE5RD?analog=on","8832RGSE5RD"))*1</f>
        <v>#VALUE!</v>
      </c>
      <c r="B10196" s="1">
        <v>6993897</v>
      </c>
      <c r="C10196" t="s">
        <v>221</v>
      </c>
      <c r="D10196" t="s">
        <v>10372</v>
      </c>
      <c r="E10196" t="s">
        <v>10</v>
      </c>
    </row>
    <row r="10197" spans="1:5" hidden="1" outlineLevel="2">
      <c r="A10197" s="3" t="e">
        <f>(HYPERLINK("http://www.autodoc.ru/Web/price/art/8832RGSH3FD?analog=on","8832RGSH3FD"))*1</f>
        <v>#VALUE!</v>
      </c>
      <c r="B10197" s="1">
        <v>6993709</v>
      </c>
      <c r="C10197" t="s">
        <v>3378</v>
      </c>
      <c r="D10197" t="s">
        <v>10373</v>
      </c>
      <c r="E10197" t="s">
        <v>10</v>
      </c>
    </row>
    <row r="10198" spans="1:5" hidden="1" outlineLevel="2">
      <c r="A10198" s="3" t="e">
        <f>(HYPERLINK("http://www.autodoc.ru/Web/price/art/8832RGSH3FDKW?analog=on","8832RGSH3FDKW"))*1</f>
        <v>#VALUE!</v>
      </c>
      <c r="B10198" s="1">
        <v>6961196</v>
      </c>
      <c r="C10198" t="s">
        <v>3378</v>
      </c>
      <c r="D10198" t="s">
        <v>10374</v>
      </c>
      <c r="E10198" t="s">
        <v>10</v>
      </c>
    </row>
    <row r="10199" spans="1:5" hidden="1" outlineLevel="2">
      <c r="A10199" s="3" t="e">
        <f>(HYPERLINK("http://www.autodoc.ru/Web/price/art/8832RGSS4FD?analog=on","8832RGSS4FD"))*1</f>
        <v>#VALUE!</v>
      </c>
      <c r="B10199" s="1">
        <v>6993895</v>
      </c>
      <c r="C10199" t="s">
        <v>221</v>
      </c>
      <c r="D10199" t="s">
        <v>10375</v>
      </c>
      <c r="E10199" t="s">
        <v>10</v>
      </c>
    </row>
    <row r="10200" spans="1:5" hidden="1" outlineLevel="2">
      <c r="A10200" s="3" t="e">
        <f>(HYPERLINK("http://www.autodoc.ru/Web/price/art/8832RGSS4RD?analog=on","8832RGSS4RD"))*1</f>
        <v>#VALUE!</v>
      </c>
      <c r="B10200" s="1">
        <v>6993896</v>
      </c>
      <c r="C10200" t="s">
        <v>221</v>
      </c>
      <c r="D10200" t="s">
        <v>10372</v>
      </c>
      <c r="E10200" t="s">
        <v>10</v>
      </c>
    </row>
    <row r="10201" spans="1:5" hidden="1" outlineLevel="1">
      <c r="A10201" s="2">
        <v>0</v>
      </c>
      <c r="B10201" s="26" t="s">
        <v>10376</v>
      </c>
      <c r="C10201" s="27">
        <v>0</v>
      </c>
      <c r="D10201" s="27">
        <v>0</v>
      </c>
      <c r="E10201" s="27">
        <v>0</v>
      </c>
    </row>
    <row r="10202" spans="1:5" hidden="1" outlineLevel="2">
      <c r="A10202" s="3" t="e">
        <f>(HYPERLINK("http://www.autodoc.ru/Web/price/art/8829AGSBLMW1M?analog=on","8829AGSBLMW1M"))*1</f>
        <v>#VALUE!</v>
      </c>
      <c r="B10202" s="1">
        <v>6960554</v>
      </c>
      <c r="C10202" t="s">
        <v>48</v>
      </c>
      <c r="D10202" t="s">
        <v>10377</v>
      </c>
      <c r="E10202" t="s">
        <v>8</v>
      </c>
    </row>
    <row r="10203" spans="1:5" hidden="1" outlineLevel="2">
      <c r="A10203" s="3" t="e">
        <f>(HYPERLINK("http://www.autodoc.ru/Web/price/art/8829AGSBLW1M?analog=on","8829AGSBLW1M"))*1</f>
        <v>#VALUE!</v>
      </c>
      <c r="B10203" s="1">
        <v>6960532</v>
      </c>
      <c r="C10203" t="s">
        <v>48</v>
      </c>
      <c r="D10203" t="s">
        <v>10378</v>
      </c>
      <c r="E10203" t="s">
        <v>8</v>
      </c>
    </row>
    <row r="10204" spans="1:5" hidden="1" outlineLevel="2">
      <c r="A10204" s="3" t="e">
        <f>(HYPERLINK("http://www.autodoc.ru/Web/price/art/8829ASMET?analog=on","8829ASMET"))*1</f>
        <v>#VALUE!</v>
      </c>
      <c r="B10204" s="1">
        <v>6101700</v>
      </c>
      <c r="C10204" t="s">
        <v>19</v>
      </c>
      <c r="D10204" t="s">
        <v>10379</v>
      </c>
      <c r="E10204" t="s">
        <v>21</v>
      </c>
    </row>
    <row r="10205" spans="1:5" hidden="1" outlineLevel="2">
      <c r="A10205" s="3" t="e">
        <f>(HYPERLINK("http://www.autodoc.ru/Web/price/art/8829BGSEBGW?analog=on","8829BGSEBGW"))*1</f>
        <v>#VALUE!</v>
      </c>
      <c r="B10205" s="1">
        <v>6980027</v>
      </c>
      <c r="C10205" t="s">
        <v>48</v>
      </c>
      <c r="D10205" t="s">
        <v>10380</v>
      </c>
      <c r="E10205" t="s">
        <v>23</v>
      </c>
    </row>
    <row r="10206" spans="1:5" hidden="1" outlineLevel="2">
      <c r="A10206" s="3" t="e">
        <f>(HYPERLINK("http://www.autodoc.ru/Web/price/art/8829BGSSABGW?analog=on","8829BGSSABGW"))*1</f>
        <v>#VALUE!</v>
      </c>
      <c r="B10206" s="1">
        <v>6992089</v>
      </c>
      <c r="C10206" t="s">
        <v>48</v>
      </c>
      <c r="D10206" t="s">
        <v>10381</v>
      </c>
      <c r="E10206" t="s">
        <v>23</v>
      </c>
    </row>
    <row r="10207" spans="1:5" hidden="1" outlineLevel="2">
      <c r="A10207" s="3" t="e">
        <f>(HYPERLINK("http://www.autodoc.ru/Web/price/art/8829BGSSABW?analog=on","8829BGSSABW"))*1</f>
        <v>#VALUE!</v>
      </c>
      <c r="B10207" s="1">
        <v>6992088</v>
      </c>
      <c r="C10207" t="s">
        <v>48</v>
      </c>
      <c r="D10207" t="s">
        <v>10382</v>
      </c>
      <c r="E10207" t="s">
        <v>23</v>
      </c>
    </row>
    <row r="10208" spans="1:5" hidden="1" outlineLevel="2">
      <c r="A10208" s="3" t="e">
        <f>(HYPERLINK("http://www.autodoc.ru/Web/price/art/8829LGSE5FDW?analog=on","8829LGSE5FDW"))*1</f>
        <v>#VALUE!</v>
      </c>
      <c r="B10208" s="1">
        <v>6900016</v>
      </c>
      <c r="C10208" t="s">
        <v>48</v>
      </c>
      <c r="D10208" t="s">
        <v>10383</v>
      </c>
      <c r="E10208" t="s">
        <v>10</v>
      </c>
    </row>
    <row r="10209" spans="1:5" hidden="1" outlineLevel="2">
      <c r="A10209" s="3" t="e">
        <f>(HYPERLINK("http://www.autodoc.ru/Web/price/art/8829LGSE5RDW?analog=on","8829LGSE5RDW"))*1</f>
        <v>#VALUE!</v>
      </c>
      <c r="B10209" s="1">
        <v>6900203</v>
      </c>
      <c r="C10209" t="s">
        <v>48</v>
      </c>
      <c r="D10209" t="s">
        <v>10384</v>
      </c>
      <c r="E10209" t="s">
        <v>10</v>
      </c>
    </row>
    <row r="10210" spans="1:5" hidden="1" outlineLevel="2">
      <c r="A10210" s="3" t="e">
        <f>(HYPERLINK("http://www.autodoc.ru/Web/price/art/8829LGSS4RDW?analog=on","8829LGSS4RDW"))*1</f>
        <v>#VALUE!</v>
      </c>
      <c r="B10210" s="1">
        <v>6900355</v>
      </c>
      <c r="C10210" t="s">
        <v>48</v>
      </c>
      <c r="D10210" t="s">
        <v>10384</v>
      </c>
      <c r="E10210" t="s">
        <v>10</v>
      </c>
    </row>
    <row r="10211" spans="1:5" hidden="1" outlineLevel="2">
      <c r="A10211" s="3" t="e">
        <f>(HYPERLINK("http://www.autodoc.ru/Web/price/art/8829RGSE5FDW?analog=on","8829RGSE5FDW"))*1</f>
        <v>#VALUE!</v>
      </c>
      <c r="B10211" s="1">
        <v>6900102</v>
      </c>
      <c r="C10211" t="s">
        <v>48</v>
      </c>
      <c r="D10211" t="s">
        <v>10385</v>
      </c>
      <c r="E10211" t="s">
        <v>10</v>
      </c>
    </row>
    <row r="10212" spans="1:5" hidden="1" outlineLevel="2">
      <c r="A10212" s="3" t="e">
        <f>(HYPERLINK("http://www.autodoc.ru/Web/price/art/8829RGSE5RDW?analog=on","8829RGSE5RDW"))*1</f>
        <v>#VALUE!</v>
      </c>
      <c r="B10212" s="1">
        <v>6900287</v>
      </c>
      <c r="C10212" t="s">
        <v>48</v>
      </c>
      <c r="D10212" t="s">
        <v>10386</v>
      </c>
      <c r="E10212" t="s">
        <v>10</v>
      </c>
    </row>
    <row r="10213" spans="1:5" hidden="1" outlineLevel="2">
      <c r="A10213" s="3" t="e">
        <f>(HYPERLINK("http://www.autodoc.ru/Web/price/art/8829RGSS4RDW?analog=on","8829RGSS4RDW"))*1</f>
        <v>#VALUE!</v>
      </c>
      <c r="B10213" s="1">
        <v>6900285</v>
      </c>
      <c r="C10213" t="s">
        <v>48</v>
      </c>
      <c r="D10213" t="s">
        <v>10386</v>
      </c>
      <c r="E10213" t="s">
        <v>10</v>
      </c>
    </row>
    <row r="10214" spans="1:5" hidden="1" outlineLevel="1">
      <c r="A10214" s="2">
        <v>0</v>
      </c>
      <c r="B10214" s="26" t="s">
        <v>10387</v>
      </c>
      <c r="C10214" s="27">
        <v>0</v>
      </c>
      <c r="D10214" s="27">
        <v>0</v>
      </c>
      <c r="E10214" s="27">
        <v>0</v>
      </c>
    </row>
    <row r="10215" spans="1:5" hidden="1" outlineLevel="2">
      <c r="A10215" s="3" t="e">
        <f>(HYPERLINK("http://www.autodoc.ru/Web/price/art/8827AGSBLW?analog=on","8827AGSBLW"))*1</f>
        <v>#VALUE!</v>
      </c>
      <c r="B10215" s="1">
        <v>6963204</v>
      </c>
      <c r="C10215" t="s">
        <v>3612</v>
      </c>
      <c r="D10215" t="s">
        <v>10388</v>
      </c>
      <c r="E10215" t="s">
        <v>8</v>
      </c>
    </row>
    <row r="10216" spans="1:5" hidden="1" outlineLevel="2">
      <c r="A10216" s="3" t="e">
        <f>(HYPERLINK("http://www.autodoc.ru/Web/price/art/8827ASMST?analog=on","8827ASMST"))*1</f>
        <v>#VALUE!</v>
      </c>
      <c r="B10216" s="1">
        <v>6101238</v>
      </c>
      <c r="C10216" t="s">
        <v>19</v>
      </c>
      <c r="D10216" t="s">
        <v>10389</v>
      </c>
      <c r="E10216" t="s">
        <v>21</v>
      </c>
    </row>
    <row r="10217" spans="1:5" hidden="1" outlineLevel="2">
      <c r="A10217" s="3" t="e">
        <f>(HYPERLINK("http://www.autodoc.ru/Web/price/art/8827BGNEBW?analog=on","8827BGNEBW"))*1</f>
        <v>#VALUE!</v>
      </c>
      <c r="B10217" s="1">
        <v>6998844</v>
      </c>
      <c r="C10217" t="s">
        <v>3612</v>
      </c>
      <c r="D10217" t="s">
        <v>10390</v>
      </c>
      <c r="E10217" t="s">
        <v>23</v>
      </c>
    </row>
    <row r="10218" spans="1:5" hidden="1" outlineLevel="2">
      <c r="A10218" s="3" t="e">
        <f>(HYPERLINK("http://www.autodoc.ru/Web/price/art/8827BGNEBWX?analog=on","8827BGNEBWX"))*1</f>
        <v>#VALUE!</v>
      </c>
      <c r="B10218" s="1">
        <v>6998845</v>
      </c>
      <c r="C10218" t="s">
        <v>3612</v>
      </c>
      <c r="D10218" t="s">
        <v>10391</v>
      </c>
      <c r="E10218" t="s">
        <v>23</v>
      </c>
    </row>
    <row r="10219" spans="1:5" hidden="1" outlineLevel="2">
      <c r="A10219" s="3" t="e">
        <f>(HYPERLINK("http://www.autodoc.ru/Web/price/art/8827LGNS4FDW?analog=on","8827LGNS4FDW"))*1</f>
        <v>#VALUE!</v>
      </c>
      <c r="B10219" s="1">
        <v>6190602</v>
      </c>
      <c r="C10219" t="s">
        <v>3612</v>
      </c>
      <c r="D10219" t="s">
        <v>10392</v>
      </c>
      <c r="E10219" t="s">
        <v>10</v>
      </c>
    </row>
    <row r="10220" spans="1:5" hidden="1" outlineLevel="2">
      <c r="A10220" s="3" t="e">
        <f>(HYPERLINK("http://www.autodoc.ru/Web/price/art/8827LGNS4RDW?analog=on","8827LGNS4RDW"))*1</f>
        <v>#VALUE!</v>
      </c>
      <c r="B10220" s="1">
        <v>6190603</v>
      </c>
      <c r="C10220" t="s">
        <v>3612</v>
      </c>
      <c r="D10220" t="s">
        <v>10393</v>
      </c>
      <c r="E10220" t="s">
        <v>10</v>
      </c>
    </row>
    <row r="10221" spans="1:5" hidden="1" outlineLevel="2">
      <c r="A10221" s="3" t="e">
        <f>(HYPERLINK("http://www.autodoc.ru/Web/price/art/8827RGNS4FDW?analog=on","8827RGNS4FDW"))*1</f>
        <v>#VALUE!</v>
      </c>
      <c r="B10221" s="1">
        <v>6190604</v>
      </c>
      <c r="C10221" t="s">
        <v>3612</v>
      </c>
      <c r="D10221" t="s">
        <v>10394</v>
      </c>
      <c r="E10221" t="s">
        <v>10</v>
      </c>
    </row>
    <row r="10222" spans="1:5" hidden="1" outlineLevel="2">
      <c r="A10222" s="3" t="e">
        <f>(HYPERLINK("http://www.autodoc.ru/Web/price/art/8827RGNS4RDW?analog=on","8827RGNS4RDW"))*1</f>
        <v>#VALUE!</v>
      </c>
      <c r="B10222" s="1">
        <v>6190605</v>
      </c>
      <c r="C10222" t="s">
        <v>3612</v>
      </c>
      <c r="D10222" t="s">
        <v>10395</v>
      </c>
      <c r="E10222" t="s">
        <v>10</v>
      </c>
    </row>
    <row r="10223" spans="1:5" hidden="1" outlineLevel="1">
      <c r="A10223" s="2">
        <v>0</v>
      </c>
      <c r="B10223" s="26" t="s">
        <v>10396</v>
      </c>
      <c r="C10223" s="27">
        <v>0</v>
      </c>
      <c r="D10223" s="27">
        <v>0</v>
      </c>
      <c r="E10223" s="27">
        <v>0</v>
      </c>
    </row>
    <row r="10224" spans="1:5" hidden="1" outlineLevel="2">
      <c r="A10224" s="3" t="e">
        <f>(HYPERLINK("http://www.autodoc.ru/Web/price/art/8828AGSBLW1M?analog=on","8828AGSBLW1M"))*1</f>
        <v>#VALUE!</v>
      </c>
      <c r="B10224" s="1">
        <v>6963205</v>
      </c>
      <c r="C10224" t="s">
        <v>411</v>
      </c>
      <c r="D10224" t="s">
        <v>10397</v>
      </c>
      <c r="E10224" t="s">
        <v>8</v>
      </c>
    </row>
    <row r="10225" spans="1:5" hidden="1" outlineLevel="2">
      <c r="A10225" s="3" t="e">
        <f>(HYPERLINK("http://www.autodoc.ru/Web/price/art/8828AGSBLMW1R?analog=on","8828AGSBLMW1R"))*1</f>
        <v>#VALUE!</v>
      </c>
      <c r="B10225" s="1">
        <v>6962063</v>
      </c>
      <c r="C10225" t="s">
        <v>411</v>
      </c>
      <c r="D10225" t="s">
        <v>10398</v>
      </c>
      <c r="E10225" t="s">
        <v>8</v>
      </c>
    </row>
    <row r="10226" spans="1:5" hidden="1" outlineLevel="2">
      <c r="A10226" s="3" t="e">
        <f>(HYPERLINK("http://www.autodoc.ru/Web/price/art/8828AGNBLW?analog=on","8828AGNBLW"))*1</f>
        <v>#VALUE!</v>
      </c>
      <c r="B10226" s="1">
        <v>6950349</v>
      </c>
      <c r="C10226" t="s">
        <v>411</v>
      </c>
      <c r="D10226" t="s">
        <v>10399</v>
      </c>
      <c r="E10226" t="s">
        <v>8</v>
      </c>
    </row>
    <row r="10227" spans="1:5" hidden="1" outlineLevel="2">
      <c r="A10227" s="3" t="e">
        <f>(HYPERLINK("http://www.autodoc.ru/Web/price/art/8828ASMST?analog=on","8828ASMST"))*1</f>
        <v>#VALUE!</v>
      </c>
      <c r="B10227" s="1">
        <v>6100626</v>
      </c>
      <c r="C10227" t="s">
        <v>19</v>
      </c>
      <c r="D10227" t="s">
        <v>10400</v>
      </c>
      <c r="E10227" t="s">
        <v>21</v>
      </c>
    </row>
    <row r="10228" spans="1:5" hidden="1" outlineLevel="2">
      <c r="A10228" s="3" t="e">
        <f>(HYPERLINK("http://www.autodoc.ru/Web/price/art/8828LGSS4FDW?analog=on","8828LGSS4FDW"))*1</f>
        <v>#VALUE!</v>
      </c>
      <c r="B10228" s="1">
        <v>6900015</v>
      </c>
      <c r="C10228" t="s">
        <v>411</v>
      </c>
      <c r="D10228" t="s">
        <v>10401</v>
      </c>
      <c r="E10228" t="s">
        <v>10</v>
      </c>
    </row>
    <row r="10229" spans="1:5" hidden="1" outlineLevel="2">
      <c r="A10229" s="3" t="e">
        <f>(HYPERLINK("http://www.autodoc.ru/Web/price/art/8828LGSS4RDW?analog=on","8828LGSS4RDW"))*1</f>
        <v>#VALUE!</v>
      </c>
      <c r="B10229" s="1">
        <v>6900354</v>
      </c>
      <c r="C10229" t="s">
        <v>411</v>
      </c>
      <c r="D10229" t="s">
        <v>10402</v>
      </c>
      <c r="E10229" t="s">
        <v>10</v>
      </c>
    </row>
    <row r="10230" spans="1:5" hidden="1" outlineLevel="2">
      <c r="A10230" s="3" t="e">
        <f>(HYPERLINK("http://www.autodoc.ru/Web/price/art/8828RGSS4FDW?analog=on","8828RGSS4FDW"))*1</f>
        <v>#VALUE!</v>
      </c>
      <c r="B10230" s="1">
        <v>6900100</v>
      </c>
      <c r="C10230" t="s">
        <v>411</v>
      </c>
      <c r="D10230" t="s">
        <v>10403</v>
      </c>
      <c r="E10230" t="s">
        <v>10</v>
      </c>
    </row>
    <row r="10231" spans="1:5" hidden="1" outlineLevel="2">
      <c r="A10231" s="3" t="e">
        <f>(HYPERLINK("http://www.autodoc.ru/Web/price/art/8828RGSS4RDW?analog=on","8828RGSS4RDW"))*1</f>
        <v>#VALUE!</v>
      </c>
      <c r="B10231" s="1">
        <v>6900286</v>
      </c>
      <c r="C10231" t="s">
        <v>411</v>
      </c>
      <c r="D10231" t="s">
        <v>10404</v>
      </c>
      <c r="E10231" t="s">
        <v>10</v>
      </c>
    </row>
    <row r="10232" spans="1:5" hidden="1" outlineLevel="1">
      <c r="A10232" s="2">
        <v>0</v>
      </c>
      <c r="B10232" s="26" t="s">
        <v>10405</v>
      </c>
      <c r="C10232" s="27">
        <v>0</v>
      </c>
      <c r="D10232" s="27">
        <v>0</v>
      </c>
      <c r="E10232" s="27">
        <v>0</v>
      </c>
    </row>
    <row r="10233" spans="1:5" hidden="1" outlineLevel="2">
      <c r="A10233" s="3" t="e">
        <f>(HYPERLINK("http://www.autodoc.ru/Web/price/art/8836AGSMVZ1R?analog=on","8836AGSMVZ1R"))*1</f>
        <v>#VALUE!</v>
      </c>
      <c r="B10233" s="1">
        <v>6962726</v>
      </c>
      <c r="C10233" t="s">
        <v>290</v>
      </c>
      <c r="D10233" t="s">
        <v>10406</v>
      </c>
      <c r="E10233" t="s">
        <v>8</v>
      </c>
    </row>
    <row r="10234" spans="1:5" hidden="1" outlineLevel="2">
      <c r="A10234" s="3" t="e">
        <f>(HYPERLINK("http://www.autodoc.ru/Web/price/art/8836AGSVZ1M?analog=on","8836AGSVZ1M"))*1</f>
        <v>#VALUE!</v>
      </c>
      <c r="B10234" s="1">
        <v>6962725</v>
      </c>
      <c r="C10234" t="s">
        <v>290</v>
      </c>
      <c r="D10234" t="s">
        <v>10407</v>
      </c>
      <c r="E10234" t="s">
        <v>8</v>
      </c>
    </row>
    <row r="10235" spans="1:5" hidden="1" outlineLevel="2">
      <c r="A10235" s="3" t="e">
        <f>(HYPERLINK("http://www.autodoc.ru/Web/price/art/8836AGAMPVWZ1R?analog=on","8836AGAMPVWZ1R"))*1</f>
        <v>#VALUE!</v>
      </c>
      <c r="B10235" s="1">
        <v>6966033</v>
      </c>
      <c r="C10235" t="s">
        <v>211</v>
      </c>
      <c r="D10235" t="s">
        <v>10408</v>
      </c>
      <c r="E10235" t="s">
        <v>8</v>
      </c>
    </row>
    <row r="10236" spans="1:5" hidden="1" outlineLevel="2">
      <c r="A10236" s="3" t="e">
        <f>(HYPERLINK("http://www.autodoc.ru/Web/price/art/8836LGSS4FD?analog=on","8836LGSS4FD"))*1</f>
        <v>#VALUE!</v>
      </c>
      <c r="B10236" s="1">
        <v>6900542</v>
      </c>
      <c r="C10236" t="s">
        <v>290</v>
      </c>
      <c r="D10236" t="s">
        <v>10409</v>
      </c>
      <c r="E10236" t="s">
        <v>10</v>
      </c>
    </row>
    <row r="10237" spans="1:5" hidden="1" outlineLevel="2">
      <c r="A10237" s="3" t="e">
        <f>(HYPERLINK("http://www.autodoc.ru/Web/price/art/8836LGSS4RD?analog=on","8836LGSS4RD"))*1</f>
        <v>#VALUE!</v>
      </c>
      <c r="B10237" s="1">
        <v>6900550</v>
      </c>
      <c r="C10237" t="s">
        <v>290</v>
      </c>
      <c r="D10237" t="s">
        <v>10410</v>
      </c>
      <c r="E10237" t="s">
        <v>10</v>
      </c>
    </row>
    <row r="10238" spans="1:5" hidden="1" outlineLevel="2">
      <c r="A10238" s="3" t="e">
        <f>(HYPERLINK("http://www.autodoc.ru/Web/price/art/8836LGSE5RD?analog=on","8836LGSE5RD"))*1</f>
        <v>#VALUE!</v>
      </c>
      <c r="B10238" s="1">
        <v>6900960</v>
      </c>
      <c r="C10238" t="s">
        <v>290</v>
      </c>
      <c r="D10238" t="s">
        <v>10411</v>
      </c>
      <c r="E10238" t="s">
        <v>10</v>
      </c>
    </row>
    <row r="10239" spans="1:5" hidden="1" outlineLevel="2">
      <c r="A10239" s="3" t="e">
        <f>(HYPERLINK("http://www.autodoc.ru/Web/price/art/8836RGSS4FD?analog=on","8836RGSS4FD"))*1</f>
        <v>#VALUE!</v>
      </c>
      <c r="B10239" s="1">
        <v>6900101</v>
      </c>
      <c r="C10239" t="s">
        <v>290</v>
      </c>
      <c r="D10239" t="s">
        <v>10412</v>
      </c>
      <c r="E10239" t="s">
        <v>10</v>
      </c>
    </row>
    <row r="10240" spans="1:5" hidden="1" outlineLevel="2">
      <c r="A10240" s="3" t="e">
        <f>(HYPERLINK("http://www.autodoc.ru/Web/price/art/8836RGSS4RD?analog=on","8836RGSS4RD"))*1</f>
        <v>#VALUE!</v>
      </c>
      <c r="B10240" s="1">
        <v>6900551</v>
      </c>
      <c r="C10240" t="s">
        <v>290</v>
      </c>
      <c r="D10240" t="s">
        <v>10413</v>
      </c>
      <c r="E10240" t="s">
        <v>10</v>
      </c>
    </row>
    <row r="10241" spans="1:5" hidden="1" outlineLevel="1">
      <c r="A10241" s="2">
        <v>0</v>
      </c>
      <c r="B10241" s="26" t="s">
        <v>10414</v>
      </c>
      <c r="C10241" s="27">
        <v>0</v>
      </c>
      <c r="D10241" s="27">
        <v>0</v>
      </c>
      <c r="E10241" s="27">
        <v>0</v>
      </c>
    </row>
    <row r="10242" spans="1:5" hidden="1" outlineLevel="2">
      <c r="A10242" s="3" t="e">
        <f>(HYPERLINK("http://www.autodoc.ru/Web/price/art/8840AGNMPVWZ1R?analog=on","8840AGNMPVWZ1R"))*1</f>
        <v>#VALUE!</v>
      </c>
      <c r="B10242" s="1">
        <v>6964738</v>
      </c>
      <c r="C10242" t="s">
        <v>366</v>
      </c>
      <c r="D10242" t="s">
        <v>10415</v>
      </c>
      <c r="E10242" t="s">
        <v>8</v>
      </c>
    </row>
    <row r="10243" spans="1:5" hidden="1" outlineLevel="2">
      <c r="A10243" s="3" t="e">
        <f>(HYPERLINK("http://www.autodoc.ru/Web/price/art/8840AGNPVWZ1M?analog=on","8840AGNPVWZ1M"))*1</f>
        <v>#VALUE!</v>
      </c>
      <c r="B10243" s="1">
        <v>6965058</v>
      </c>
      <c r="C10243" t="s">
        <v>366</v>
      </c>
      <c r="D10243" t="s">
        <v>10416</v>
      </c>
      <c r="E10243" t="s">
        <v>8</v>
      </c>
    </row>
    <row r="10244" spans="1:5" hidden="1" outlineLevel="2">
      <c r="A10244" s="3" t="e">
        <f>(HYPERLINK("http://www.autodoc.ru/Web/price/art/8840AGNCMPVWZ2R?analog=on","8840AGNCMPVWZ2R"))*1</f>
        <v>#VALUE!</v>
      </c>
      <c r="B10244" s="1">
        <v>6964737</v>
      </c>
      <c r="C10244" t="s">
        <v>366</v>
      </c>
      <c r="D10244" t="s">
        <v>10417</v>
      </c>
      <c r="E10244" t="s">
        <v>8</v>
      </c>
    </row>
    <row r="10245" spans="1:5" hidden="1" outlineLevel="2">
      <c r="A10245" s="3" t="e">
        <f>(HYPERLINK("http://www.autodoc.ru/Web/price/art/8840ACCBLMPVW1Z?analog=on","8840ACCBLMPVW1Z"))*1</f>
        <v>#VALUE!</v>
      </c>
      <c r="B10245" s="1">
        <v>6966034</v>
      </c>
      <c r="C10245" t="s">
        <v>366</v>
      </c>
      <c r="D10245" t="s">
        <v>10418</v>
      </c>
      <c r="E10245" t="s">
        <v>8</v>
      </c>
    </row>
    <row r="10246" spans="1:5" hidden="1" outlineLevel="2">
      <c r="A10246" s="3" t="e">
        <f>(HYPERLINK("http://www.autodoc.ru/Web/price/art/8840BGSR?analog=on","8840BGSR"))*1</f>
        <v>#VALUE!</v>
      </c>
      <c r="B10246" s="1">
        <v>6901472</v>
      </c>
      <c r="C10246" t="s">
        <v>366</v>
      </c>
      <c r="D10246" t="s">
        <v>10419</v>
      </c>
      <c r="E10246" t="s">
        <v>23</v>
      </c>
    </row>
    <row r="10247" spans="1:5" hidden="1" outlineLevel="2">
      <c r="A10247" s="3" t="e">
        <f>(HYPERLINK("http://www.autodoc.ru/Web/price/art/8840LGSR5FD?analog=on","8840LGSR5FD"))*1</f>
        <v>#VALUE!</v>
      </c>
      <c r="B10247" s="1">
        <v>6901475</v>
      </c>
      <c r="C10247" t="s">
        <v>366</v>
      </c>
      <c r="D10247" t="s">
        <v>10420</v>
      </c>
      <c r="E10247" t="s">
        <v>10</v>
      </c>
    </row>
    <row r="10248" spans="1:5" hidden="1" outlineLevel="2">
      <c r="A10248" s="3" t="e">
        <f>(HYPERLINK("http://www.autodoc.ru/Web/price/art/8840LGSR5RD?analog=on","8840LGSR5RD"))*1</f>
        <v>#VALUE!</v>
      </c>
      <c r="B10248" s="1">
        <v>6901477</v>
      </c>
      <c r="C10248" t="s">
        <v>366</v>
      </c>
      <c r="D10248" t="s">
        <v>10421</v>
      </c>
      <c r="E10248" t="s">
        <v>10</v>
      </c>
    </row>
    <row r="10249" spans="1:5" hidden="1" outlineLevel="2">
      <c r="A10249" s="3" t="e">
        <f>(HYPERLINK("http://www.autodoc.ru/Web/price/art/8840RGSR5FD?analog=on","8840RGSR5FD"))*1</f>
        <v>#VALUE!</v>
      </c>
      <c r="B10249" s="1">
        <v>6901474</v>
      </c>
      <c r="C10249" t="s">
        <v>366</v>
      </c>
      <c r="D10249" t="s">
        <v>10422</v>
      </c>
      <c r="E10249" t="s">
        <v>10</v>
      </c>
    </row>
    <row r="10250" spans="1:5" hidden="1" outlineLevel="2">
      <c r="A10250" s="3" t="e">
        <f>(HYPERLINK("http://www.autodoc.ru/Web/price/art/8840RGSR5RD?analog=on","8840RGSR5RD"))*1</f>
        <v>#VALUE!</v>
      </c>
      <c r="B10250" s="1">
        <v>6901476</v>
      </c>
      <c r="C10250" t="s">
        <v>366</v>
      </c>
      <c r="D10250" t="s">
        <v>10423</v>
      </c>
      <c r="E10250" t="s">
        <v>10</v>
      </c>
    </row>
    <row r="10251" spans="1:5" hidden="1" outlineLevel="1">
      <c r="A10251" s="2">
        <v>0</v>
      </c>
      <c r="B10251" s="26" t="s">
        <v>10424</v>
      </c>
      <c r="C10251" s="27">
        <v>0</v>
      </c>
      <c r="D10251" s="27">
        <v>0</v>
      </c>
      <c r="E10251" s="27">
        <v>0</v>
      </c>
    </row>
    <row r="10252" spans="1:5" hidden="1" outlineLevel="2">
      <c r="A10252" s="3" t="e">
        <f>(HYPERLINK("http://www.autodoc.ru/Web/price/art/8831AGSBLMVZ1R?analog=on","8831AGSBLMVZ1R"))*1</f>
        <v>#VALUE!</v>
      </c>
      <c r="B10252" s="1">
        <v>6961271</v>
      </c>
      <c r="C10252" t="s">
        <v>1053</v>
      </c>
      <c r="D10252" t="s">
        <v>10425</v>
      </c>
      <c r="E10252" t="s">
        <v>8</v>
      </c>
    </row>
    <row r="10253" spans="1:5" hidden="1" outlineLevel="2">
      <c r="A10253" s="3" t="e">
        <f>(HYPERLINK("http://www.autodoc.ru/Web/price/art/8831AGSBLVZ1M?analog=on","8831AGSBLVZ1M"))*1</f>
        <v>#VALUE!</v>
      </c>
      <c r="B10253" s="1">
        <v>6961272</v>
      </c>
      <c r="C10253" t="s">
        <v>1053</v>
      </c>
      <c r="D10253" t="s">
        <v>10426</v>
      </c>
      <c r="E10253" t="s">
        <v>8</v>
      </c>
    </row>
    <row r="10254" spans="1:5" hidden="1" outlineLevel="2">
      <c r="A10254" s="3" t="e">
        <f>(HYPERLINK("http://www.autodoc.ru/Web/price/art/8831BGSE?analog=on","8831BGSE"))*1</f>
        <v>#VALUE!</v>
      </c>
      <c r="B10254" s="1">
        <v>6900531</v>
      </c>
      <c r="C10254" t="s">
        <v>1053</v>
      </c>
      <c r="D10254" t="s">
        <v>10427</v>
      </c>
      <c r="E10254" t="s">
        <v>23</v>
      </c>
    </row>
    <row r="10255" spans="1:5" hidden="1" outlineLevel="2">
      <c r="A10255" s="3" t="e">
        <f>(HYPERLINK("http://www.autodoc.ru/Web/price/art/8831BGPE?analog=on","8831BGPE"))*1</f>
        <v>#VALUE!</v>
      </c>
      <c r="B10255" s="1">
        <v>6900773</v>
      </c>
      <c r="C10255" t="s">
        <v>1053</v>
      </c>
      <c r="D10255" t="s">
        <v>10427</v>
      </c>
      <c r="E10255" t="s">
        <v>23</v>
      </c>
    </row>
    <row r="10256" spans="1:5" hidden="1" outlineLevel="1">
      <c r="A10256" s="2">
        <v>0</v>
      </c>
      <c r="B10256" s="26" t="s">
        <v>10428</v>
      </c>
      <c r="C10256" s="27">
        <v>0</v>
      </c>
      <c r="D10256" s="27">
        <v>0</v>
      </c>
      <c r="E10256" s="27">
        <v>0</v>
      </c>
    </row>
    <row r="10257" spans="1:5" hidden="1" outlineLevel="2">
      <c r="A10257" s="3" t="e">
        <f>(HYPERLINK("http://www.autodoc.ru/Web/price/art/8813ACL1A?analog=on","8813ACL1A"))*1</f>
        <v>#VALUE!</v>
      </c>
      <c r="B10257" s="1">
        <v>6963775</v>
      </c>
      <c r="C10257" t="s">
        <v>1838</v>
      </c>
      <c r="D10257" t="s">
        <v>10429</v>
      </c>
      <c r="E10257" t="s">
        <v>8</v>
      </c>
    </row>
    <row r="10258" spans="1:5" hidden="1" outlineLevel="2">
      <c r="A10258" s="3" t="e">
        <f>(HYPERLINK("http://www.autodoc.ru/Web/price/art/8813AGN?analog=on","8813AGN"))*1</f>
        <v>#VALUE!</v>
      </c>
      <c r="B10258" s="1">
        <v>6963731</v>
      </c>
      <c r="C10258" t="s">
        <v>1838</v>
      </c>
      <c r="D10258" t="s">
        <v>10430</v>
      </c>
      <c r="E10258" t="s">
        <v>8</v>
      </c>
    </row>
    <row r="10259" spans="1:5" hidden="1" outlineLevel="2">
      <c r="A10259" s="3" t="e">
        <f>(HYPERLINK("http://www.autodoc.ru/Web/price/art/8813AGN1A?analog=on","8813AGN1A"))*1</f>
        <v>#VALUE!</v>
      </c>
      <c r="B10259" s="1">
        <v>6963529</v>
      </c>
      <c r="C10259" t="s">
        <v>1838</v>
      </c>
      <c r="D10259" t="s">
        <v>10431</v>
      </c>
      <c r="E10259" t="s">
        <v>8</v>
      </c>
    </row>
    <row r="10260" spans="1:5" hidden="1" outlineLevel="2">
      <c r="A10260" s="3" t="e">
        <f>(HYPERLINK("http://www.autodoc.ru/Web/price/art/8813AGNGN1A?analog=on","8813AGNGN1A"))*1</f>
        <v>#VALUE!</v>
      </c>
      <c r="B10260" s="1">
        <v>6964571</v>
      </c>
      <c r="C10260" t="s">
        <v>1838</v>
      </c>
      <c r="D10260" t="s">
        <v>10432</v>
      </c>
      <c r="E10260" t="s">
        <v>8</v>
      </c>
    </row>
    <row r="10261" spans="1:5" hidden="1" outlineLevel="2">
      <c r="A10261" s="3" t="e">
        <f>(HYPERLINK("http://www.autodoc.ru/Web/price/art/8813ASRL?analog=on","8813ASRL"))*1</f>
        <v>#VALUE!</v>
      </c>
      <c r="B10261" s="1">
        <v>6100336</v>
      </c>
      <c r="C10261" t="s">
        <v>19</v>
      </c>
      <c r="D10261" t="s">
        <v>10433</v>
      </c>
      <c r="E10261" t="s">
        <v>21</v>
      </c>
    </row>
    <row r="10262" spans="1:5" hidden="1" outlineLevel="2">
      <c r="A10262" s="3" t="e">
        <f>(HYPERLINK("http://www.autodoc.ru/Web/price/art/8813FCLL2FD?analog=on","8813FCLL2FD"))*1</f>
        <v>#VALUE!</v>
      </c>
      <c r="B10262" s="1">
        <v>6995514</v>
      </c>
      <c r="C10262" t="s">
        <v>1838</v>
      </c>
      <c r="D10262" t="s">
        <v>10434</v>
      </c>
      <c r="E10262" t="s">
        <v>10</v>
      </c>
    </row>
    <row r="10263" spans="1:5" hidden="1" outlineLevel="1">
      <c r="A10263" s="2">
        <v>0</v>
      </c>
      <c r="B10263" s="26" t="s">
        <v>10435</v>
      </c>
      <c r="C10263" s="27">
        <v>0</v>
      </c>
      <c r="D10263" s="27">
        <v>0</v>
      </c>
      <c r="E10263" s="27">
        <v>0</v>
      </c>
    </row>
    <row r="10264" spans="1:5" hidden="1" outlineLevel="2">
      <c r="A10264" s="3" t="e">
        <f>(HYPERLINK("http://www.autodoc.ru/Web/price/art/8823ACL?analog=on","8823ACL"))*1</f>
        <v>#VALUE!</v>
      </c>
      <c r="B10264" s="1">
        <v>6963532</v>
      </c>
      <c r="C10264" t="s">
        <v>1893</v>
      </c>
      <c r="D10264" t="s">
        <v>10436</v>
      </c>
      <c r="E10264" t="s">
        <v>8</v>
      </c>
    </row>
    <row r="10265" spans="1:5" hidden="1" outlineLevel="2">
      <c r="A10265" s="3" t="e">
        <f>(HYPERLINK("http://www.autodoc.ru/Web/price/art/8823AGN?analog=on","8823AGN"))*1</f>
        <v>#VALUE!</v>
      </c>
      <c r="B10265" s="1">
        <v>6963533</v>
      </c>
      <c r="C10265" t="s">
        <v>1893</v>
      </c>
      <c r="D10265" t="s">
        <v>10437</v>
      </c>
      <c r="E10265" t="s">
        <v>8</v>
      </c>
    </row>
    <row r="10266" spans="1:5" hidden="1" outlineLevel="2">
      <c r="A10266" s="3" t="e">
        <f>(HYPERLINK("http://www.autodoc.ru/Web/price/art/8823AGN1B?analog=on","8823AGN1B"))*1</f>
        <v>#VALUE!</v>
      </c>
      <c r="B10266" s="1">
        <v>6961887</v>
      </c>
      <c r="C10266" t="s">
        <v>779</v>
      </c>
      <c r="D10266" t="s">
        <v>10438</v>
      </c>
      <c r="E10266" t="s">
        <v>8</v>
      </c>
    </row>
    <row r="10267" spans="1:5" hidden="1" outlineLevel="2">
      <c r="A10267" s="3" t="e">
        <f>(HYPERLINK("http://www.autodoc.ru/Web/price/art/8823AGNBL?analog=on","8823AGNBL"))*1</f>
        <v>#VALUE!</v>
      </c>
      <c r="B10267" s="1">
        <v>6962060</v>
      </c>
      <c r="C10267" t="s">
        <v>1893</v>
      </c>
      <c r="D10267" t="s">
        <v>10439</v>
      </c>
      <c r="E10267" t="s">
        <v>8</v>
      </c>
    </row>
    <row r="10268" spans="1:5" hidden="1" outlineLevel="2">
      <c r="A10268" s="3" t="e">
        <f>(HYPERLINK("http://www.autodoc.ru/Web/price/art/8823ASRL?analog=on","8823ASRL"))*1</f>
        <v>#VALUE!</v>
      </c>
      <c r="B10268" s="1">
        <v>6100548</v>
      </c>
      <c r="C10268" t="s">
        <v>19</v>
      </c>
      <c r="D10268" t="s">
        <v>10440</v>
      </c>
      <c r="E10268" t="s">
        <v>21</v>
      </c>
    </row>
    <row r="10269" spans="1:5" hidden="1" outlineLevel="2">
      <c r="A10269" s="3" t="e">
        <f>(HYPERLINK("http://www.autodoc.ru/Web/price/art/8823LCLL2FDW?analog=on","8823LCLL2FDW"))*1</f>
        <v>#VALUE!</v>
      </c>
      <c r="B10269" s="1">
        <v>6900011</v>
      </c>
      <c r="C10269" t="s">
        <v>1893</v>
      </c>
      <c r="D10269" t="s">
        <v>10441</v>
      </c>
      <c r="E10269" t="s">
        <v>10</v>
      </c>
    </row>
    <row r="10270" spans="1:5" hidden="1" outlineLevel="2">
      <c r="A10270" s="3" t="e">
        <f>(HYPERLINK("http://www.autodoc.ru/Web/price/art/8823LGNL2FDW?analog=on","8823LGNL2FDW"))*1</f>
        <v>#VALUE!</v>
      </c>
      <c r="B10270" s="1">
        <v>6900012</v>
      </c>
      <c r="C10270" t="s">
        <v>1893</v>
      </c>
      <c r="D10270" t="s">
        <v>10442</v>
      </c>
      <c r="E10270" t="s">
        <v>10</v>
      </c>
    </row>
    <row r="10271" spans="1:5" hidden="1" outlineLevel="2">
      <c r="A10271" s="3" t="e">
        <f>(HYPERLINK("http://www.autodoc.ru/Web/price/art/8823RCLL2FDW?analog=on","8823RCLL2FDW"))*1</f>
        <v>#VALUE!</v>
      </c>
      <c r="B10271" s="1">
        <v>6996291</v>
      </c>
      <c r="C10271" t="s">
        <v>1893</v>
      </c>
      <c r="D10271" t="s">
        <v>10443</v>
      </c>
      <c r="E10271" t="s">
        <v>10</v>
      </c>
    </row>
    <row r="10272" spans="1:5" hidden="1" outlineLevel="2">
      <c r="A10272" s="3" t="e">
        <f>(HYPERLINK("http://www.autodoc.ru/Web/price/art/8823RGNL2FDW?analog=on","8823RGNL2FDW"))*1</f>
        <v>#VALUE!</v>
      </c>
      <c r="B10272" s="1">
        <v>6900098</v>
      </c>
      <c r="C10272" t="s">
        <v>1893</v>
      </c>
      <c r="D10272" t="s">
        <v>10444</v>
      </c>
      <c r="E10272" t="s">
        <v>10</v>
      </c>
    </row>
    <row r="10273" spans="1:5" hidden="1" outlineLevel="1">
      <c r="A10273" s="2">
        <v>0</v>
      </c>
      <c r="B10273" s="26" t="s">
        <v>10445</v>
      </c>
      <c r="C10273" s="27">
        <v>0</v>
      </c>
      <c r="D10273" s="27">
        <v>0</v>
      </c>
      <c r="E10273" s="27">
        <v>0</v>
      </c>
    </row>
    <row r="10274" spans="1:5" hidden="1" outlineLevel="2">
      <c r="A10274" s="3" t="e">
        <f>(HYPERLINK("http://www.autodoc.ru/Web/price/art/8816ACL?analog=on","8816ACL"))*1</f>
        <v>#VALUE!</v>
      </c>
      <c r="B10274" s="1">
        <v>6963531</v>
      </c>
      <c r="C10274" t="s">
        <v>418</v>
      </c>
      <c r="D10274" t="s">
        <v>10446</v>
      </c>
      <c r="E10274" t="s">
        <v>8</v>
      </c>
    </row>
    <row r="10275" spans="1:5" hidden="1" outlineLevel="2">
      <c r="A10275" s="3" t="e">
        <f>(HYPERLINK("http://www.autodoc.ru/Web/price/art/8816LCLL2FD?analog=on","8816LCLL2FD"))*1</f>
        <v>#VALUE!</v>
      </c>
      <c r="B10275" s="1">
        <v>6900013</v>
      </c>
      <c r="C10275" t="s">
        <v>418</v>
      </c>
      <c r="D10275" t="s">
        <v>10447</v>
      </c>
      <c r="E10275" t="s">
        <v>10</v>
      </c>
    </row>
    <row r="10276" spans="1:5" hidden="1" outlineLevel="2">
      <c r="A10276" s="3" t="e">
        <f>(HYPERLINK("http://www.autodoc.ru/Web/price/art/8816RCLL2FD?analog=on","8816RCLL2FD"))*1</f>
        <v>#VALUE!</v>
      </c>
      <c r="B10276" s="1">
        <v>6900099</v>
      </c>
      <c r="C10276" t="s">
        <v>418</v>
      </c>
      <c r="D10276" t="s">
        <v>10448</v>
      </c>
      <c r="E10276" t="s">
        <v>10</v>
      </c>
    </row>
    <row r="10277" spans="1:5" hidden="1" outlineLevel="1">
      <c r="A10277" s="2">
        <v>0</v>
      </c>
      <c r="B10277" s="26" t="s">
        <v>10449</v>
      </c>
      <c r="C10277" s="27">
        <v>0</v>
      </c>
      <c r="D10277" s="27">
        <v>0</v>
      </c>
      <c r="E10277" s="27">
        <v>0</v>
      </c>
    </row>
    <row r="10278" spans="1:5" hidden="1" outlineLevel="2">
      <c r="A10278" s="3" t="e">
        <f>(HYPERLINK("http://www.autodoc.ru/Web/price/art/8814ACL1A?analog=on","8814ACL1A"))*1</f>
        <v>#VALUE!</v>
      </c>
      <c r="B10278" s="1">
        <v>6967394</v>
      </c>
      <c r="C10278" t="s">
        <v>1845</v>
      </c>
      <c r="D10278" t="s">
        <v>10450</v>
      </c>
      <c r="E10278" t="s">
        <v>8</v>
      </c>
    </row>
    <row r="10279" spans="1:5" hidden="1" outlineLevel="2">
      <c r="A10279" s="3" t="e">
        <f>(HYPERLINK("http://www.autodoc.ru/Web/price/art/8814AGN1A?analog=on","8814AGN1A"))*1</f>
        <v>#VALUE!</v>
      </c>
      <c r="B10279" s="1">
        <v>6967395</v>
      </c>
      <c r="C10279" t="s">
        <v>1845</v>
      </c>
      <c r="D10279" t="s">
        <v>10451</v>
      </c>
      <c r="E10279" t="s">
        <v>8</v>
      </c>
    </row>
    <row r="10280" spans="1:5" hidden="1" outlineLevel="2">
      <c r="A10280" s="3" t="e">
        <f>(HYPERLINK("http://www.autodoc.ru/Web/price/art/8814LCLL2FD?analog=on","8814LCLL2FD"))*1</f>
        <v>#VALUE!</v>
      </c>
      <c r="B10280" s="1">
        <v>6900014</v>
      </c>
      <c r="C10280" t="s">
        <v>1845</v>
      </c>
      <c r="D10280" t="s">
        <v>10452</v>
      </c>
      <c r="E10280" t="s">
        <v>10</v>
      </c>
    </row>
    <row r="10281" spans="1:5" hidden="1" outlineLevel="2">
      <c r="A10281" s="3" t="e">
        <f>(HYPERLINK("http://www.autodoc.ru/Web/price/art/8814RCLL2FD?analog=on","8814RCLL2FD"))*1</f>
        <v>#VALUE!</v>
      </c>
      <c r="B10281" s="1">
        <v>6999478</v>
      </c>
      <c r="C10281" t="s">
        <v>1845</v>
      </c>
      <c r="D10281" t="s">
        <v>10453</v>
      </c>
      <c r="E10281" t="s">
        <v>10</v>
      </c>
    </row>
    <row r="10282" spans="1:5" hidden="1" outlineLevel="2">
      <c r="A10282" s="3" t="e">
        <f>(HYPERLINK("http://www.autodoc.ru/Web/price/art/CN0835ACLGN?analog=on","CN0835ACLGN"))*1</f>
        <v>#VALUE!</v>
      </c>
      <c r="B10282" s="1">
        <v>6170625</v>
      </c>
      <c r="C10282" t="s">
        <v>1813</v>
      </c>
      <c r="D10282" t="s">
        <v>10454</v>
      </c>
      <c r="E10282" t="s">
        <v>8</v>
      </c>
    </row>
    <row r="10283" spans="1:5" hidden="1" outlineLevel="2">
      <c r="A10283" s="3" t="e">
        <f>(HYPERLINK("http://www.autodoc.ru/Web/price/art/NO EUROCODE?analog=on","NO EUROCODE"))*1</f>
        <v>#VALUE!</v>
      </c>
      <c r="B10283" s="1">
        <v>6965204</v>
      </c>
      <c r="C10283" t="s">
        <v>19</v>
      </c>
      <c r="D10283" t="s">
        <v>10455</v>
      </c>
      <c r="E10283" t="s">
        <v>8</v>
      </c>
    </row>
    <row r="10284" spans="1:5" hidden="1" outlineLevel="2">
      <c r="A10284" s="3" t="e">
        <f>(HYPERLINK("http://www.autodoc.ru/Web/price/art/BUS-6534.106?analog=on","BUS-6534.106"))*1</f>
        <v>#VALUE!</v>
      </c>
      <c r="B10284" s="1">
        <v>6170433</v>
      </c>
      <c r="C10284" t="s">
        <v>19</v>
      </c>
      <c r="D10284" t="s">
        <v>10456</v>
      </c>
      <c r="E10284" t="s">
        <v>8</v>
      </c>
    </row>
    <row r="10285" spans="1:5" hidden="1" outlineLevel="2">
      <c r="A10285" s="3" t="e">
        <f>(HYPERLINK("http://www.autodoc.ru/Web/price/art/CK08AGNU?analog=on","CK08AGNU"))*1</f>
        <v>#VALUE!</v>
      </c>
      <c r="B10285" s="1">
        <v>6170638</v>
      </c>
      <c r="C10285" t="s">
        <v>19</v>
      </c>
      <c r="D10285" t="s">
        <v>10457</v>
      </c>
      <c r="E10285" t="s">
        <v>8</v>
      </c>
    </row>
    <row r="10286" spans="1:5" hidden="1" outlineLevel="2">
      <c r="A10286" s="3" t="e">
        <f>(HYPERLINK("http://www.autodoc.ru/Web/price/art/SCAN0836.40?analog=on","SCAN0836.40"))*1</f>
        <v>#VALUE!</v>
      </c>
      <c r="B10286" s="1">
        <v>6101339</v>
      </c>
      <c r="C10286" t="s">
        <v>19</v>
      </c>
      <c r="D10286" t="s">
        <v>10458</v>
      </c>
      <c r="E10286" t="s">
        <v>8</v>
      </c>
    </row>
  </sheetData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/>
  </sheetViews>
  <sheetFormatPr defaultRowHeight="1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6.5" thickBot="1">
      <c r="A1" s="4" t="s">
        <v>10460</v>
      </c>
      <c r="B1" s="5" t="s">
        <v>10461</v>
      </c>
      <c r="C1" s="6" t="s">
        <v>10462</v>
      </c>
    </row>
    <row r="2" spans="1:3" ht="15.75" thickBot="1">
      <c r="A2" s="7" t="s">
        <v>10463</v>
      </c>
      <c r="B2" s="8"/>
      <c r="C2" s="9" t="s">
        <v>10464</v>
      </c>
    </row>
    <row r="3" spans="1:3">
      <c r="A3" s="10" t="s">
        <v>10465</v>
      </c>
      <c r="B3" s="11" t="s">
        <v>10466</v>
      </c>
      <c r="C3" s="9" t="s">
        <v>10467</v>
      </c>
    </row>
    <row r="4" spans="1:3">
      <c r="A4" s="12" t="s">
        <v>10468</v>
      </c>
      <c r="B4" s="13" t="s">
        <v>10469</v>
      </c>
      <c r="C4" s="9"/>
    </row>
    <row r="5" spans="1:3">
      <c r="A5" s="12" t="s">
        <v>10471</v>
      </c>
      <c r="B5" s="13" t="s">
        <v>10472</v>
      </c>
      <c r="C5" s="9" t="s">
        <v>10470</v>
      </c>
    </row>
    <row r="6" spans="1:3">
      <c r="A6" s="12" t="s">
        <v>10474</v>
      </c>
      <c r="B6" s="14" t="s">
        <v>10475</v>
      </c>
      <c r="C6" s="9" t="s">
        <v>10473</v>
      </c>
    </row>
    <row r="7" spans="1:3">
      <c r="A7" s="12" t="s">
        <v>10477</v>
      </c>
      <c r="B7" s="14" t="s">
        <v>10478</v>
      </c>
      <c r="C7" s="9"/>
    </row>
    <row r="8" spans="1:3">
      <c r="A8" s="12" t="s">
        <v>10480</v>
      </c>
      <c r="B8" s="14" t="s">
        <v>10481</v>
      </c>
      <c r="C8" s="9" t="s">
        <v>10476</v>
      </c>
    </row>
    <row r="9" spans="1:3">
      <c r="A9" s="12" t="s">
        <v>10483</v>
      </c>
      <c r="B9" s="14" t="s">
        <v>10484</v>
      </c>
      <c r="C9" s="9" t="s">
        <v>10479</v>
      </c>
    </row>
    <row r="10" spans="1:3">
      <c r="A10" s="12" t="s">
        <v>10486</v>
      </c>
      <c r="B10" s="14" t="s">
        <v>10487</v>
      </c>
      <c r="C10" s="9"/>
    </row>
    <row r="11" spans="1:3">
      <c r="A11" s="12" t="s">
        <v>10488</v>
      </c>
      <c r="B11" s="14" t="s">
        <v>10489</v>
      </c>
      <c r="C11" s="9" t="s">
        <v>10482</v>
      </c>
    </row>
    <row r="12" spans="1:3">
      <c r="A12" s="12" t="s">
        <v>10490</v>
      </c>
      <c r="B12" s="13" t="s">
        <v>10491</v>
      </c>
      <c r="C12" s="9" t="s">
        <v>10485</v>
      </c>
    </row>
    <row r="13" spans="1:3">
      <c r="A13" s="12" t="s">
        <v>10492</v>
      </c>
      <c r="B13" s="14" t="s">
        <v>10493</v>
      </c>
      <c r="C13" s="9"/>
    </row>
    <row r="14" spans="1:3">
      <c r="A14" s="12" t="s">
        <v>10494</v>
      </c>
      <c r="B14" s="14" t="s">
        <v>10495</v>
      </c>
      <c r="C14" s="9"/>
    </row>
    <row r="15" spans="1:3" ht="15.75" thickBot="1">
      <c r="A15" s="15" t="s">
        <v>10496</v>
      </c>
      <c r="B15" s="16" t="s">
        <v>10497</v>
      </c>
      <c r="C15" s="9"/>
    </row>
    <row r="16" spans="1:3" ht="15.75" thickBot="1">
      <c r="A16" s="7" t="s">
        <v>10498</v>
      </c>
      <c r="B16" s="17"/>
      <c r="C16" s="9"/>
    </row>
    <row r="17" spans="1:3">
      <c r="A17" s="10" t="s">
        <v>10499</v>
      </c>
      <c r="B17" s="18" t="s">
        <v>10500</v>
      </c>
      <c r="C17" s="6"/>
    </row>
    <row r="18" spans="1:3">
      <c r="A18" s="12" t="s">
        <v>10501</v>
      </c>
      <c r="B18" s="14" t="s">
        <v>10502</v>
      </c>
      <c r="C18" s="6"/>
    </row>
    <row r="19" spans="1:3">
      <c r="A19" s="12" t="s">
        <v>10503</v>
      </c>
      <c r="B19" s="14" t="s">
        <v>10504</v>
      </c>
      <c r="C19" s="6"/>
    </row>
    <row r="20" spans="1:3">
      <c r="A20" s="12" t="s">
        <v>10505</v>
      </c>
      <c r="B20" s="14" t="s">
        <v>10506</v>
      </c>
    </row>
    <row r="21" spans="1:3">
      <c r="A21" s="12" t="s">
        <v>10507</v>
      </c>
      <c r="B21" s="14" t="s">
        <v>10508</v>
      </c>
    </row>
    <row r="22" spans="1:3">
      <c r="A22" s="12" t="s">
        <v>10509</v>
      </c>
      <c r="B22" s="14" t="s">
        <v>10510</v>
      </c>
    </row>
    <row r="23" spans="1:3">
      <c r="A23" s="12" t="s">
        <v>10511</v>
      </c>
      <c r="B23" s="14" t="s">
        <v>10512</v>
      </c>
    </row>
    <row r="24" spans="1:3">
      <c r="A24" s="12" t="s">
        <v>10513</v>
      </c>
      <c r="B24" s="14" t="s">
        <v>10514</v>
      </c>
    </row>
    <row r="25" spans="1:3">
      <c r="A25" s="12" t="s">
        <v>10515</v>
      </c>
      <c r="B25" s="14" t="s">
        <v>10516</v>
      </c>
    </row>
    <row r="26" spans="1:3">
      <c r="A26" s="12" t="s">
        <v>10517</v>
      </c>
      <c r="B26" s="14" t="s">
        <v>10518</v>
      </c>
    </row>
    <row r="27" spans="1:3">
      <c r="A27" s="12" t="s">
        <v>10519</v>
      </c>
      <c r="B27" s="13" t="s">
        <v>10520</v>
      </c>
    </row>
    <row r="28" spans="1:3">
      <c r="A28" s="12" t="s">
        <v>10521</v>
      </c>
      <c r="B28" s="14" t="s">
        <v>10522</v>
      </c>
    </row>
    <row r="29" spans="1:3" ht="15.75" thickBot="1">
      <c r="A29" s="15" t="s">
        <v>10523</v>
      </c>
      <c r="B29" s="16" t="s">
        <v>10524</v>
      </c>
    </row>
    <row r="30" spans="1:3" ht="15.75" thickBot="1">
      <c r="A30" s="7" t="s">
        <v>10525</v>
      </c>
      <c r="B30" s="17"/>
    </row>
    <row r="31" spans="1:3">
      <c r="A31" s="10" t="s">
        <v>10523</v>
      </c>
      <c r="B31" s="18" t="s">
        <v>10526</v>
      </c>
    </row>
    <row r="32" spans="1:3">
      <c r="A32" s="12" t="s">
        <v>10527</v>
      </c>
      <c r="B32" s="13" t="s">
        <v>10528</v>
      </c>
    </row>
    <row r="33" spans="1:2">
      <c r="A33" s="12" t="s">
        <v>10529</v>
      </c>
      <c r="B33" s="14" t="s">
        <v>10530</v>
      </c>
    </row>
    <row r="34" spans="1:2">
      <c r="A34" s="12" t="s">
        <v>10531</v>
      </c>
      <c r="B34" s="14" t="s">
        <v>10532</v>
      </c>
    </row>
    <row r="35" spans="1:2">
      <c r="A35" s="12" t="s">
        <v>10533</v>
      </c>
      <c r="B35" s="14" t="s">
        <v>10534</v>
      </c>
    </row>
    <row r="36" spans="1:2">
      <c r="A36" s="12" t="s">
        <v>10535</v>
      </c>
      <c r="B36" s="14" t="s">
        <v>10536</v>
      </c>
    </row>
    <row r="37" spans="1:2">
      <c r="A37" s="12" t="s">
        <v>10537</v>
      </c>
      <c r="B37" s="14" t="s">
        <v>10538</v>
      </c>
    </row>
    <row r="38" spans="1:2">
      <c r="A38" s="12" t="s">
        <v>10539</v>
      </c>
      <c r="B38" s="14" t="s">
        <v>10540</v>
      </c>
    </row>
    <row r="39" spans="1:2">
      <c r="A39" s="12" t="s">
        <v>10541</v>
      </c>
      <c r="B39" s="14" t="s">
        <v>10542</v>
      </c>
    </row>
    <row r="40" spans="1:2" ht="15.75" thickBot="1">
      <c r="A40" s="15" t="s">
        <v>10543</v>
      </c>
      <c r="B40" s="16" t="s">
        <v>10544</v>
      </c>
    </row>
    <row r="41" spans="1:2" ht="15.75" thickBot="1">
      <c r="A41" s="7" t="s">
        <v>10545</v>
      </c>
      <c r="B41" s="17"/>
    </row>
    <row r="42" spans="1:2">
      <c r="A42" s="19" t="s">
        <v>10546</v>
      </c>
      <c r="B42" s="20" t="s">
        <v>10547</v>
      </c>
    </row>
    <row r="43" spans="1:2">
      <c r="A43" s="12" t="s">
        <v>10548</v>
      </c>
      <c r="B43" s="21" t="s">
        <v>10549</v>
      </c>
    </row>
    <row r="44" spans="1:2">
      <c r="A44" s="22" t="s">
        <v>10550</v>
      </c>
      <c r="B44" s="11" t="s">
        <v>10551</v>
      </c>
    </row>
    <row r="45" spans="1:2">
      <c r="A45" s="12" t="s">
        <v>10552</v>
      </c>
      <c r="B45" s="14" t="s">
        <v>10553</v>
      </c>
    </row>
    <row r="46" spans="1:2">
      <c r="A46" s="12" t="s">
        <v>10554</v>
      </c>
      <c r="B46" s="14" t="s">
        <v>10555</v>
      </c>
    </row>
    <row r="47" spans="1:2">
      <c r="A47" s="23" t="s">
        <v>10556</v>
      </c>
      <c r="B47" s="14" t="s">
        <v>10557</v>
      </c>
    </row>
    <row r="48" spans="1:2">
      <c r="A48" s="12" t="s">
        <v>10558</v>
      </c>
      <c r="B48" s="14" t="s">
        <v>10559</v>
      </c>
    </row>
    <row r="49" spans="1:2">
      <c r="A49" s="12" t="s">
        <v>10560</v>
      </c>
      <c r="B49" s="14" t="s">
        <v>10561</v>
      </c>
    </row>
    <row r="50" spans="1:2">
      <c r="A50" s="12" t="s">
        <v>10562</v>
      </c>
      <c r="B50" s="14" t="s">
        <v>10563</v>
      </c>
    </row>
    <row r="51" spans="1:2">
      <c r="A51" s="12" t="s">
        <v>10564</v>
      </c>
      <c r="B51" s="14" t="s">
        <v>10565</v>
      </c>
    </row>
    <row r="52" spans="1:2">
      <c r="A52" s="12" t="s">
        <v>10566</v>
      </c>
      <c r="B52" s="14" t="s">
        <v>10567</v>
      </c>
    </row>
    <row r="53" spans="1:2">
      <c r="A53" s="12" t="s">
        <v>10568</v>
      </c>
      <c r="B53" s="14" t="s">
        <v>10569</v>
      </c>
    </row>
    <row r="54" spans="1:2">
      <c r="A54" s="12" t="s">
        <v>10570</v>
      </c>
      <c r="B54" s="14" t="s">
        <v>10571</v>
      </c>
    </row>
    <row r="55" spans="1:2">
      <c r="A55" s="12" t="s">
        <v>10572</v>
      </c>
      <c r="B55" s="14" t="s">
        <v>10573</v>
      </c>
    </row>
    <row r="56" spans="1:2">
      <c r="A56" s="12" t="s">
        <v>10574</v>
      </c>
      <c r="B56" s="14" t="s">
        <v>10575</v>
      </c>
    </row>
    <row r="57" spans="1:2">
      <c r="A57" s="12" t="s">
        <v>10576</v>
      </c>
      <c r="B57" s="14" t="s">
        <v>10577</v>
      </c>
    </row>
    <row r="58" spans="1:2">
      <c r="A58" s="12" t="s">
        <v>10578</v>
      </c>
      <c r="B58" s="14" t="s">
        <v>10579</v>
      </c>
    </row>
    <row r="59" spans="1:2">
      <c r="A59" s="12" t="s">
        <v>10580</v>
      </c>
      <c r="B59" s="14" t="s">
        <v>10581</v>
      </c>
    </row>
    <row r="60" spans="1:2">
      <c r="A60" s="12" t="s">
        <v>10582</v>
      </c>
      <c r="B60" s="14" t="s">
        <v>10583</v>
      </c>
    </row>
    <row r="61" spans="1:2">
      <c r="A61" s="12" t="s">
        <v>10584</v>
      </c>
      <c r="B61" s="14" t="s">
        <v>10585</v>
      </c>
    </row>
    <row r="62" spans="1:2">
      <c r="A62" s="12" t="s">
        <v>10586</v>
      </c>
      <c r="B62" s="14" t="s">
        <v>10587</v>
      </c>
    </row>
    <row r="63" spans="1:2">
      <c r="A63" s="12" t="s">
        <v>10588</v>
      </c>
      <c r="B63" s="14" t="s">
        <v>10589</v>
      </c>
    </row>
    <row r="64" spans="1:2">
      <c r="A64" s="12" t="s">
        <v>10590</v>
      </c>
      <c r="B64" s="14" t="s">
        <v>10591</v>
      </c>
    </row>
    <row r="65" spans="1:2">
      <c r="A65" s="12" t="s">
        <v>10592</v>
      </c>
      <c r="B65" s="14" t="s">
        <v>10593</v>
      </c>
    </row>
    <row r="66" spans="1:2">
      <c r="A66" s="15" t="s">
        <v>10594</v>
      </c>
      <c r="B66" s="16" t="s">
        <v>10595</v>
      </c>
    </row>
    <row r="67" spans="1:2">
      <c r="A67" s="15" t="s">
        <v>10596</v>
      </c>
      <c r="B67" s="16" t="s">
        <v>10597</v>
      </c>
    </row>
    <row r="68" spans="1:2">
      <c r="A68" s="15" t="s">
        <v>10598</v>
      </c>
      <c r="B68" s="16" t="s">
        <v>10599</v>
      </c>
    </row>
    <row r="69" spans="1:2">
      <c r="A69" s="15" t="s">
        <v>10600</v>
      </c>
      <c r="B69" s="16" t="s">
        <v>10601</v>
      </c>
    </row>
    <row r="70" spans="1:2">
      <c r="A70" s="12" t="s">
        <v>10602</v>
      </c>
      <c r="B70" s="14" t="s">
        <v>10603</v>
      </c>
    </row>
    <row r="71" spans="1:2">
      <c r="A71" s="15" t="s">
        <v>10604</v>
      </c>
      <c r="B71" s="16" t="s">
        <v>10605</v>
      </c>
    </row>
    <row r="72" spans="1:2" ht="15.75" thickBot="1">
      <c r="A72" s="24" t="s">
        <v>10606</v>
      </c>
      <c r="B72" s="25" t="s">
        <v>10607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sidorovDM</cp:lastModifiedBy>
  <dcterms:created xsi:type="dcterms:W3CDTF">2013-03-29T08:07:59Z</dcterms:created>
  <dcterms:modified xsi:type="dcterms:W3CDTF">2016-06-10T07:31:26Z</dcterms:modified>
</cp:coreProperties>
</file>