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activeTab="0"/>
  </bookViews>
  <sheets>
    <sheet name="Актуальные цены" sheetId="1" r:id="rId1"/>
  </sheets>
  <definedNames>
    <definedName name="_xlnm.Print_Area" localSheetId="0">'Актуальные цены'!$A$1:$K$293</definedName>
  </definedNames>
  <calcPr calcId="145621" refMode="R1C1"/>
</workbook>
</file>

<file path=xl/sharedStrings.xml><?xml version="1.0" encoding="utf-8"?>
<sst xmlns="http://schemas.openxmlformats.org/spreadsheetml/2006/main" count="347" uniqueCount="328">
  <si>
    <r>
      <rPr>
        <b/>
        <u val="single"/>
        <sz val="12.5"/>
        <rFont val="Calibri"/>
        <family val="2"/>
        <scheme val="minor"/>
      </rPr>
      <t>Неразборный (со съемным силовым модулем)</t>
    </r>
    <r>
      <rPr>
        <sz val="12.5"/>
        <rFont val="Calibri"/>
        <family val="2"/>
        <scheme val="minor"/>
      </rPr>
      <t xml:space="preserve"> - снимается только силовой модуль и руль; багажник, гусеница с рамой не разбирается и не складывается.</t>
    </r>
  </si>
  <si>
    <t>Замок цепи</t>
  </si>
  <si>
    <t>Разборные 1.5М (д1500*ш610*в510 мм, длина с багажником 1840 мм, в сложенном состоянии д1500*ш430*в445)</t>
  </si>
  <si>
    <t>Неразборные 2М (д2000*ш570*в515 мм)</t>
  </si>
  <si>
    <t>РРЦ</t>
  </si>
  <si>
    <t>ЗАПЧАСТИ</t>
  </si>
  <si>
    <t>Звезда цепи ведомая большая</t>
  </si>
  <si>
    <t>Неразборные 2П (д2000*ш600*в535 мм)</t>
  </si>
  <si>
    <t>Разборный</t>
  </si>
  <si>
    <t>Кнопка аварийной остановки с чекой предохранительной</t>
  </si>
  <si>
    <t>Шпонка звезды</t>
  </si>
  <si>
    <t>Свеча зажигания NGK</t>
  </si>
  <si>
    <t>Съемный держатель шнека 1 шт</t>
  </si>
  <si>
    <t>Глушитель в сборе 182-190F</t>
  </si>
  <si>
    <t>Бак топливный 172-177F</t>
  </si>
  <si>
    <t>Бак топливный 182-190F</t>
  </si>
  <si>
    <t>Тумблер вкл/выкл ДВС (с защитным резиновым колпачком)</t>
  </si>
  <si>
    <t>Складной  и быстросъемный руль</t>
  </si>
  <si>
    <t>Установка независимой универсальной катково-балансирной подвески на ВОЛКА (дешевле)</t>
  </si>
  <si>
    <t>Ось для колесной подвески  1 шт (со шплинтами и шайбами)</t>
  </si>
  <si>
    <t>Кожух цепи</t>
  </si>
  <si>
    <t>Амортизатор склизовой подвески</t>
  </si>
  <si>
    <t>Регулятор (выпрямитель) напряжения 10А  для фары</t>
  </si>
  <si>
    <t>Неразборный  (2-х модульный)</t>
  </si>
  <si>
    <t>Вал вариатора</t>
  </si>
  <si>
    <t>Кольцо стопорное D52</t>
  </si>
  <si>
    <t>Склизовая подвеска</t>
  </si>
  <si>
    <t>Вкладыши ведущего вариатора Итлан-Каюр (комплект 6 штук)</t>
  </si>
  <si>
    <t>Вкладыши ведомого вариатора (комплект 3 штуки)</t>
  </si>
  <si>
    <t>Установка отдельного выключателя фары на руль буксировщика</t>
  </si>
  <si>
    <t>Установка отдельного выключателя фары на капот (у фары)</t>
  </si>
  <si>
    <t>Разборные 2М (д2000*ш610*в510 мм, длина с багажником 1840 мм, в сложенном состоянии д2000*ш430*в445)</t>
  </si>
  <si>
    <t>Неразборные 1.5П без багажника (д1500*ш600*в535 мм)</t>
  </si>
  <si>
    <t>Износоустойчивые вкладыши ведомого вариатора (3 штуки)</t>
  </si>
  <si>
    <t>КОМПАКТ (4 элементов)</t>
  </si>
  <si>
    <t>БАЗОВАЯ МОДЕЛЬ (5 элементов)</t>
  </si>
  <si>
    <t>ПРОМЫСЛОВИК (7 элементов)</t>
  </si>
  <si>
    <t>ДВС 177F (9 л/с LIFAN) 3A</t>
  </si>
  <si>
    <t>ДВС 188F (13 л/с LIFAN) 3A</t>
  </si>
  <si>
    <t>ДВС LIFAN без катушки освещения (дешевле)</t>
  </si>
  <si>
    <t>ДВС LIFAN 172-177F с катушкой освещения 7A (84Вт)</t>
  </si>
  <si>
    <t>ДВС LIFAN 182-192F с катушкой освещения 7A (84Вт)</t>
  </si>
  <si>
    <t>ДВС HONDA  без катушки освещения</t>
  </si>
  <si>
    <t>Кожуха вариатора с наклейкой</t>
  </si>
  <si>
    <t>Звезда цепи ведущая Z10 скоростная (в базе Z9)</t>
  </si>
  <si>
    <t>Ветровое стекло (быстроскладное, съемное) с установкой на нескладной руль (в положении сидя защищает лицо /до глаз/, тело, руки, кисти рук)</t>
  </si>
  <si>
    <t>Каток Буран в сборе с комплектом метизов под 205 подшипник</t>
  </si>
  <si>
    <t>Мощность, л/с</t>
  </si>
  <si>
    <t>Волокуши, толкач, сани, прицепы и ЗПЧ**</t>
  </si>
  <si>
    <t>Направляющая к лыжам 2 метра 1 шт. (крепится под лыжу)</t>
  </si>
  <si>
    <t>Цепь с замком в сборе отечественная</t>
  </si>
  <si>
    <t>Лыжа к саням 2П (ПНД). Длина 2 метра 1 шт.</t>
  </si>
  <si>
    <t>Тросик газа для мотобуксировщика (быстросъемный)</t>
  </si>
  <si>
    <t>Ширина 3-х гусениц 940 мм (габарит по ширине 1120 мм)</t>
  </si>
  <si>
    <t>Ширина 3-х гусениц 820 мм (габарит по ширине 1000 мм)</t>
  </si>
  <si>
    <t>СУМКА на багажник (оксфорд 600, камуфляж, на липах)</t>
  </si>
  <si>
    <t>Доработка рамы толкача под гусеницу 600 мм</t>
  </si>
  <si>
    <t>Установка реверс-редуктора (передача вперед/нейтраль/назад)</t>
  </si>
  <si>
    <t>Без заднего руля</t>
  </si>
  <si>
    <t>Гусеница Волк  шириной 500 мм</t>
  </si>
  <si>
    <t>Гусеница Базовая шириной 500 мм</t>
  </si>
  <si>
    <t>Гусеница Базовая шипованная 2828 мм шириной 500 мм</t>
  </si>
  <si>
    <t>Гусеница Промысловик шириной 500 мм</t>
  </si>
  <si>
    <t>Гусеница Промысловик шипованная шириной 500 мм</t>
  </si>
  <si>
    <t>ДВС GX390 (11.8 л/с HONDA) 3A</t>
  </si>
  <si>
    <t>Установка кнопки электростартера на руль толкача и задний руль мотобуксировщика одновременно</t>
  </si>
  <si>
    <t>Установка тормоза на руль толкача и задний руль мотобуксировщика одновременно</t>
  </si>
  <si>
    <t>накладка на склизы пластиковая без отверстий для УНИВЕРСАЛА, ВОЛКА и ПРОМЫСЛОВИКА  (пара)</t>
  </si>
  <si>
    <t>КОМПАКТ (1190)</t>
  </si>
  <si>
    <t>Для БАЗОВОЙ среднемоторной модели  (74 литра)</t>
  </si>
  <si>
    <t>Для ВОЛКА (135 литров)</t>
  </si>
  <si>
    <t>Для ПРОМЫСЛОВИКА (155 литров)</t>
  </si>
  <si>
    <t>Ветровое стекло (быстроскладное, съемное) с установкой на нескладной руль Медведя</t>
  </si>
  <si>
    <r>
      <t>РОЗНИЧНЫЙ ПРАЙС-ЛИСТ на продукцию УРАГАН для самостоятельного расчета цен</t>
    </r>
    <r>
      <rPr>
        <b/>
        <i/>
        <sz val="19"/>
        <color rgb="FFFF0000"/>
        <rFont val="Calibri"/>
        <family val="2"/>
        <scheme val="minor"/>
      </rPr>
      <t>***</t>
    </r>
    <r>
      <rPr>
        <b/>
        <i/>
        <sz val="19"/>
        <color rgb="FF0070C0"/>
        <rFont val="Calibri"/>
        <family val="2"/>
        <scheme val="minor"/>
      </rPr>
      <t xml:space="preserve"> (без скидок)</t>
    </r>
  </si>
  <si>
    <r>
      <rPr>
        <b/>
        <u val="single"/>
        <sz val="14"/>
        <rFont val="Calibri"/>
        <family val="2"/>
        <scheme val="minor"/>
      </rPr>
      <t>Разборный</t>
    </r>
    <r>
      <rPr>
        <sz val="14"/>
        <rFont val="Calibri"/>
        <family val="2"/>
        <scheme val="minor"/>
      </rPr>
      <t xml:space="preserve"> -  снимается силовой модуль (ДВС+ вариатор), спинка багажника и быстросъемный не складной руль (складной руль опция), рама разделяется на 2-е части (по длине), гусеница при необходимости снимается. Предполагается перевозка разобранного мотобуксировщика внутри </t>
    </r>
    <r>
      <rPr>
        <b/>
        <sz val="14"/>
        <rFont val="Calibri"/>
        <family val="2"/>
        <scheme val="minor"/>
      </rPr>
      <t>любого</t>
    </r>
    <r>
      <rPr>
        <sz val="14"/>
        <rFont val="Calibri"/>
        <family val="2"/>
        <scheme val="minor"/>
      </rPr>
      <t xml:space="preserve"> авто. Полностью разборными выпускаются только БАЗОВАЯ МОДЕЛЬ и  ПРОМЫСЛОВИК. Передний модуль ТОЛКАЧ на разборные модели не устанавливается.</t>
    </r>
  </si>
  <si>
    <r>
      <rPr>
        <b/>
        <u val="single"/>
        <sz val="14"/>
        <rFont val="Calibri"/>
        <family val="2"/>
        <scheme val="minor"/>
      </rPr>
      <t>Неразборный</t>
    </r>
    <r>
      <rPr>
        <sz val="14"/>
        <rFont val="Calibri"/>
        <family val="2"/>
        <scheme val="minor"/>
      </rPr>
      <t xml:space="preserve">  (2-х модульный)- быстро снимается силовой модуль (ДВС+вариатор) и быстросъемный нескладной руль. Дополнительно возможна перевозка рамы с гусеницей в сборе на багажнике любого авто (без  силового модуля  с ДВС и руля).  За доплату возможна установка съемной спинки багажника и складного быстросъемного руля. При заказе переднего модуля ТОЛКАЧ возможна поставка мотобуксировщика без заднего руля и фары на капоте (дешевле).</t>
    </r>
  </si>
  <si>
    <t>ДВС 190F (15 л/с LIFAN) 3A</t>
  </si>
  <si>
    <t>Ремень вариатора Рубена 33*14*1120La (Чехия)</t>
  </si>
  <si>
    <t xml:space="preserve"> </t>
  </si>
  <si>
    <t>Окраска рамы и руля  мотобуксировщика или толкача в черно-белый цвет (камуфляж)</t>
  </si>
  <si>
    <t>Кольцо стопорное d25</t>
  </si>
  <si>
    <t>Стойка вариатора крашенная (левая/правая)</t>
  </si>
  <si>
    <t>Фара прямоугольная светодиодная дальнего света 18W с встроенным регулятором напряжения</t>
  </si>
  <si>
    <t>Подшипник SKF повышенного класса точности HQ (пр-во Швеция)</t>
  </si>
  <si>
    <t>Вариатор ведомый (диски, полумуфта, пружина, вкладыши)</t>
  </si>
  <si>
    <t>ДВС 192F-2 (18.5 л/с LIFAN) 3A</t>
  </si>
  <si>
    <t>Катково-пружинная подвеска</t>
  </si>
  <si>
    <t>РРЦ, руб.</t>
  </si>
  <si>
    <t>ТОЛКАЧ + КЛАССИКА</t>
  </si>
  <si>
    <t>ТОЛКАЧ + БАЗОВАЯ</t>
  </si>
  <si>
    <t>Катково-балансир. подвеска</t>
  </si>
  <si>
    <t>Подготовка рамы буксировщика под установку толкача на будущее (привариватся пластины усиления, сверлится рама)</t>
  </si>
  <si>
    <t>Окраска рамы и руля  мотобуксировщика в белый цвет</t>
  </si>
  <si>
    <t>независимая катково-балансирная подвеска с осями для БАЗОВОЙ МОДЕЛИ, КОМПАКТ и ВОЛК (комплект)</t>
  </si>
  <si>
    <t>независимая катково-балансирная подвеска с осями для УНИВЕРСАЛА И ПРОМЫСЛОВИКА  (комплект)</t>
  </si>
  <si>
    <t>Для БАЗОВОЙ и КЛАССИКА среднемоторной модели  (52 литра)</t>
  </si>
  <si>
    <t>Для ВОЛКА (98 литров) и УНИВЕРСАЛА L (107 литров)</t>
  </si>
  <si>
    <t>Для ПРОМЫСЛОВИКА (112 литров) и УНИВЕРСАЛА L+ (123 литра)</t>
  </si>
  <si>
    <t>Для БАЗОВОЙ и КЛАССИКА пер/мотор (79 л), УНИВЕРСАЛА (78 л)</t>
  </si>
  <si>
    <t>Для БАЗОВОЙ среднемоторный гусеница 600 (87 литров)</t>
  </si>
  <si>
    <t>Для ВОЛКА гусеница 600 (159 литров)</t>
  </si>
  <si>
    <t>Для ПРОМЫСЛОВИКА гусеница 600 (181 литр)</t>
  </si>
  <si>
    <t>КОФР (багажник закрывающийся съемной крышкой, обшитый ударопрочным пластиком)</t>
  </si>
  <si>
    <t>Специальная высокая рамка багажника под кофр (без обшивки пластиком)</t>
  </si>
  <si>
    <t>РЕКОМЕНДУЕМАЯ РОЗНИЧНАЯ ЦЕНА (без скидок)</t>
  </si>
  <si>
    <t>БАЗОВАЯ соединена толстым ПНД через шаг</t>
  </si>
  <si>
    <t>ВОЛК соединена толстым ПНД через шаг</t>
  </si>
  <si>
    <t>БАЗОВАЯ МОДЕЛЬ на разрезной гусенице 2879 мм шир. 500 мм (из 380 мм) соединена через шаг морозоударопрочным пластиком или металлическим швеллером</t>
  </si>
  <si>
    <t>ПРОМЫСЛОВИК на разрезной гусенице 3687 мм шир. 500 мм (из 380 мм) соединена через шаг морозоударопрочным пластиком или металлическим швеллером</t>
  </si>
  <si>
    <t>Гусеница Волк  шипованная шириной 500 мм</t>
  </si>
  <si>
    <t>РАЗРЕЗНАЯ ГУСЕНИЦА шир. 600 мм (из 500)</t>
  </si>
  <si>
    <t>Гусеницы УНИВЕРСАЛ ширин. 550 мм (из 2-х 220 мм)</t>
  </si>
  <si>
    <t>Гусеницы Beaver WT шириной 500 мм, длиной 3968 мм, грунтозацеп 30 мм (высокий и развитый грунтозацеп для глубокого снега)</t>
  </si>
  <si>
    <t>Установка царапок для наста и льда на склизовую подвеску</t>
  </si>
  <si>
    <t>Тросик тормоза на мотобуксировщик</t>
  </si>
  <si>
    <t xml:space="preserve">Защита от воды и грязи 2-х подшипников задней оси </t>
  </si>
  <si>
    <t>ТОЛК+ПРОМЫСЛОВИК</t>
  </si>
  <si>
    <t>Установка на УНИВЕРСАЛ И ПРОМЫСЛОВИК независимой универсальной катково-балансирной подвески</t>
  </si>
  <si>
    <t>Колесо стальное, жесткая резина, роликовый подшипник, ширина ступицы 55 мм  1 шт</t>
  </si>
  <si>
    <t>Установка подвески с беспрокольными колесами 200 мм  4 шт. на Базовую модель и Компакт (дешевле)</t>
  </si>
  <si>
    <t>Установка подвески с пневматическими колесами 260 мм 6 шт. на модель КЛАССИКА (дешевле)</t>
  </si>
  <si>
    <t>Установка подвески с беспрокольными колесами 200 мм  6 шт. на УНИВЕРСАЛ и ПРОМЫСЛОВИК (дешевле)</t>
  </si>
  <si>
    <t>Задняя ось в сборе с направляющими звездочками, подшипниками и стопорными кольцами</t>
  </si>
  <si>
    <t>Задняя ось в сборе с мягкими звездочками, металл.  ступицами и подшипниками, закрытыми сальниками (опция лето)</t>
  </si>
  <si>
    <t>Задняя ось голая крашенная</t>
  </si>
  <si>
    <t>Звезда гусеницы направляющая задней оси</t>
  </si>
  <si>
    <t>Подшипник 205 закрытый (Россия)</t>
  </si>
  <si>
    <t>Вариатор ведущий Сафари</t>
  </si>
  <si>
    <t>ДОПОЛНИТЕЛЬНЫЕ СМЕННЫЕ ПОДВЕСКИ (склизовая, катково-балансирная и колесная подвески взаимозаменяемы, на ВОЛКЕ И ПРОМЫСЛОВИКЕ колесная подвеска не предусмотрена)</t>
  </si>
  <si>
    <t>складной подрамок регулируемый для дополнительной базовой подвески БАЗОВОЙ РАЗБОРНОЙ модели в сборе</t>
  </si>
  <si>
    <t>складной подрамок регулируемый для дополнительной базовой подвески БАЗОВОЙ РАЗБОРНОЙ модели крашенный голый</t>
  </si>
  <si>
    <t>Звезда ведущего вала гусеницы мягкая</t>
  </si>
  <si>
    <t>Вал ведущи голый крашенный</t>
  </si>
  <si>
    <t>Болт ведущего вариатора</t>
  </si>
  <si>
    <t>Глушитель в сборе 192F и 192F-2</t>
  </si>
  <si>
    <t>Фильтр воздушный в сборе  182-190F</t>
  </si>
  <si>
    <t>Элемент фильтрующий 182F-190F бумажный</t>
  </si>
  <si>
    <t>Катушка зажигания 182F-190F</t>
  </si>
  <si>
    <t>Прокладка головки блока цилиндров 190F</t>
  </si>
  <si>
    <t>Влагостойкая синтетическая литиевая смазка для цепи, подшипников и вариатора MOTUL Tech Grease 300  400 грамм</t>
  </si>
  <si>
    <t>Сиденье на багажник для 3-го человека (неразборные сани 2м)</t>
  </si>
  <si>
    <t>Соеденители гусениц с выступащими болтами  (вместо шипов) и защитой нижней части рамы пластиком (от шипов)</t>
  </si>
  <si>
    <t>Гусеницы Тайга шириной 600 мм, длиной 3937 мм, грунтозацеп 23.5 мм</t>
  </si>
  <si>
    <t>Гусеницы соединены толстым ПНД каждый шаг (в базе через шаг)</t>
  </si>
  <si>
    <t>Беспрокол. колеса 200 мм</t>
  </si>
  <si>
    <t>Пневмо-колеса  260 мм</t>
  </si>
  <si>
    <t>Уменьшение длины мотобуксировщика на 60 мм сзади (брызговик отогнут под 45 градусов)</t>
  </si>
  <si>
    <t>Подготовка под установку тормоза (не требуются сварочные работы при установке тормоза в будущем)</t>
  </si>
  <si>
    <t>САНИ ДЛЯ ТОЛКАЧА И САНИ-ВОЛОКУШИ ЗАДНИЕ (мы предлагаем проверенные волокуши из очень толстого первичного /а не вторичного/ пластика с плавными углами атаки, т.е. все долговечные и не гребут перед собой снег)</t>
  </si>
  <si>
    <t xml:space="preserve">Установка на БАЗОВУЮ модель, модель КЛАССИКА и КОМПАКТ независимой катково-балансирной подвески </t>
  </si>
  <si>
    <t>КОМФОРТНЫЕ САНИ РЫБАК 1.5/2М и УНИВЕРСАЛ 1.5/2П (шнекодержаетель в комплект не входит, приобретается отдельно за доплату)</t>
  </si>
  <si>
    <t>Мягкая спинка сиденья, передний брызговик, державки для быстрого съёма и монтажа электропроводки</t>
  </si>
  <si>
    <t>Съемный держатель шнека на багажник мотобуксировщика (внутренний диаметр 150 мм) 1 шт (слева или справа)</t>
  </si>
  <si>
    <t>ТОЛКАЧ (передний балансирный модуль, уплотняет волокушей снег перед гусеницей, ощутимо выше проходимость, управляемость и скорость в глубоком снегу)</t>
  </si>
  <si>
    <t>РОЗНИЧНЫЙ ПРАЙС-ЛИСТ на продукцию УРАГАН в минимально рекомендуемой комплектации* (в рублях)</t>
  </si>
  <si>
    <t>Установка тормоза на мотобуксировщик или мототолкач (устанавливается  фара на переднюю ручку или без фары)</t>
  </si>
  <si>
    <t>ГУСЕНИЦЫ ЦЕЛЬНЫЕ  ЗПЧ</t>
  </si>
  <si>
    <t>УСТАНОВКА СПЕЦИАЛЬНЫХ ГУСЕНИЦ 500 мм и ЗАЩИТЫ РАМЫ от ШИПОВ (требуется установка системы самоочистки)</t>
  </si>
  <si>
    <t>Сани-волокуши "LUX" (толстый пластик) с демпфером и накладками, накладки увелич. ресурс волокуш от 3-х раз). Размер 1475х700х260 (ширина дна снизу 510 мм - идут по следу гусеницы).</t>
  </si>
  <si>
    <t>Сани-волокуши "LUX" (толстый пластик) с демпфером. Размер 1475х700х260 (ширина дна снизу 510 мм - по ширине гусеницы)</t>
  </si>
  <si>
    <t>Ступица 1-го вала крашенная (левая/правая) в т.ч. с опцией лето</t>
  </si>
  <si>
    <t>Ступица 1-го вала крашенная левая с отбойником в боре в т.ч. с опцией лето</t>
  </si>
  <si>
    <t>LIFAN 190F 15 лс</t>
  </si>
  <si>
    <t>LIFAN 192F 17 лс</t>
  </si>
  <si>
    <r>
      <rPr>
        <b/>
        <sz val="16"/>
        <rFont val="Calibri"/>
        <family val="2"/>
        <scheme val="minor"/>
      </rPr>
      <t>МЕДВЕДЬ</t>
    </r>
    <r>
      <rPr>
        <sz val="16"/>
        <rFont val="Calibri"/>
        <family val="2"/>
        <scheme val="minor"/>
      </rPr>
      <t xml:space="preserve"> (габарит 1505 мм, 3-х гусеничный, катки)</t>
    </r>
  </si>
  <si>
    <t xml:space="preserve">  </t>
  </si>
  <si>
    <t>LIFAN 190FСPro 15лс</t>
  </si>
  <si>
    <t xml:space="preserve">LIFAN 192F-2 18.5лс </t>
  </si>
  <si>
    <r>
      <rPr>
        <b/>
        <u val="single"/>
        <sz val="16"/>
        <color rgb="FFFF0000"/>
        <rFont val="Calibri"/>
        <family val="2"/>
        <scheme val="minor"/>
      </rPr>
      <t>ВАЖНО!</t>
    </r>
    <r>
      <rPr>
        <sz val="16"/>
        <rFont val="Calibri"/>
        <family val="2"/>
        <scheme val="minor"/>
      </rPr>
      <t xml:space="preserve"> В базе на средней гусенице устанавливается рекомендуемая нами склизовая подвеска! Цена склиза и катков одинаковая.</t>
    </r>
  </si>
  <si>
    <t>ОПЦИИ (для установки необходимо произвести  доплату)</t>
  </si>
  <si>
    <t>Кнопка вкл/выкл с креплением на руль</t>
  </si>
  <si>
    <t>Болт руля быстросъемный с пружинным шплинтом (в запас)</t>
  </si>
  <si>
    <t>Скоба такелажная для сцепки саней</t>
  </si>
  <si>
    <t>Передний отбойник на сани-волокуши 1475 и 1700 (уменьшает попадание снега из-под гусеницы). Цена без установки (меньше объем - меньше транспортные издержки)</t>
  </si>
  <si>
    <t>Накладки для волокуш 5 полос 1500*30*10 (без установки)</t>
  </si>
  <si>
    <t>Катковая подвеска в сборе с осями для Медведя</t>
  </si>
  <si>
    <t>Склизовая подвеска  в сборе для Медведя</t>
  </si>
  <si>
    <t xml:space="preserve">Установка 1-го конька из П-образного швеллера длиной 250 мм вместо задней части средней накладки (для задних волокуш). Уменьшает вероятность заноса волокуш и серьёзных травм. </t>
  </si>
  <si>
    <t>Для МЕДВЕДЯ 820  (158 литров)</t>
  </si>
  <si>
    <t>Для МЕДВЕДЯ 940  (176 литров)</t>
  </si>
  <si>
    <t>Установка вариатора Итлан-Каюр (улучшенная версия вариатора Сафари, бесступенчатая работа, более плавное трогание с места и тяга на низах)</t>
  </si>
  <si>
    <t>ВОЛК, УНИВЕРСАЛ (6 элементов)</t>
  </si>
  <si>
    <t>ДВС GX460 (18.0 л/с ERMA) 10A</t>
  </si>
  <si>
    <t xml:space="preserve"> ERMA GX460 18.0 лс</t>
  </si>
  <si>
    <t>Установка прокладки бензокраника от ДВС Honda (кроме 17.0 и 18.5 лс)</t>
  </si>
  <si>
    <t>УСТАН. КАТУШ. ОСВЕЩЕНИЯ (7А взамен 3А не рекомендуем)</t>
  </si>
  <si>
    <t>ДВС 11-18.5 лс  (подкл. эл/провода, пуск с руля, кроншт. АКБ)</t>
  </si>
  <si>
    <t>ДВС 11-18.5 лс (без подготовки, блок запуска и ключ прилагается)</t>
  </si>
  <si>
    <t>ДВС до 9 лс (подключ. эл/провода, пуск с руля, кронштейн АКБ)</t>
  </si>
  <si>
    <t>ДВС до 9 лс (без подготовки, блок запуска и ключ прилагается)</t>
  </si>
  <si>
    <t>Установка чехла из ткани оксфорд для ДВС 9-15 лс и ДВС 18.0 лс</t>
  </si>
  <si>
    <t>независ. катково-пружинная тележка с осью для модели КЛАССИК (на 3-4 ось) 2 пружины (с шайбами-проставк. 2 шт.)</t>
  </si>
  <si>
    <t>независимая катково-пружинная тележка с осью для модели КЛАССИК (на 2 ось), а так-же для моделей Компакт, Базовая, Промысловик (2-я ось) 3 пружины (с шайбами-проставк. 2 шт)</t>
  </si>
  <si>
    <t>накладка на склизы пластиковая без отверстий для ПРОМЫСЛОВИКА+  (пара)</t>
  </si>
  <si>
    <t>ПРОМЫСЛОВИК соединена толстым ПНД через шаг</t>
  </si>
  <si>
    <t>Рама складная/разборная (руль волокушей на быстросъемной шпильке /волокуша в цену не входит/, разделяющееся с  П-образной оглоблей, осью балансира)</t>
  </si>
  <si>
    <r>
      <t xml:space="preserve">1. Желательно к данной комплектации добавить </t>
    </r>
    <r>
      <rPr>
        <b/>
        <u val="single"/>
        <sz val="17"/>
        <color rgb="FFFF0000"/>
        <rFont val="Calibri"/>
        <family val="2"/>
        <scheme val="minor"/>
      </rPr>
      <t>популярные опции</t>
    </r>
    <r>
      <rPr>
        <b/>
        <sz val="17"/>
        <rFont val="Calibri"/>
        <family val="2"/>
        <scheme val="minor"/>
      </rPr>
      <t xml:space="preserve">, по-желанию выбрать другую ПОДВЕСКУ (в базе стоит СКЛИЗ), толкач с передней волокушей, сани-волокуши и мягкое сиденье в волокушу,  ЗПЧ (цепь, трос, свечу) и т.д. 3. Форма заказа по ссылке http://buks1.ru/oformit-zakaz/ </t>
    </r>
    <r>
      <rPr>
        <b/>
        <sz val="17"/>
        <color rgb="FFFF0000"/>
        <rFont val="Calibri"/>
        <family val="2"/>
        <scheme val="minor"/>
      </rPr>
      <t>4. Инструкция *** по самостоятельному расчету цен с опциями находится в самом низу данного прайса</t>
    </r>
  </si>
  <si>
    <t>Замок разъемный цепи DID с сальниками X-Ring</t>
  </si>
  <si>
    <t>Пружина правая/левая 8 мм (1-2 тележка Медведь) пара</t>
  </si>
  <si>
    <t>Пружина правая/левая 6 мм (3-4 тележка Медведь) пара</t>
  </si>
  <si>
    <t>Установка влагозащитного гнезда под прикуриватель на вертикальную площадку под фару на капоте мотобуксировщика</t>
  </si>
  <si>
    <t>РАСЧ: нераз толкач Волк 15, фара с выкл, склиз, чека, сани отбойник, накладки, конек (без зад. руля)</t>
  </si>
  <si>
    <t>ПРОМЫСЛОВИК (1850)</t>
  </si>
  <si>
    <t>УНИВЕРСАЛ+ (1690)</t>
  </si>
  <si>
    <t>ТОЛКАЧ + ВОЛК (1690)</t>
  </si>
  <si>
    <t>ТОЛ+УНИВЕРСАЛ+(1690)</t>
  </si>
  <si>
    <t>УНИВЕРСАЛ +  1690 мм (2-ве гус. ширин. 550)</t>
  </si>
  <si>
    <t>Для УНИВЕРСАЛА+ 1690 мм (147 литров)</t>
  </si>
  <si>
    <t>УНИВЕРСАЛ (1540)</t>
  </si>
  <si>
    <t>ТОЛ+УНИВЕРСАЛ(1540)</t>
  </si>
  <si>
    <t>Для УНИВЕРСАЛА 1540 мм (108 литров)</t>
  </si>
  <si>
    <t>БАЗОВАЯ (1435)</t>
  </si>
  <si>
    <t>КЛАССИКА (1435)</t>
  </si>
  <si>
    <t>Установка на 2-ю ось (2 и 4-ю ось у Промысловика+)  зависимой катково-пружинной подвески с 3-мя пружинами (опция лето не доступна, доступно только для гус. 500 мм, для модели ВОЛК и УНИВЕРСАЛ не доступно)</t>
  </si>
  <si>
    <t>Реверс-редуктор с нижней опорой для установки на ранее купленные Ураганы, спецвалом вариатора (покупателям требуется запрессовка вала вариатора, переустановка старого ведомого вариатора и правой опорной стойки на новый вал вариатора, сборка реверса на герметик, заливка масла)</t>
  </si>
  <si>
    <t>Реверс-редуктор с нижней опорой и вариатором на валу в сборе для установки на ранее купленные Ураганы (покупателям требуется запрессовка старой правой опорной стойки на новый вал вариатора, заливка масла)</t>
  </si>
  <si>
    <t>Реверс-редуктор с нижней опорой, вариатором и правой опорой (с подготовкой под установку тормоза) в сборе для установки на ранее купленные Ураганы (покупателям требуется заливка масла)</t>
  </si>
  <si>
    <t>Рычаг газа или тормоза (в запас)</t>
  </si>
  <si>
    <t>Защита от воды и грязи левого подшипника вала вариатора у верхней звездочки цепи (кроме реверса). Цена за 1 место.</t>
  </si>
  <si>
    <t>Быстросъемная задняя ручка с 2-мя болтами и гайками М10 (устанавливается на место крепежа заднего руля) помогает вытащить и развернуть мототолкач в глубоком снегу между деревьев</t>
  </si>
  <si>
    <t>Установка дополнительных сальников для верхних подшипников склизовой (Базовая модель и Компакт) или катково-балансирной подвески (Волк, Базовая модель и Компакт)</t>
  </si>
  <si>
    <t>Установка самоцентрирующегося подшипника 1205 Craft на ведущем валу гусеницы или валу вариатора (опция лето входит в цену). Цена за 1 место. На Медведе  в базе.</t>
  </si>
  <si>
    <t>ОПЦИЯ ЛЕТО (защита подшипников дополнительными                                                                          сальниками от воды и грязи)                                                                                                                                                                    Установка САМОЦЕНТРИРУЮЩИХСЯ ПОДШИПНИКОВ  (устанавливаются только с опцией лето)</t>
  </si>
  <si>
    <t>Балансирный вал толкача в сборе с 2-мя Л-образными кронштейнами, 2-мя пластиковыми катушками, 4-мя шайбами, 2-мя шплинтами, 2-мя боковыми втулками и комплектом метизов М10</t>
  </si>
  <si>
    <t>Вариатор ведущий Итлан-Каюр</t>
  </si>
  <si>
    <t>УСТАНОВКА ДРУГОЙ ПОДВЕСКИ                                                                                         (вместо независимой склизовой с аморизатором в базе)</t>
  </si>
  <si>
    <t>Установка дополнительных сальников для катковой  подвески средней гусеницы на Медведь</t>
  </si>
  <si>
    <t>ПРОМЫСЛОВИК на шипованной гусенице  3636 мм.</t>
  </si>
  <si>
    <t>ВОЛК на шипованной гусенице  3333 мм.</t>
  </si>
  <si>
    <t>КОМПАКТ на шипованной гусенице 2424 мм.</t>
  </si>
  <si>
    <t>БАЗОВАЯ МОДЕЛЬ на шипованной гусенице 2828 мм.</t>
  </si>
  <si>
    <t>Для ПРОМЫСЛОВИКА+ 2000 мм (171 литр)</t>
  </si>
  <si>
    <t>Для ПРОМЫСЛОВИКА+ 2000 мм гусеница 600 (201 литр)</t>
  </si>
  <si>
    <t>УНИВЕРСАЛ на гусенице шипованной выступающими болтами с  установкой защиты от шипов низа рамы</t>
  </si>
  <si>
    <t>Ветровое стекло с площадкой и крепежом под фару  съемное  на руль толкача или колесно-лыжного модуля (в положении сидя защищает лицо /до глаз/, тело, руки, кисти рук)</t>
  </si>
  <si>
    <t xml:space="preserve">Сани-волокуши с демпфером и накладками. Размер 1700х700х260 (ширина дна снизу 510 мм). Оптимальны для 2-х чел и 2-х местного сиденья. С большой нагрузкой (2 чел), меньше режут рыхлый и сырой снег. </t>
  </si>
  <si>
    <t>Сани серые с отбойником, демпфером и накладками (очень толстый пластик). Размер 1600х920х390/260 (ширина дна снизу 670)</t>
  </si>
  <si>
    <t>Мягкое сиденье 1-но местное для волокуш 1475/1700 высокое</t>
  </si>
  <si>
    <t>Мягкое сиденье 2-х местное  для волокуш  1475/1700 высокое</t>
  </si>
  <si>
    <t>Мягкое сиденье 1-но местное для волокуш 1475/1700/2350-2100 низкое (для пассажиров - езды в пухляке и по болотам)</t>
  </si>
  <si>
    <t>Сани "LUX" (толстый пластик) с отбойником, демпфером и накладками. Габарит с отбойником 1680(1475 без отбойника)х730х570. Ширина дна снизу 510 мм - идут по следу гусеницы.</t>
  </si>
  <si>
    <t>Сани серые с отбойником и накладками (очень толстый пластик). Без обвязки и крепежных ремней (рекомендуем). Размер 1600х920х390/260 (ширина дна снизу 670)</t>
  </si>
  <si>
    <t>Задняя ось гусеница 500 мм</t>
  </si>
  <si>
    <t>Задняя ось гусеница 600 мм</t>
  </si>
  <si>
    <t>Ось подвески гусеница 500 мм (1-но место)</t>
  </si>
  <si>
    <t>Ось подвески гусеница 600 мм (1-но место)</t>
  </si>
  <si>
    <t>Каток тележки резино-пластиковый под 205 подшипник с заглушкой</t>
  </si>
  <si>
    <t>Заглушка на каток тележки резино-пластиковый под 205 подшипник</t>
  </si>
  <si>
    <t>Быстросъемная задняя ручка с 2-мя болтами и гайками М10 (устанавливается на место крепежа заднего руля) помогает вытащить и развернуть технику в глубоком снегу между деревьев (особо рекомендуется без реверса и с толкачом)</t>
  </si>
  <si>
    <t>УСТАНОВКА СИСТЕМЫ САМООЧИСТКИ ГУСЕНИЦЫ Н20 ММ ОТ СЫРОГО СНЕГА</t>
  </si>
  <si>
    <t>Усиленная 520 цепь DID с сальниками X-Ring 78 звеньев (в комлекте замок цепи под расклепку)</t>
  </si>
  <si>
    <t>Усиленная 520 цепь DID с сальниками X-Ring 72 звена (в комплекте замок цепи под расклепку)</t>
  </si>
  <si>
    <t>HONDA 11.8 лс с катушкой 10А (без подготовки, блок запуска и ключ прилагается)</t>
  </si>
  <si>
    <t xml:space="preserve">ЭЛЕКТРОСТАРТЕР (цена без АКБ, реком. АКБ 14-19 А/ч) </t>
  </si>
  <si>
    <t>ДВС HONDA 11.8 лс  10А (эл/провода, пуск с руля, кроншт. АКБ)</t>
  </si>
  <si>
    <t xml:space="preserve">Установка усиленной разъемной 520 цепи DID с сальниками X-Ring 72 звена с запасным  неразборным замком под расклепку </t>
  </si>
  <si>
    <t>Установка усиленной разъемной 520 цепи DID с сальниками X-Ring 72 звена с запасным  неразборным замком под расклепку (рекомендуется для Медведя)</t>
  </si>
  <si>
    <t>ДВС GX420 (15 лс ERMA) 10А</t>
  </si>
  <si>
    <t>ДВС 190FC-Pro (15 л/с LIFAN) 3A</t>
  </si>
  <si>
    <t>Установка подшипников SKF 2 шт. на реверсе слева у ведущей звезды цепи</t>
  </si>
  <si>
    <t>Установка подшипников SKF 2 шт. на задней оси гусеницы</t>
  </si>
  <si>
    <t>Установка подшипников SKF 2 шт. на ведущем валу гусеницы (кроме случая установки самоцентрурующихся подшипников)</t>
  </si>
  <si>
    <t>Установка подшипников SKF 1 шт. на правой опоре вариатора  (в случае установки реверса)  или в подвеске</t>
  </si>
  <si>
    <t>УСТАНОВКА ПОДШИПНИКОВ SKF 6205-2RS с повышенным ресурсом (пр-во Швеция)  взамен отечественных</t>
  </si>
  <si>
    <r>
      <rPr>
        <b/>
        <i/>
        <u val="single"/>
        <sz val="17"/>
        <color rgb="FFFF0000"/>
        <rFont val="Calibri"/>
        <family val="2"/>
        <scheme val="minor"/>
      </rPr>
      <t>МОТОТОЛКАЧ</t>
    </r>
    <r>
      <rPr>
        <b/>
        <i/>
        <u val="single"/>
        <sz val="17"/>
        <color rgb="FF0070C0"/>
        <rFont val="Calibri"/>
        <family val="2"/>
        <scheme val="minor"/>
      </rPr>
      <t xml:space="preserve"> И МОТОБУКСИРОВЩИК </t>
    </r>
    <r>
      <rPr>
        <b/>
        <i/>
        <u val="single"/>
        <sz val="17"/>
        <color rgb="FFFF0000"/>
        <rFont val="Calibri"/>
        <family val="2"/>
        <scheme val="minor"/>
      </rPr>
      <t>"УРАГАН"</t>
    </r>
    <r>
      <rPr>
        <b/>
        <i/>
        <u val="single"/>
        <sz val="17"/>
        <color rgb="FF0070C0"/>
        <rFont val="Calibri"/>
        <family val="2"/>
        <scheme val="minor"/>
      </rPr>
      <t xml:space="preserve"> ПОВЫШЕННОЙ ПРОХОДИМОСТИ </t>
    </r>
    <r>
      <rPr>
        <b/>
        <i/>
        <u val="single"/>
        <sz val="17"/>
        <color rgb="FFFF0000"/>
        <rFont val="Calibri"/>
        <family val="2"/>
        <scheme val="minor"/>
      </rPr>
      <t>ДЛЯ ГЛУБОКОГО</t>
    </r>
    <r>
      <rPr>
        <b/>
        <i/>
        <u val="single"/>
        <sz val="17"/>
        <color rgb="FF0070C0"/>
        <rFont val="Calibri"/>
        <family val="2"/>
        <scheme val="minor"/>
      </rPr>
      <t xml:space="preserve"> И РЫХЛОГО </t>
    </r>
    <r>
      <rPr>
        <b/>
        <i/>
        <u val="single"/>
        <sz val="17"/>
        <color rgb="FFFF0000"/>
        <rFont val="Calibri"/>
        <family val="2"/>
        <scheme val="minor"/>
      </rPr>
      <t>СНЕГА</t>
    </r>
    <r>
      <rPr>
        <b/>
        <i/>
        <u val="single"/>
        <sz val="17"/>
        <color rgb="FF0070C0"/>
        <rFont val="Calibri"/>
        <family val="2"/>
        <scheme val="minor"/>
      </rPr>
      <t xml:space="preserve"> И БОЛОТ</t>
    </r>
  </si>
  <si>
    <t>Общий капот ДВС черный с наклейками 2 шт</t>
  </si>
  <si>
    <t>Общий капот ДВС белый из импортного материала с наклейками 2 шт</t>
  </si>
  <si>
    <t>Установка  кожуха вариатора взамен общего черного капота ДВС. Рекомендуется только для летней эксплуатации.</t>
  </si>
  <si>
    <r>
      <rPr>
        <b/>
        <i/>
        <sz val="17"/>
        <color rgb="FFFF0000"/>
        <rFont val="Calibri"/>
        <family val="2"/>
        <scheme val="minor"/>
      </rPr>
      <t>Рекомендованная розничная цена (РРЦ, руб)</t>
    </r>
    <r>
      <rPr>
        <b/>
        <i/>
        <sz val="17"/>
        <rFont val="Calibri"/>
        <family val="2"/>
        <scheme val="minor"/>
      </rPr>
      <t xml:space="preserve"> </t>
    </r>
    <r>
      <rPr>
        <b/>
        <i/>
        <u val="single"/>
        <sz val="17"/>
        <color rgb="FFFF0000"/>
        <rFont val="Calibri"/>
        <family val="2"/>
        <scheme val="minor"/>
      </rPr>
      <t>без популярных опций</t>
    </r>
    <r>
      <rPr>
        <b/>
        <i/>
        <sz val="17"/>
        <rFont val="Calibri"/>
        <family val="2"/>
        <scheme val="minor"/>
      </rPr>
      <t>, таких как фара, самоочистка гусеницы, аварийная чека, подшипники SKF (Швеция), самоцентрирующиеся подшипники с защитой от воды, реверс и т.д.</t>
    </r>
  </si>
  <si>
    <r>
      <rPr>
        <u val="single"/>
        <sz val="21"/>
        <color rgb="FFFF0000"/>
        <rFont val="Calibri"/>
        <family val="2"/>
        <scheme val="minor"/>
      </rPr>
      <t>КОМПЛЕКТАЦИЯ*:</t>
    </r>
    <r>
      <rPr>
        <sz val="21"/>
        <rFont val="Calibri"/>
        <family val="2"/>
        <scheme val="minor"/>
      </rPr>
      <t xml:space="preserve"> неразборная модель (с быстросъемным силовым модулем), отбойник цепи, чека, черный общий капот ДВС, ДВС Lifan или Erma, катушка освещения 3 Ампера, светодиодная фара 18W с включателем на капоте, внешним регулятором напряжения 10А и защитой от мерцания, полностью быстросъемный нескладной руль.</t>
    </r>
  </si>
  <si>
    <t>Установка независимой универсальной катково-пружинной подвески на модель КЛАССИКА. Опция ЛЕТО не доступна</t>
  </si>
  <si>
    <r>
      <rPr>
        <b/>
        <sz val="17"/>
        <rFont val="Calibri"/>
        <family val="2"/>
        <scheme val="minor"/>
      </rPr>
      <t>ЦЕНЫ*</t>
    </r>
    <r>
      <rPr>
        <sz val="17"/>
        <rFont val="Calibri"/>
        <family val="2"/>
        <scheme val="minor"/>
      </rPr>
      <t xml:space="preserve"> (без попул. опций, таких как самоочистка гусеницы, подшипники SKF, самоцентрирующиеся подш. с защитой от воды, чехол на ДВС, реверс и т.д.)</t>
    </r>
  </si>
  <si>
    <t>УСТАНОВКА ГУСЕНИЦ ОТ СНЕГОХОДА НА МОТОТОЛКАЧ ТАЙГА 2000 ММ</t>
  </si>
  <si>
    <r>
      <t xml:space="preserve">ТАЙГА габа-рит 2000 мм </t>
    </r>
    <r>
      <rPr>
        <b/>
        <sz val="12.5"/>
        <rFont val="Calibri"/>
        <family val="2"/>
        <scheme val="minor"/>
      </rPr>
      <t>облегченная гус. 500 мм</t>
    </r>
  </si>
  <si>
    <r>
      <rPr>
        <b/>
        <u val="single"/>
        <sz val="12.5"/>
        <rFont val="Calibri"/>
        <family val="2"/>
        <scheme val="minor"/>
      </rPr>
      <t>КОМПАКТ</t>
    </r>
    <r>
      <rPr>
        <b/>
        <sz val="12.5"/>
        <rFont val="Calibri"/>
        <family val="2"/>
        <scheme val="minor"/>
      </rPr>
      <t xml:space="preserve"> габарит 1190 мм</t>
    </r>
  </si>
  <si>
    <t>БАЗОВАЯ МОДЕЛЬ габарит 1435 (опция 1375)</t>
  </si>
  <si>
    <t>МОДЕЛЬ КЛАССИКА габарит 1435 мм</t>
  </si>
  <si>
    <t>УНИВЕРСАЛ габарит 1540 мм (2-ве гус. ширин. 550)</t>
  </si>
  <si>
    <t>ПРОМЫСЛО-ВИК габарит 1850 мм</t>
  </si>
  <si>
    <t>ЗАЩИТА ОСЕЙ ОТ ОБЛЕДЕ-НЕНИЯ /УПАКОВКА В ТЕРМОУСАДКУ</t>
  </si>
  <si>
    <t>ТАЙГА на облегченной шипованной гусенице 500 мм   3939 мм.</t>
  </si>
  <si>
    <t>Установка дополнительных сальников для верхних подшипников склизовой (Универсалы, Волк, Промысловик и ТАЙГА 2000 мм) или катково-балансирной подвески  (Универсалы, Промысловик и ТАЙГА 2000 мм)</t>
  </si>
  <si>
    <t>Установка дополнительных сальников для нижних подшипников катково-балансирной подвески  (Компакт, Базовая и Волк 8 мест, ТАЙГА 16 мест, остальные модели 12 мест). Цена за 1 место.</t>
  </si>
  <si>
    <t xml:space="preserve">Сани-волокуши с отбойником, демпфером и накладками. Размер без 2350(2100 без отбойника)х800х300 (ширина дна снизу 550 мм). Оптимальны для Промысловик и ТАЙГА с гус. шириной 600 мм. </t>
  </si>
  <si>
    <t xml:space="preserve">Доплата за толкач для ТАЙГА  </t>
  </si>
  <si>
    <t>ТАЙГА (8 элементов)</t>
  </si>
  <si>
    <t>ТАЙГА соединена толстым ПНД через шаг</t>
  </si>
  <si>
    <t>Установка на ТАЙГА независимой универсальной катково-балансирной подвески</t>
  </si>
  <si>
    <t>независимая склизовая подвеска с осями для УНИВЕРСАЛА, ВОЛКА и ПРОМЫСЛОВИКА  (комплект). Устанавливается в Базе</t>
  </si>
  <si>
    <t>независимая склизовая подвеска с осями для ТАЙГА (комплект). Устанавливается в Базе</t>
  </si>
  <si>
    <t>Чехол из ткани оксфорд для ДВС</t>
  </si>
  <si>
    <r>
      <t xml:space="preserve">Сани "LUX" (толстый пластик) с отбойником. Габарит с отбойником 1680х730х570. Ширина дна снизу 510 мм - идут в след гусеницы. </t>
    </r>
    <r>
      <rPr>
        <u val="single"/>
        <sz val="12.5"/>
        <rFont val="Calibri"/>
        <family val="2"/>
        <scheme val="minor"/>
      </rPr>
      <t>Без передней сцепки, железной обвязки и фаркопа.</t>
    </r>
  </si>
  <si>
    <r>
      <t xml:space="preserve">Сани "LUX" (толстый пластик) с отбойником и накладками. Габарит с отбойником 1680(1475 без отбойника)х730х570. Ширина дна снизу 510 мм - идут в след гусеницы. </t>
    </r>
    <r>
      <rPr>
        <u val="single"/>
        <sz val="12.5"/>
        <rFont val="Calibri"/>
        <family val="2"/>
        <scheme val="minor"/>
      </rPr>
      <t>Без передней сцепки, железной обвязки и фаркопа.</t>
    </r>
  </si>
  <si>
    <t>Рама нескладная (руль с волокушей на быстросъемной шпильке /волокуша в цену не входит/, единое с П-образной оглоблей, осью балансира)</t>
  </si>
  <si>
    <t>Съемный кофр (на 4-х болтах или винтах-барашках)</t>
  </si>
  <si>
    <t>Установка фары 15W CREE диодом дальнего света с внешним регулятором напряжения 10А дополнительным конденсатором 4700 мкф 50V на капот мотобуксировщика, руль или ветровое стекло толкача или КЛМ</t>
  </si>
  <si>
    <t>Установка 12-ти диодной фары 36W дальнего света с внешним регулятором напряжения 10А дополнительным конденсатором 4700 мкф 50V на капот мотобуксировщика, руль или ветровое стекло толкача или КЛМ</t>
  </si>
  <si>
    <t>Установка светодиодной фары 18W с встроенным и внешним регулятором напряжения 10А и дополнительным конденсатором 4700 мкф 50V  на капот мотобуксировщика, руль или ветровое стекло толкача или КЛМ</t>
  </si>
  <si>
    <t>Установка морозостойкой аварийной чеки вилочного типа с встроенным выключателем на руль мотобуксировщика или руль толкача или КЛМ (дополнительно к тумблеру или кнопке вкл/выкл ДВС на руле)</t>
  </si>
  <si>
    <t>Установка морозостойкой аварийной чеки вилочного типа с встроенным выключателем на руль мотобуксировщика или руль толкача или КЛМ (вместо тумблера или кнопке вкл/выкл ДВС на руле)</t>
  </si>
  <si>
    <t>Установка отдельного выключателя фары на руль толкача или КЛМ</t>
  </si>
  <si>
    <t>Установка влагозащитного гнезда под прикуриватель с USB на руль мотобуксировщика или толкача или КЛМ</t>
  </si>
  <si>
    <t>Тросик газа на толкач Тайга и КЛМ Медведь</t>
  </si>
  <si>
    <t>Тросик газа на толкач Компакт, Базовая, Классик, Волк и Промысловик</t>
  </si>
  <si>
    <t>Тросик тормоза на толкач Компакт, Базовая, Классик, Волк и Промысловик</t>
  </si>
  <si>
    <t>Тросик тормоза на толкач Тайга и КЛМ Медведь</t>
  </si>
  <si>
    <t>РЕВЕРС-РЕДУКТОР БЕЗ УСТАНОВКИ</t>
  </si>
  <si>
    <t>Установка 1-го конька длиной 500 мм из квадрата 10 мм на накладку саней или лыж КЛМ (по центру саней или лыж). Требуется для управления по автодорогам и насту.</t>
  </si>
  <si>
    <t>Съемная спинка багажника (у разборной модели в базе)</t>
  </si>
  <si>
    <t>КОЛЕСНО-ЛЫЖНЫЙ МОДУЛЬ ДЛЯ МЕДВЕДЯ С ЛЫЖАМИ, но без колес /подходят от а/м ВАЗ/, фары, чеки, подогрева и ветрового стекла</t>
  </si>
  <si>
    <t>независимая катково-балансирная подвеска с осями для ТАЙГА (комплект)</t>
  </si>
  <si>
    <t>ТАЙГА на шипованной гусенице Тайга 600 мм   3937 мм.</t>
  </si>
  <si>
    <t>Установка капота белого цвета из импортного пластика (в базе капот черного цвета из отечественного пластика черного цвета)</t>
  </si>
  <si>
    <r>
      <rPr>
        <b/>
        <u val="single"/>
        <sz val="13"/>
        <color rgb="FFFF0000"/>
        <rFont val="Calibri"/>
        <family val="2"/>
        <scheme val="minor"/>
      </rPr>
      <t>КОМПЛЕКТАЦИЯ:</t>
    </r>
    <r>
      <rPr>
        <b/>
        <sz val="13"/>
        <rFont val="Calibri"/>
        <family val="2"/>
        <scheme val="minor"/>
      </rPr>
      <t xml:space="preserve"> ОБЩИЙ КАПОТ, КАТУШКА СВЕТА 3А, СКЛИЗ С АМОРТИЗАТОРОМ, ОТБОЙНИК ЦЕПИ, БЫСТРОСЪЕМНЫЙ РУЛЬ, ГУСЕНИЦА 500 ММ или 2-е ГУС. ШИР. 550 мм </t>
    </r>
    <r>
      <rPr>
        <b/>
        <u val="single"/>
        <sz val="13"/>
        <rFont val="Calibri"/>
        <family val="2"/>
        <scheme val="minor"/>
      </rPr>
      <t>(ЧЕКИ И ФАРЫ ЗДЕСЬ НЕТ!)</t>
    </r>
  </si>
  <si>
    <r>
      <rPr>
        <u val="single"/>
        <sz val="19"/>
        <color rgb="FFFF0000"/>
        <rFont val="Calibri"/>
        <family val="2"/>
        <scheme val="minor"/>
      </rPr>
      <t>КОМПЛЕКТАЦИЯ:</t>
    </r>
    <r>
      <rPr>
        <sz val="19"/>
        <rFont val="Calibri"/>
        <family val="2"/>
        <scheme val="minor"/>
      </rPr>
      <t xml:space="preserve"> Защита от воды и грязи подшипников (кроме вариатора и подвески средней гусеницы), самоцентри-рующиеся подшипники ведущего вала,  самоочистка средней гусеницы, катушка освещения 3А (ERMA 10А), аварийная чека, светодиодная фара 18W c включателем. Рекомендуем заказать реверс 14160 руб. и колесно-лыжный модуль 35800 руб.</t>
    </r>
  </si>
  <si>
    <t>ВОЛК длина 1690 мм, гусеница 3366 мм</t>
  </si>
  <si>
    <t>ВОЛК(1690) гус.3366мм</t>
  </si>
  <si>
    <r>
      <rPr>
        <u val="single"/>
        <sz val="21"/>
        <color rgb="FFFF0000"/>
        <rFont val="Calibri"/>
        <family val="2"/>
        <scheme val="minor"/>
      </rPr>
      <t>КОМПЛЕКТАЦИЯ:</t>
    </r>
    <r>
      <rPr>
        <sz val="21"/>
        <color rgb="FFFF0000"/>
        <rFont val="Calibri"/>
        <family val="2"/>
        <scheme val="minor"/>
      </rPr>
      <t xml:space="preserve"> </t>
    </r>
    <r>
      <rPr>
        <sz val="21"/>
        <rFont val="Calibri"/>
        <family val="2"/>
        <scheme val="minor"/>
      </rPr>
      <t xml:space="preserve">Рама толкача не разбор. без мягк. спинки и брызговика (светод.  фара 18W с включат, авар.чека) </t>
    </r>
    <r>
      <rPr>
        <sz val="21"/>
        <color rgb="FFFF0000"/>
        <rFont val="Calibri"/>
        <family val="2"/>
        <scheme val="minor"/>
      </rPr>
      <t>с толст. санями LUX с отбойником, накладками и коньком</t>
    </r>
    <r>
      <rPr>
        <sz val="21"/>
        <rFont val="Calibri"/>
        <family val="2"/>
        <scheme val="minor"/>
      </rPr>
      <t xml:space="preserve"> (без железной обвязки)+ мотобукс. в КОМПЛЕКТАЦИИ* см. выше (но без  заднего руля и фары на буксе)</t>
    </r>
  </si>
  <si>
    <t>ТОЛКАЧ+ТАЙГА (2000)</t>
  </si>
  <si>
    <t>ТАЙГА (2000) облегч. гус-еница длиной 3978 мм</t>
  </si>
  <si>
    <t>МОДЕЛЬ (длина) гусеница 500 мм</t>
  </si>
  <si>
    <t>Установка подвески с беспрокольными колесами 200 мм 6 шт. на модель КЛАССИКА (дешевле)</t>
  </si>
  <si>
    <t>независимая склизовая подвеска с осями для БАЗОВОЙ МОДЕЛИ, КЛАССИКИ и КОМПАКТ (комплект). Устанавливается в Базе</t>
  </si>
  <si>
    <t>накладка на склизы пластиковая без отверстий для БАЗОВОЙ МОДЕЛИ, КЛАССИКИ и КОМПАКТ (пара)</t>
  </si>
  <si>
    <t>Колесо надувное с пластмассовой втулкой D-254mm 1 шт</t>
  </si>
  <si>
    <t>Установка подогрева ручек /пр-во Россия/ с отдельным включателем на руль мотобуксировщика или руль толкача или КЛМ (треб светодиодная  фара и ДВС 3А или 10А)</t>
  </si>
  <si>
    <t>Установка подогрева ручек /пр-во Китай/ с прилагаемым к подогреву родным включателем на руль мотобуксировщика или руль толкача или КЛМ (треб светодиодная  фара и ДВС 3А или 10А). Ограниченная гарантия 3 месяца с момента получения товара покупателем</t>
  </si>
  <si>
    <t xml:space="preserve">*** - В правом желтом столбце с красным текстом подставляйте напротив выбранной модели, опции или товара знак "=" равно и указывайте в этой-же строке необходимую ячейку слева в прайсе, делее нажимайте Enter. Лишние ячейки с товарами и опциями в желтом столбце удалите клавишей del. Итоговая сумма  автоматом вылезет вверху желтого столбца.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</si>
</sst>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2.5"/>
      <color theme="1"/>
      <name val="Calibri"/>
      <family val="2"/>
      <scheme val="minor"/>
    </font>
    <font>
      <sz val="12.5"/>
      <name val="Calibri"/>
      <family val="2"/>
      <scheme val="minor"/>
    </font>
    <font>
      <b/>
      <u val="single"/>
      <sz val="12.5"/>
      <name val="Calibri"/>
      <family val="2"/>
      <scheme val="minor"/>
    </font>
    <font>
      <b/>
      <sz val="12.5"/>
      <name val="Calibri"/>
      <family val="2"/>
      <scheme val="minor"/>
    </font>
    <font>
      <sz val="12.5"/>
      <color theme="4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7"/>
      <name val="Calibri"/>
      <family val="2"/>
      <scheme val="minor"/>
    </font>
    <font>
      <b/>
      <i/>
      <sz val="17"/>
      <name val="Calibri"/>
      <family val="2"/>
      <scheme val="minor"/>
    </font>
    <font>
      <b/>
      <sz val="16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sz val="12.5"/>
      <color rgb="FFFF0000"/>
      <name val="Calibri"/>
      <family val="2"/>
      <scheme val="minor"/>
    </font>
    <font>
      <b/>
      <i/>
      <u val="single"/>
      <sz val="19"/>
      <color rgb="FF0070C0"/>
      <name val="Calibri"/>
      <family val="2"/>
      <scheme val="minor"/>
    </font>
    <font>
      <sz val="21"/>
      <name val="Calibri"/>
      <family val="2"/>
      <scheme val="minor"/>
    </font>
    <font>
      <sz val="16"/>
      <name val="Calibri"/>
      <family val="2"/>
      <scheme val="minor"/>
    </font>
    <font>
      <b/>
      <i/>
      <u val="single"/>
      <sz val="17"/>
      <name val="Calibri"/>
      <family val="2"/>
      <scheme val="minor"/>
    </font>
    <font>
      <b/>
      <i/>
      <sz val="19"/>
      <color rgb="FF0070C0"/>
      <name val="Calibri"/>
      <family val="2"/>
      <scheme val="minor"/>
    </font>
    <font>
      <b/>
      <i/>
      <sz val="19"/>
      <color rgb="FFFF0000"/>
      <name val="Calibri"/>
      <family val="2"/>
      <scheme val="minor"/>
    </font>
    <font>
      <b/>
      <sz val="17"/>
      <color rgb="FF0070C0"/>
      <name val="Calibri"/>
      <family val="2"/>
      <scheme val="minor"/>
    </font>
    <font>
      <b/>
      <i/>
      <u val="single"/>
      <sz val="17"/>
      <color rgb="FFFF0000"/>
      <name val="Calibri"/>
      <family val="2"/>
      <scheme val="minor"/>
    </font>
    <font>
      <b/>
      <i/>
      <sz val="17"/>
      <color rgb="FFFF0000"/>
      <name val="Calibri"/>
      <family val="2"/>
      <scheme val="minor"/>
    </font>
    <font>
      <sz val="21"/>
      <color rgb="FFFF0000"/>
      <name val="Calibri"/>
      <family val="2"/>
      <scheme val="minor"/>
    </font>
    <font>
      <u val="single"/>
      <sz val="12.5"/>
      <name val="Calibri"/>
      <family val="2"/>
      <scheme val="minor"/>
    </font>
    <font>
      <sz val="19"/>
      <name val="Calibri"/>
      <family val="2"/>
      <scheme val="minor"/>
    </font>
    <font>
      <b/>
      <u val="single"/>
      <sz val="16"/>
      <color rgb="FFFF0000"/>
      <name val="Calibri"/>
      <family val="2"/>
      <scheme val="minor"/>
    </font>
    <font>
      <u val="single"/>
      <sz val="21"/>
      <color rgb="FFFF0000"/>
      <name val="Calibri"/>
      <family val="2"/>
      <scheme val="minor"/>
    </font>
    <font>
      <b/>
      <u val="single"/>
      <sz val="17"/>
      <color rgb="FFFF0000"/>
      <name val="Calibri"/>
      <family val="2"/>
      <scheme val="minor"/>
    </font>
    <font>
      <b/>
      <sz val="17"/>
      <color rgb="FFFF0000"/>
      <name val="Calibri"/>
      <family val="2"/>
      <scheme val="minor"/>
    </font>
    <font>
      <u val="single"/>
      <sz val="19"/>
      <color rgb="FFFF0000"/>
      <name val="Calibri"/>
      <family val="2"/>
      <scheme val="minor"/>
    </font>
    <font>
      <sz val="13.5"/>
      <name val="Calibri"/>
      <family val="2"/>
      <scheme val="minor"/>
    </font>
    <font>
      <b/>
      <i/>
      <u val="single"/>
      <sz val="17"/>
      <color rgb="FF0070C0"/>
      <name val="Calibri"/>
      <family val="2"/>
      <scheme val="minor"/>
    </font>
    <font>
      <b/>
      <i/>
      <sz val="12.5"/>
      <color rgb="FFFF0000"/>
      <name val="Calibri"/>
      <family val="2"/>
      <scheme val="minor"/>
    </font>
    <font>
      <sz val="17"/>
      <name val="Calibri"/>
      <family val="2"/>
      <scheme val="minor"/>
    </font>
    <font>
      <b/>
      <sz val="13"/>
      <name val="Calibri"/>
      <family val="2"/>
      <scheme val="minor"/>
    </font>
    <font>
      <b/>
      <u val="single"/>
      <sz val="13"/>
      <color rgb="FFFF0000"/>
      <name val="Calibri"/>
      <family val="2"/>
      <scheme val="minor"/>
    </font>
    <font>
      <b/>
      <u val="single"/>
      <sz val="1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FF"/>
        <bgColor indexed="64"/>
      </patternFill>
    </fill>
  </fills>
  <borders count="46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3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3" fillId="5" borderId="11" xfId="0" applyNumberFormat="1" applyFont="1" applyFill="1" applyBorder="1" applyAlignment="1">
      <alignment horizontal="center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14" fillId="5" borderId="5" xfId="0" applyNumberFormat="1" applyFont="1" applyFill="1" applyBorder="1" applyAlignment="1">
      <alignment horizontal="center" vertical="center" wrapText="1"/>
    </xf>
    <xf numFmtId="0" fontId="14" fillId="5" borderId="7" xfId="0" applyNumberFormat="1" applyFont="1" applyFill="1" applyBorder="1" applyAlignment="1">
      <alignment horizontal="center" vertical="center" wrapText="1"/>
    </xf>
    <xf numFmtId="0" fontId="14" fillId="5" borderId="14" xfId="0" applyNumberFormat="1" applyFont="1" applyFill="1" applyBorder="1" applyAlignment="1">
      <alignment horizontal="center" vertical="center" wrapText="1"/>
    </xf>
    <xf numFmtId="0" fontId="14" fillId="5" borderId="9" xfId="0" applyNumberFormat="1" applyFont="1" applyFill="1" applyBorder="1" applyAlignment="1">
      <alignment horizontal="center"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3" fillId="4" borderId="16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3" xfId="0" applyNumberFormat="1" applyFont="1" applyFill="1" applyBorder="1" applyAlignment="1">
      <alignment horizontal="left" vertical="center" wrapText="1"/>
    </xf>
    <xf numFmtId="0" fontId="3" fillId="4" borderId="13" xfId="0" applyNumberFormat="1" applyFont="1" applyFill="1" applyBorder="1" applyAlignment="1">
      <alignment horizontal="left" vertical="center" wrapText="1"/>
    </xf>
    <xf numFmtId="0" fontId="3" fillId="4" borderId="17" xfId="0" applyNumberFormat="1" applyFont="1" applyFill="1" applyBorder="1" applyAlignment="1">
      <alignment horizontal="left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6" borderId="9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1" fontId="9" fillId="4" borderId="18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3" fillId="4" borderId="19" xfId="0" applyNumberFormat="1" applyFont="1" applyFill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 wrapText="1"/>
    </xf>
    <xf numFmtId="1" fontId="9" fillId="6" borderId="20" xfId="0" applyNumberFormat="1" applyFont="1" applyFill="1" applyBorder="1" applyAlignment="1">
      <alignment horizontal="center" vertical="center" wrapText="1"/>
    </xf>
    <xf numFmtId="1" fontId="9" fillId="6" borderId="13" xfId="0" applyNumberFormat="1" applyFont="1" applyFill="1" applyBorder="1" applyAlignment="1">
      <alignment horizontal="center" vertical="center" wrapText="1"/>
    </xf>
    <xf numFmtId="1" fontId="9" fillId="6" borderId="9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0" fontId="18" fillId="2" borderId="0" xfId="0" applyNumberFormat="1" applyFont="1" applyFill="1" applyAlignment="1">
      <alignment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0" fontId="34" fillId="3" borderId="2" xfId="0" applyNumberFormat="1" applyFont="1" applyFill="1" applyBorder="1" applyAlignment="1">
      <alignment horizontal="center" vertical="center" wrapText="1"/>
    </xf>
    <xf numFmtId="0" fontId="34" fillId="3" borderId="8" xfId="0" applyNumberFormat="1" applyFont="1" applyFill="1" applyBorder="1" applyAlignment="1">
      <alignment horizontal="center" vertical="center" wrapText="1"/>
    </xf>
    <xf numFmtId="0" fontId="34" fillId="2" borderId="2" xfId="0" applyNumberFormat="1" applyFont="1" applyFill="1" applyBorder="1" applyAlignment="1">
      <alignment horizontal="center" vertical="center" wrapText="1"/>
    </xf>
    <xf numFmtId="0" fontId="34" fillId="2" borderId="5" xfId="0" applyNumberFormat="1" applyFont="1" applyFill="1" applyBorder="1" applyAlignment="1">
      <alignment horizontal="center" vertical="center" wrapText="1"/>
    </xf>
    <xf numFmtId="1" fontId="34" fillId="3" borderId="8" xfId="0" applyNumberFormat="1" applyFont="1" applyFill="1" applyBorder="1" applyAlignment="1">
      <alignment horizontal="center" vertical="center" wrapText="1"/>
    </xf>
    <xf numFmtId="0" fontId="34" fillId="2" borderId="12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34" fillId="2" borderId="8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6" borderId="13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34" fillId="2" borderId="8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9" fillId="6" borderId="8" xfId="0" applyNumberFormat="1" applyFont="1" applyFill="1" applyBorder="1" applyAlignment="1">
      <alignment horizontal="center" vertical="center" wrapText="1"/>
    </xf>
    <xf numFmtId="1" fontId="39" fillId="2" borderId="13" xfId="0" applyNumberFormat="1" applyFont="1" applyFill="1" applyBorder="1" applyAlignment="1">
      <alignment horizontal="center" vertical="center" wrapText="1"/>
    </xf>
    <xf numFmtId="1" fontId="39" fillId="2" borderId="9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39" fillId="2" borderId="4" xfId="0" applyNumberFormat="1" applyFont="1" applyFill="1" applyBorder="1" applyAlignment="1">
      <alignment horizontal="center" vertical="center" wrapText="1"/>
    </xf>
    <xf numFmtId="0" fontId="39" fillId="2" borderId="5" xfId="0" applyNumberFormat="1" applyFont="1" applyFill="1" applyBorder="1" applyAlignment="1">
      <alignment horizontal="center" vertical="center" wrapText="1"/>
    </xf>
    <xf numFmtId="0" fontId="39" fillId="2" borderId="13" xfId="0" applyNumberFormat="1" applyFont="1" applyFill="1" applyBorder="1" applyAlignment="1">
      <alignment horizontal="center" vertical="center" wrapText="1"/>
    </xf>
    <xf numFmtId="0" fontId="39" fillId="2" borderId="9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left" vertical="center" wrapText="1"/>
    </xf>
    <xf numFmtId="0" fontId="3" fillId="4" borderId="17" xfId="0" applyNumberFormat="1" applyFont="1" applyFill="1" applyBorder="1" applyAlignment="1">
      <alignment horizontal="left" vertical="center" wrapText="1"/>
    </xf>
    <xf numFmtId="0" fontId="9" fillId="6" borderId="24" xfId="0" applyNumberFormat="1" applyFont="1" applyFill="1" applyBorder="1" applyAlignment="1">
      <alignment horizontal="left" vertical="center" wrapText="1"/>
    </xf>
    <xf numFmtId="0" fontId="9" fillId="6" borderId="25" xfId="0" applyNumberFormat="1" applyFont="1" applyFill="1" applyBorder="1" applyAlignment="1">
      <alignment horizontal="left" vertical="center" wrapText="1"/>
    </xf>
    <xf numFmtId="0" fontId="9" fillId="6" borderId="17" xfId="0" applyNumberFormat="1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6" borderId="13" xfId="0" applyNumberFormat="1" applyFont="1" applyFill="1" applyBorder="1" applyAlignment="1">
      <alignment horizontal="left" vertical="center" wrapText="1"/>
    </xf>
    <xf numFmtId="0" fontId="3" fillId="6" borderId="17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left" vertical="center" wrapText="1"/>
    </xf>
    <xf numFmtId="0" fontId="3" fillId="2" borderId="17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center" vertical="center" textRotation="90" wrapText="1"/>
    </xf>
    <xf numFmtId="0" fontId="7" fillId="2" borderId="12" xfId="0" applyNumberFormat="1" applyFont="1" applyFill="1" applyBorder="1" applyAlignment="1">
      <alignment horizontal="center" vertical="center" textRotation="90" wrapText="1"/>
    </xf>
    <xf numFmtId="0" fontId="7" fillId="2" borderId="8" xfId="0" applyNumberFormat="1" applyFont="1" applyFill="1" applyBorder="1" applyAlignment="1">
      <alignment horizontal="center" vertical="center" textRotation="90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3" fillId="4" borderId="18" xfId="0" applyNumberFormat="1" applyFont="1" applyFill="1" applyBorder="1" applyAlignment="1">
      <alignment horizontal="left" vertical="center" wrapText="1"/>
    </xf>
    <xf numFmtId="0" fontId="3" fillId="4" borderId="27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0" fontId="3" fillId="4" borderId="24" xfId="0" applyNumberFormat="1" applyFont="1" applyFill="1" applyBorder="1" applyAlignment="1">
      <alignment horizontal="left" vertical="top" wrapText="1"/>
    </xf>
    <xf numFmtId="0" fontId="3" fillId="4" borderId="17" xfId="0" applyNumberFormat="1" applyFont="1" applyFill="1" applyBorder="1" applyAlignment="1">
      <alignment horizontal="left" vertical="top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left" vertical="center" wrapText="1"/>
    </xf>
    <xf numFmtId="0" fontId="5" fillId="6" borderId="15" xfId="0" applyNumberFormat="1" applyFont="1" applyFill="1" applyBorder="1" applyAlignment="1">
      <alignment horizontal="left" vertical="center" wrapText="1"/>
    </xf>
    <xf numFmtId="0" fontId="5" fillId="6" borderId="29" xfId="0" applyNumberFormat="1" applyFont="1" applyFill="1" applyBorder="1" applyAlignment="1">
      <alignment horizontal="left" vertical="center" wrapText="1"/>
    </xf>
    <xf numFmtId="0" fontId="5" fillId="6" borderId="30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6" borderId="3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13" xfId="0" applyNumberFormat="1" applyFont="1" applyFill="1" applyBorder="1" applyAlignment="1">
      <alignment horizontal="left" vertical="center" wrapText="1"/>
    </xf>
    <xf numFmtId="0" fontId="9" fillId="2" borderId="17" xfId="0" applyNumberFormat="1" applyFont="1" applyFill="1" applyBorder="1" applyAlignment="1">
      <alignment horizontal="left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29" xfId="0" applyNumberFormat="1" applyFont="1" applyFill="1" applyBorder="1" applyAlignment="1">
      <alignment horizontal="center" vertical="center" wrapText="1"/>
    </xf>
    <xf numFmtId="0" fontId="10" fillId="2" borderId="30" xfId="0" applyNumberFormat="1" applyFont="1" applyFill="1" applyBorder="1" applyAlignment="1">
      <alignment horizontal="center" vertical="center" wrapText="1"/>
    </xf>
    <xf numFmtId="0" fontId="3" fillId="4" borderId="26" xfId="0" applyNumberFormat="1" applyFont="1" applyFill="1" applyBorder="1" applyAlignment="1">
      <alignment horizontal="left" vertical="center" wrapText="1"/>
    </xf>
    <xf numFmtId="0" fontId="3" fillId="4" borderId="22" xfId="0" applyNumberFormat="1" applyFont="1" applyFill="1" applyBorder="1" applyAlignment="1">
      <alignment horizontal="left" vertical="center" wrapText="1"/>
    </xf>
    <xf numFmtId="0" fontId="3" fillId="4" borderId="18" xfId="0" applyNumberFormat="1" applyFont="1" applyFill="1" applyBorder="1" applyAlignment="1">
      <alignment horizontal="left" vertical="top" wrapText="1"/>
    </xf>
    <xf numFmtId="0" fontId="3" fillId="4" borderId="27" xfId="0" applyNumberFormat="1" applyFont="1" applyFill="1" applyBorder="1" applyAlignment="1">
      <alignment horizontal="left" vertical="top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3" xfId="0" applyNumberFormat="1" applyFont="1" applyFill="1" applyBorder="1" applyAlignment="1">
      <alignment horizontal="left" vertical="center" wrapText="1"/>
    </xf>
    <xf numFmtId="0" fontId="9" fillId="4" borderId="13" xfId="0" applyNumberFormat="1" applyFont="1" applyFill="1" applyBorder="1" applyAlignment="1">
      <alignment horizontal="left" vertical="center" wrapText="1"/>
    </xf>
    <xf numFmtId="0" fontId="9" fillId="4" borderId="17" xfId="0" applyNumberFormat="1" applyFont="1" applyFill="1" applyBorder="1" applyAlignment="1">
      <alignment horizontal="left" vertical="center" wrapText="1"/>
    </xf>
    <xf numFmtId="0" fontId="9" fillId="3" borderId="13" xfId="0" applyNumberFormat="1" applyFont="1" applyFill="1" applyBorder="1" applyAlignment="1">
      <alignment horizontal="left" vertical="center" wrapText="1"/>
    </xf>
    <xf numFmtId="0" fontId="9" fillId="3" borderId="25" xfId="0" applyNumberFormat="1" applyFont="1" applyFill="1" applyBorder="1" applyAlignment="1">
      <alignment horizontal="left" vertical="center" wrapText="1"/>
    </xf>
    <xf numFmtId="0" fontId="9" fillId="3" borderId="17" xfId="0" applyNumberFormat="1" applyFont="1" applyFill="1" applyBorder="1" applyAlignment="1">
      <alignment horizontal="left" vertical="center" wrapText="1"/>
    </xf>
    <xf numFmtId="0" fontId="9" fillId="4" borderId="18" xfId="0" applyNumberFormat="1" applyFont="1" applyFill="1" applyBorder="1" applyAlignment="1">
      <alignment horizontal="left" vertical="center" wrapText="1"/>
    </xf>
    <xf numFmtId="0" fontId="9" fillId="4" borderId="27" xfId="0" applyNumberFormat="1" applyFont="1" applyFill="1" applyBorder="1" applyAlignment="1">
      <alignment horizontal="left" vertical="center" wrapText="1"/>
    </xf>
    <xf numFmtId="0" fontId="9" fillId="2" borderId="26" xfId="0" applyNumberFormat="1" applyFont="1" applyFill="1" applyBorder="1" applyAlignment="1">
      <alignment horizontal="left" vertical="center" wrapText="1"/>
    </xf>
    <xf numFmtId="0" fontId="9" fillId="2" borderId="22" xfId="0" applyNumberFormat="1" applyFont="1" applyFill="1" applyBorder="1" applyAlignment="1">
      <alignment horizontal="left" vertical="center" wrapText="1"/>
    </xf>
    <xf numFmtId="0" fontId="8" fillId="2" borderId="16" xfId="0" applyNumberFormat="1" applyFont="1" applyFill="1" applyBorder="1" applyAlignment="1">
      <alignment horizontal="center" vertical="center" textRotation="90" wrapText="1"/>
    </xf>
    <xf numFmtId="0" fontId="8" fillId="2" borderId="12" xfId="0" applyNumberFormat="1" applyFont="1" applyFill="1" applyBorder="1" applyAlignment="1">
      <alignment horizontal="center" vertical="center" textRotation="90" wrapText="1"/>
    </xf>
    <xf numFmtId="0" fontId="8" fillId="2" borderId="8" xfId="0" applyNumberFormat="1" applyFont="1" applyFill="1" applyBorder="1" applyAlignment="1">
      <alignment horizontal="center" vertical="center" textRotation="90" wrapText="1"/>
    </xf>
    <xf numFmtId="0" fontId="3" fillId="2" borderId="31" xfId="0" applyNumberFormat="1" applyFont="1" applyFill="1" applyBorder="1" applyAlignment="1">
      <alignment horizontal="left" vertical="top" wrapText="1"/>
    </xf>
    <xf numFmtId="0" fontId="3" fillId="2" borderId="27" xfId="0" applyNumberFormat="1" applyFont="1" applyFill="1" applyBorder="1" applyAlignment="1">
      <alignment horizontal="left" vertical="top" wrapText="1"/>
    </xf>
    <xf numFmtId="0" fontId="3" fillId="2" borderId="32" xfId="0" applyNumberFormat="1" applyFont="1" applyFill="1" applyBorder="1" applyAlignment="1">
      <alignment horizontal="left" vertical="center" wrapText="1"/>
    </xf>
    <xf numFmtId="0" fontId="3" fillId="2" borderId="33" xfId="0" applyNumberFormat="1" applyFont="1" applyFill="1" applyBorder="1" applyAlignment="1">
      <alignment horizontal="left" vertical="center" wrapText="1"/>
    </xf>
    <xf numFmtId="0" fontId="12" fillId="2" borderId="16" xfId="0" applyNumberFormat="1" applyFont="1" applyFill="1" applyBorder="1" applyAlignment="1">
      <alignment horizontal="center" vertical="center" textRotation="90" wrapText="1"/>
    </xf>
    <xf numFmtId="0" fontId="12" fillId="2" borderId="12" xfId="0" applyNumberFormat="1" applyFont="1" applyFill="1" applyBorder="1" applyAlignment="1">
      <alignment horizontal="center" vertical="center" textRotation="90" wrapText="1"/>
    </xf>
    <xf numFmtId="0" fontId="3" fillId="6" borderId="21" xfId="0" applyNumberFormat="1" applyFont="1" applyFill="1" applyBorder="1" applyAlignment="1">
      <alignment horizontal="left" vertical="center" wrapText="1"/>
    </xf>
    <xf numFmtId="0" fontId="3" fillId="6" borderId="28" xfId="0" applyNumberFormat="1" applyFont="1" applyFill="1" applyBorder="1" applyAlignment="1">
      <alignment horizontal="left" vertical="center" wrapText="1"/>
    </xf>
    <xf numFmtId="0" fontId="3" fillId="6" borderId="4" xfId="0" applyNumberFormat="1" applyFont="1" applyFill="1" applyBorder="1" applyAlignment="1">
      <alignment horizontal="left" vertical="center" wrapText="1"/>
    </xf>
    <xf numFmtId="0" fontId="3" fillId="6" borderId="10" xfId="0" applyNumberFormat="1" applyFont="1" applyFill="1" applyBorder="1" applyAlignment="1">
      <alignment horizontal="left" vertical="center" wrapText="1"/>
    </xf>
    <xf numFmtId="0" fontId="3" fillId="6" borderId="18" xfId="0" applyNumberFormat="1" applyFont="1" applyFill="1" applyBorder="1" applyAlignment="1">
      <alignment horizontal="left" vertical="center" wrapText="1"/>
    </xf>
    <xf numFmtId="0" fontId="3" fillId="6" borderId="27" xfId="0" applyNumberFormat="1" applyFont="1" applyFill="1" applyBorder="1" applyAlignment="1">
      <alignment horizontal="left" vertical="center" wrapText="1"/>
    </xf>
    <xf numFmtId="0" fontId="13" fillId="2" borderId="0" xfId="0" applyNumberFormat="1" applyFont="1" applyFill="1" applyAlignment="1">
      <alignment horizontal="left" vertical="top" wrapText="1"/>
    </xf>
    <xf numFmtId="0" fontId="15" fillId="5" borderId="34" xfId="0" applyNumberFormat="1" applyFont="1" applyFill="1" applyBorder="1" applyAlignment="1">
      <alignment horizontal="center" vertical="center" wrapText="1"/>
    </xf>
    <xf numFmtId="0" fontId="15" fillId="5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13" fillId="5" borderId="16" xfId="0" applyNumberFormat="1" applyFont="1" applyFill="1" applyBorder="1" applyAlignment="1">
      <alignment horizontal="center" vertical="center" wrapText="1"/>
    </xf>
    <xf numFmtId="0" fontId="13" fillId="5" borderId="12" xfId="0" applyNumberFormat="1" applyFont="1" applyFill="1" applyBorder="1" applyAlignment="1">
      <alignment horizontal="center" vertical="center" wrapText="1"/>
    </xf>
    <xf numFmtId="0" fontId="13" fillId="5" borderId="8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left" vertical="center" wrapText="1"/>
    </xf>
    <xf numFmtId="0" fontId="9" fillId="4" borderId="10" xfId="0" applyNumberFormat="1" applyFont="1" applyFill="1" applyBorder="1" applyAlignment="1">
      <alignment horizontal="left" vertical="center" wrapText="1"/>
    </xf>
    <xf numFmtId="0" fontId="3" fillId="4" borderId="4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left" vertical="center" wrapText="1"/>
    </xf>
    <xf numFmtId="0" fontId="9" fillId="4" borderId="20" xfId="0" applyNumberFormat="1" applyFont="1" applyFill="1" applyBorder="1" applyAlignment="1">
      <alignment horizontal="left" vertical="center" wrapText="1"/>
    </xf>
    <xf numFmtId="0" fontId="9" fillId="4" borderId="6" xfId="0" applyNumberFormat="1" applyFont="1" applyFill="1" applyBorder="1" applyAlignment="1">
      <alignment horizontal="left" vertical="center" wrapText="1"/>
    </xf>
    <xf numFmtId="0" fontId="9" fillId="2" borderId="20" xfId="0" applyNumberFormat="1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left" vertical="center" wrapText="1"/>
    </xf>
    <xf numFmtId="0" fontId="9" fillId="4" borderId="32" xfId="0" applyNumberFormat="1" applyFont="1" applyFill="1" applyBorder="1" applyAlignment="1">
      <alignment horizontal="left" vertical="center" wrapText="1"/>
    </xf>
    <xf numFmtId="0" fontId="9" fillId="4" borderId="33" xfId="0" applyNumberFormat="1" applyFont="1" applyFill="1" applyBorder="1" applyAlignment="1">
      <alignment horizontal="left" vertical="center" wrapText="1"/>
    </xf>
    <xf numFmtId="0" fontId="36" fillId="2" borderId="15" xfId="0" applyNumberFormat="1" applyFont="1" applyFill="1" applyBorder="1" applyAlignment="1">
      <alignment horizontal="center" vertical="center" wrapText="1"/>
    </xf>
    <xf numFmtId="0" fontId="36" fillId="2" borderId="29" xfId="0" applyNumberFormat="1" applyFont="1" applyFill="1" applyBorder="1" applyAlignment="1">
      <alignment horizontal="center" vertical="center" wrapText="1"/>
    </xf>
    <xf numFmtId="0" fontId="36" fillId="2" borderId="30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" fontId="32" fillId="2" borderId="32" xfId="0" applyNumberFormat="1" applyFont="1" applyFill="1" applyBorder="1" applyAlignment="1">
      <alignment horizontal="left" vertical="top" wrapText="1"/>
    </xf>
    <xf numFmtId="1" fontId="32" fillId="2" borderId="34" xfId="0" applyNumberFormat="1" applyFont="1" applyFill="1" applyBorder="1" applyAlignment="1">
      <alignment horizontal="left" vertical="top" wrapText="1"/>
    </xf>
    <xf numFmtId="1" fontId="32" fillId="2" borderId="26" xfId="0" applyNumberFormat="1" applyFont="1" applyFill="1" applyBorder="1" applyAlignment="1">
      <alignment horizontal="left" vertical="top" wrapText="1"/>
    </xf>
    <xf numFmtId="1" fontId="32" fillId="2" borderId="0" xfId="0" applyNumberFormat="1" applyFont="1" applyFill="1" applyBorder="1" applyAlignment="1">
      <alignment horizontal="left" vertical="top" wrapText="1"/>
    </xf>
    <xf numFmtId="0" fontId="3" fillId="0" borderId="35" xfId="0" applyNumberFormat="1" applyFont="1" applyBorder="1" applyAlignment="1">
      <alignment horizontal="left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2" fillId="6" borderId="19" xfId="0" applyNumberFormat="1" applyFont="1" applyFill="1" applyBorder="1" applyAlignment="1">
      <alignment horizontal="center" vertical="center" wrapText="1"/>
    </xf>
    <xf numFmtId="0" fontId="12" fillId="6" borderId="24" xfId="0" applyNumberFormat="1" applyFont="1" applyFill="1" applyBorder="1" applyAlignment="1">
      <alignment horizontal="center" vertical="center" wrapText="1"/>
    </xf>
    <xf numFmtId="0" fontId="17" fillId="6" borderId="19" xfId="0" applyNumberFormat="1" applyFont="1" applyFill="1" applyBorder="1" applyAlignment="1">
      <alignment horizontal="center" vertical="center" wrapText="1"/>
    </xf>
    <xf numFmtId="0" fontId="17" fillId="6" borderId="36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2" borderId="17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0" fontId="17" fillId="2" borderId="17" xfId="0" applyNumberFormat="1" applyFont="1" applyFill="1" applyBorder="1" applyAlignment="1">
      <alignment horizontal="center" vertical="center" wrapText="1"/>
    </xf>
    <xf numFmtId="0" fontId="17" fillId="6" borderId="13" xfId="0" applyNumberFormat="1" applyFont="1" applyFill="1" applyBorder="1" applyAlignment="1">
      <alignment horizontal="center" vertical="center" wrapText="1"/>
    </xf>
    <xf numFmtId="0" fontId="17" fillId="6" borderId="17" xfId="0" applyNumberFormat="1" applyFont="1" applyFill="1" applyBorder="1" applyAlignment="1">
      <alignment horizontal="center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0" fontId="17" fillId="2" borderId="29" xfId="0" applyNumberFormat="1" applyFont="1" applyFill="1" applyBorder="1" applyAlignment="1">
      <alignment horizontal="center" vertical="center" wrapText="1"/>
    </xf>
    <xf numFmtId="0" fontId="12" fillId="2" borderId="23" xfId="0" applyNumberFormat="1" applyFont="1" applyFill="1" applyBorder="1" applyAlignment="1">
      <alignment horizontal="center" vertical="center" wrapText="1"/>
    </xf>
    <xf numFmtId="0" fontId="12" fillId="2" borderId="31" xfId="0" applyNumberFormat="1" applyFont="1" applyFill="1" applyBorder="1" applyAlignment="1">
      <alignment horizontal="center" vertical="center" wrapText="1"/>
    </xf>
    <xf numFmtId="0" fontId="12" fillId="2" borderId="24" xfId="0" applyNumberFormat="1" applyFont="1" applyFill="1" applyBorder="1" applyAlignment="1">
      <alignment horizontal="center" vertical="center" wrapText="1"/>
    </xf>
    <xf numFmtId="0" fontId="34" fillId="2" borderId="16" xfId="0" applyNumberFormat="1" applyFont="1" applyFill="1" applyBorder="1" applyAlignment="1">
      <alignment horizontal="center" vertical="center" wrapText="1"/>
    </xf>
    <xf numFmtId="0" fontId="34" fillId="2" borderId="8" xfId="0" applyNumberFormat="1" applyFont="1" applyFill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11" fillId="2" borderId="30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26" fillId="2" borderId="32" xfId="0" applyNumberFormat="1" applyFont="1" applyFill="1" applyBorder="1" applyAlignment="1">
      <alignment horizontal="left" vertical="center" wrapText="1"/>
    </xf>
    <xf numFmtId="0" fontId="26" fillId="2" borderId="33" xfId="0" applyNumberFormat="1" applyFont="1" applyFill="1" applyBorder="1" applyAlignment="1">
      <alignment horizontal="left" vertical="center" wrapText="1"/>
    </xf>
    <xf numFmtId="0" fontId="26" fillId="2" borderId="26" xfId="0" applyNumberFormat="1" applyFont="1" applyFill="1" applyBorder="1" applyAlignment="1">
      <alignment horizontal="left" vertical="center" wrapText="1"/>
    </xf>
    <xf numFmtId="0" fontId="26" fillId="2" borderId="22" xfId="0" applyNumberFormat="1" applyFont="1" applyFill="1" applyBorder="1" applyAlignment="1">
      <alignment horizontal="left" vertical="center" wrapText="1"/>
    </xf>
    <xf numFmtId="0" fontId="17" fillId="2" borderId="23" xfId="0" applyNumberFormat="1" applyFont="1" applyFill="1" applyBorder="1" applyAlignment="1">
      <alignment horizontal="center" vertical="center" wrapText="1"/>
    </xf>
    <xf numFmtId="0" fontId="17" fillId="2" borderId="37" xfId="0" applyNumberFormat="1" applyFont="1" applyFill="1" applyBorder="1" applyAlignment="1">
      <alignment horizontal="center" vertical="center" wrapText="1"/>
    </xf>
    <xf numFmtId="0" fontId="17" fillId="2" borderId="19" xfId="0" applyNumberFormat="1" applyFont="1" applyFill="1" applyBorder="1" applyAlignment="1">
      <alignment horizontal="center" vertical="center" wrapText="1"/>
    </xf>
    <xf numFmtId="0" fontId="17" fillId="2" borderId="36" xfId="0" applyNumberFormat="1" applyFont="1" applyFill="1" applyBorder="1" applyAlignment="1">
      <alignment horizontal="center" vertical="center" wrapText="1"/>
    </xf>
    <xf numFmtId="0" fontId="3" fillId="4" borderId="32" xfId="0" applyNumberFormat="1" applyFont="1" applyFill="1" applyBorder="1" applyAlignment="1">
      <alignment horizontal="left" vertical="center" wrapText="1"/>
    </xf>
    <xf numFmtId="0" fontId="3" fillId="4" borderId="33" xfId="0" applyNumberFormat="1" applyFont="1" applyFill="1" applyBorder="1" applyAlignment="1">
      <alignment horizontal="left" vertical="center" wrapText="1"/>
    </xf>
    <xf numFmtId="0" fontId="9" fillId="2" borderId="25" xfId="0" applyNumberFormat="1" applyFont="1" applyFill="1" applyBorder="1" applyAlignment="1">
      <alignment horizontal="left" vertical="center" wrapText="1"/>
    </xf>
    <xf numFmtId="0" fontId="9" fillId="2" borderId="31" xfId="0" applyNumberFormat="1" applyFont="1" applyFill="1" applyBorder="1" applyAlignment="1">
      <alignment horizontal="left" vertical="center" wrapText="1"/>
    </xf>
    <xf numFmtId="0" fontId="9" fillId="2" borderId="38" xfId="0" applyNumberFormat="1" applyFont="1" applyFill="1" applyBorder="1" applyAlignment="1">
      <alignment horizontal="left" vertical="center" wrapText="1"/>
    </xf>
    <xf numFmtId="0" fontId="9" fillId="2" borderId="27" xfId="0" applyNumberFormat="1" applyFont="1" applyFill="1" applyBorder="1" applyAlignment="1">
      <alignment horizontal="left" vertical="center" wrapText="1"/>
    </xf>
    <xf numFmtId="0" fontId="9" fillId="2" borderId="24" xfId="0" applyNumberFormat="1" applyFont="1" applyFill="1" applyBorder="1" applyAlignment="1">
      <alignment horizontal="left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0" fontId="9" fillId="6" borderId="28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3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Alignment="1">
      <alignment horizontal="center" vertical="center" wrapText="1"/>
    </xf>
    <xf numFmtId="0" fontId="17" fillId="2" borderId="20" xfId="0" applyNumberFormat="1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center" vertical="center" wrapText="1"/>
    </xf>
    <xf numFmtId="0" fontId="15" fillId="5" borderId="35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2" borderId="29" xfId="0" applyNumberFormat="1" applyFont="1" applyFill="1" applyBorder="1" applyAlignment="1">
      <alignment horizontal="center" vertical="center" wrapText="1"/>
    </xf>
    <xf numFmtId="0" fontId="8" fillId="2" borderId="30" xfId="0" applyNumberFormat="1" applyFont="1" applyFill="1" applyBorder="1" applyAlignment="1">
      <alignment horizontal="center" vertical="center" wrapText="1"/>
    </xf>
    <xf numFmtId="0" fontId="17" fillId="2" borderId="26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0" fontId="9" fillId="6" borderId="13" xfId="0" applyNumberFormat="1" applyFont="1" applyFill="1" applyBorder="1" applyAlignment="1">
      <alignment horizontal="center" vertical="center" wrapText="1"/>
    </xf>
    <xf numFmtId="0" fontId="9" fillId="6" borderId="17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17" fillId="2" borderId="10" xfId="0" applyNumberFormat="1" applyFont="1" applyFill="1" applyBorder="1" applyAlignment="1">
      <alignment horizontal="center" vertical="center" wrapText="1"/>
    </xf>
    <xf numFmtId="0" fontId="39" fillId="2" borderId="4" xfId="0" applyNumberFormat="1" applyFont="1" applyFill="1" applyBorder="1" applyAlignment="1">
      <alignment horizontal="center" vertical="center" wrapText="1"/>
    </xf>
    <xf numFmtId="0" fontId="39" fillId="2" borderId="10" xfId="0" applyNumberFormat="1" applyFont="1" applyFill="1" applyBorder="1" applyAlignment="1">
      <alignment horizontal="center" vertical="center" wrapText="1"/>
    </xf>
    <xf numFmtId="0" fontId="16" fillId="2" borderId="32" xfId="0" applyNumberFormat="1" applyFont="1" applyFill="1" applyBorder="1" applyAlignment="1">
      <alignment horizontal="left" vertical="center" wrapText="1"/>
    </xf>
    <xf numFmtId="0" fontId="16" fillId="2" borderId="33" xfId="0" applyNumberFormat="1" applyFont="1" applyFill="1" applyBorder="1" applyAlignment="1">
      <alignment horizontal="left" vertical="center" wrapText="1"/>
    </xf>
    <xf numFmtId="0" fontId="16" fillId="2" borderId="26" xfId="0" applyNumberFormat="1" applyFont="1" applyFill="1" applyBorder="1" applyAlignment="1">
      <alignment horizontal="left" vertical="center" wrapText="1"/>
    </xf>
    <xf numFmtId="0" fontId="16" fillId="2" borderId="22" xfId="0" applyNumberFormat="1" applyFont="1" applyFill="1" applyBorder="1" applyAlignment="1">
      <alignment horizontal="left" vertical="center" wrapText="1"/>
    </xf>
    <xf numFmtId="0" fontId="16" fillId="2" borderId="20" xfId="0" applyNumberFormat="1" applyFont="1" applyFill="1" applyBorder="1" applyAlignment="1">
      <alignment horizontal="left" vertical="center" wrapText="1"/>
    </xf>
    <xf numFmtId="0" fontId="16" fillId="2" borderId="6" xfId="0" applyNumberFormat="1" applyFont="1" applyFill="1" applyBorder="1" applyAlignment="1">
      <alignment horizontal="left" vertical="center" wrapText="1"/>
    </xf>
    <xf numFmtId="0" fontId="17" fillId="2" borderId="3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39" fillId="2" borderId="13" xfId="0" applyNumberFormat="1" applyFont="1" applyFill="1" applyBorder="1" applyAlignment="1">
      <alignment horizontal="center" vertical="center" wrapText="1"/>
    </xf>
    <xf numFmtId="0" fontId="39" fillId="2" borderId="17" xfId="0" applyNumberFormat="1" applyFont="1" applyFill="1" applyBorder="1" applyAlignment="1">
      <alignment horizontal="center" vertical="center" wrapText="1"/>
    </xf>
    <xf numFmtId="0" fontId="35" fillId="6" borderId="32" xfId="0" applyNumberFormat="1" applyFont="1" applyFill="1" applyBorder="1" applyAlignment="1">
      <alignment horizontal="center" vertical="center" wrapText="1"/>
    </xf>
    <xf numFmtId="0" fontId="35" fillId="6" borderId="33" xfId="0" applyNumberFormat="1" applyFont="1" applyFill="1" applyBorder="1" applyAlignment="1">
      <alignment horizontal="center" vertical="center" wrapText="1"/>
    </xf>
    <xf numFmtId="0" fontId="35" fillId="6" borderId="20" xfId="0" applyNumberFormat="1" applyFont="1" applyFill="1" applyBorder="1" applyAlignment="1">
      <alignment horizontal="center" vertical="center" wrapText="1"/>
    </xf>
    <xf numFmtId="0" fontId="35" fillId="6" borderId="6" xfId="0" applyNumberFormat="1" applyFont="1" applyFill="1" applyBorder="1" applyAlignment="1">
      <alignment horizontal="center" vertical="center" wrapText="1"/>
    </xf>
    <xf numFmtId="0" fontId="10" fillId="2" borderId="32" xfId="0" applyNumberFormat="1" applyFont="1" applyFill="1" applyBorder="1" applyAlignment="1">
      <alignment horizontal="center" vertical="center" wrapText="1"/>
    </xf>
    <xf numFmtId="0" fontId="10" fillId="2" borderId="33" xfId="0" applyNumberFormat="1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10" fillId="3" borderId="32" xfId="0" applyNumberFormat="1" applyFont="1" applyFill="1" applyBorder="1" applyAlignment="1">
      <alignment horizontal="center" vertical="center" wrapText="1"/>
    </xf>
    <xf numFmtId="0" fontId="10" fillId="3" borderId="33" xfId="0" applyNumberFormat="1" applyFont="1" applyFill="1" applyBorder="1" applyAlignment="1">
      <alignment horizontal="center" vertical="center" wrapText="1"/>
    </xf>
    <xf numFmtId="0" fontId="10" fillId="3" borderId="26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0" xfId="0" applyNumberFormat="1" applyFont="1" applyFill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horizontal="center" vertical="center" wrapText="1"/>
    </xf>
    <xf numFmtId="0" fontId="9" fillId="6" borderId="13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3" xfId="0" applyNumberFormat="1" applyFont="1" applyFill="1" applyBorder="1" applyAlignment="1">
      <alignment horizontal="left" vertical="center" wrapText="1"/>
    </xf>
    <xf numFmtId="0" fontId="3" fillId="4" borderId="20" xfId="0" applyNumberFormat="1" applyFont="1" applyFill="1" applyBorder="1" applyAlignment="1">
      <alignment horizontal="left" vertical="center" wrapText="1"/>
    </xf>
    <xf numFmtId="0" fontId="3" fillId="4" borderId="6" xfId="0" applyNumberFormat="1" applyFont="1" applyFill="1" applyBorder="1" applyAlignment="1">
      <alignment horizontal="left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left" vertical="center" wrapText="1"/>
    </xf>
    <xf numFmtId="0" fontId="8" fillId="2" borderId="26" xfId="0" applyNumberFormat="1" applyFont="1" applyFill="1" applyBorder="1" applyAlignment="1">
      <alignment horizontal="center" vertical="center" textRotation="90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9" fillId="6" borderId="18" xfId="0" applyNumberFormat="1" applyFont="1" applyFill="1" applyBorder="1" applyAlignment="1">
      <alignment horizontal="left" vertical="center" wrapText="1"/>
    </xf>
    <xf numFmtId="0" fontId="9" fillId="6" borderId="38" xfId="0" applyNumberFormat="1" applyFont="1" applyFill="1" applyBorder="1" applyAlignment="1">
      <alignment horizontal="left" vertical="center" wrapText="1"/>
    </xf>
    <xf numFmtId="0" fontId="9" fillId="6" borderId="27" xfId="0" applyNumberFormat="1" applyFont="1" applyFill="1" applyBorder="1" applyAlignment="1">
      <alignment horizontal="left" vertical="center" wrapText="1"/>
    </xf>
    <xf numFmtId="0" fontId="9" fillId="2" borderId="39" xfId="0" applyNumberFormat="1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" fontId="2" fillId="6" borderId="0" xfId="0" applyNumberFormat="1" applyFont="1" applyFill="1" applyBorder="1" applyAlignment="1">
      <alignment horizontal="center" vertical="center" wrapText="1"/>
    </xf>
    <xf numFmtId="1" fontId="3" fillId="6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0" fillId="2" borderId="40" xfId="0" applyNumberFormat="1" applyFont="1" applyFill="1" applyBorder="1" applyAlignment="1">
      <alignment horizontal="center" vertical="center" wrapText="1"/>
    </xf>
    <xf numFmtId="1" fontId="3" fillId="2" borderId="41" xfId="0" applyNumberFormat="1" applyFont="1" applyFill="1" applyBorder="1" applyAlignment="1">
      <alignment horizontal="center" vertical="center" wrapText="1"/>
    </xf>
    <xf numFmtId="1" fontId="3" fillId="6" borderId="19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1" fontId="3" fillId="2" borderId="42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1" fontId="3" fillId="6" borderId="40" xfId="0" applyNumberFormat="1" applyFont="1" applyFill="1" applyBorder="1" applyAlignment="1">
      <alignment horizontal="center" vertical="center" wrapText="1"/>
    </xf>
    <xf numFmtId="1" fontId="3" fillId="2" borderId="43" xfId="0" applyNumberFormat="1" applyFont="1" applyFill="1" applyBorder="1" applyAlignment="1">
      <alignment horizontal="center" vertical="center" wrapText="1"/>
    </xf>
    <xf numFmtId="1" fontId="3" fillId="2" borderId="44" xfId="0" applyNumberFormat="1" applyFont="1" applyFill="1" applyBorder="1" applyAlignment="1">
      <alignment horizontal="center" vertical="center" wrapText="1"/>
    </xf>
    <xf numFmtId="1" fontId="3" fillId="2" borderId="45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6" borderId="43" xfId="0" applyNumberFormat="1" applyFont="1" applyFill="1" applyBorder="1" applyAlignment="1">
      <alignment horizontal="center" vertical="center" wrapText="1"/>
    </xf>
    <xf numFmtId="1" fontId="3" fillId="6" borderId="23" xfId="0" applyNumberFormat="1" applyFont="1" applyFill="1" applyBorder="1" applyAlignment="1">
      <alignment horizontal="center" vertical="center" wrapText="1"/>
    </xf>
    <xf numFmtId="1" fontId="3" fillId="6" borderId="42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44" xfId="0" applyNumberFormat="1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1" fontId="3" fillId="6" borderId="44" xfId="0" applyNumberFormat="1" applyFont="1" applyFill="1" applyBorder="1" applyAlignment="1">
      <alignment horizontal="center" vertical="center" wrapText="1"/>
    </xf>
    <xf numFmtId="1" fontId="3" fillId="6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3"/>
  <sheetViews>
    <sheetView tabSelected="1" zoomScale="65" zoomScaleNormal="65" workbookViewId="0" topLeftCell="A25">
      <selection activeCell="A294" sqref="A294"/>
    </sheetView>
  </sheetViews>
  <sheetFormatPr defaultColWidth="9.140625" defaultRowHeight="15"/>
  <cols>
    <col min="1" max="1" width="20.7109375" style="22" customWidth="1"/>
    <col min="2" max="2" width="58.140625" style="1" customWidth="1"/>
    <col min="3" max="3" width="12.57421875" style="1" customWidth="1"/>
    <col min="4" max="4" width="17.421875" style="1" customWidth="1"/>
    <col min="5" max="5" width="14.57421875" style="1" customWidth="1"/>
    <col min="6" max="6" width="14.8515625" style="1" customWidth="1"/>
    <col min="7" max="7" width="14.28125" style="1" customWidth="1"/>
    <col min="8" max="9" width="15.140625" style="45" customWidth="1"/>
    <col min="10" max="10" width="14.57421875" style="2" customWidth="1"/>
    <col min="11" max="11" width="14.421875" style="45" customWidth="1"/>
    <col min="12" max="12" width="9.00390625" style="45" customWidth="1"/>
    <col min="13" max="13" width="9.57421875" style="45" customWidth="1"/>
    <col min="14" max="15" width="9.140625" style="1" customWidth="1"/>
    <col min="16" max="16" width="7.8515625" style="1" customWidth="1"/>
    <col min="17" max="17" width="9.140625" style="1" customWidth="1"/>
    <col min="18" max="18" width="7.140625" style="1" customWidth="1"/>
    <col min="19" max="16384" width="9.140625" style="1" customWidth="1"/>
  </cols>
  <sheetData>
    <row r="1" spans="1:10" s="45" customFormat="1" ht="19.5" customHeight="1">
      <c r="A1" s="270" t="s">
        <v>264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s="45" customFormat="1" ht="27" customHeight="1" thickBot="1">
      <c r="A2" s="273" t="s">
        <v>154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1" s="45" customFormat="1" ht="24.75" customHeight="1" thickBot="1">
      <c r="A3" s="301" t="s">
        <v>271</v>
      </c>
      <c r="B3" s="302"/>
      <c r="C3" s="305" t="s">
        <v>320</v>
      </c>
      <c r="D3" s="306"/>
      <c r="E3" s="215" t="s">
        <v>47</v>
      </c>
      <c r="F3" s="274" t="s">
        <v>104</v>
      </c>
      <c r="G3" s="275"/>
      <c r="H3" s="275"/>
      <c r="I3" s="275"/>
      <c r="J3" s="276"/>
      <c r="K3" s="84"/>
    </row>
    <row r="4" spans="1:11" s="45" customFormat="1" ht="57.75" customHeight="1" thickBot="1">
      <c r="A4" s="303"/>
      <c r="B4" s="304"/>
      <c r="C4" s="307"/>
      <c r="D4" s="308"/>
      <c r="E4" s="294"/>
      <c r="F4" s="60" t="s">
        <v>26</v>
      </c>
      <c r="G4" s="60" t="s">
        <v>90</v>
      </c>
      <c r="H4" s="27" t="s">
        <v>144</v>
      </c>
      <c r="I4" s="27" t="s">
        <v>86</v>
      </c>
      <c r="J4" s="27" t="s">
        <v>145</v>
      </c>
      <c r="K4" s="84"/>
    </row>
    <row r="5" spans="1:11" s="45" customFormat="1" ht="18.75" customHeight="1">
      <c r="A5" s="285" t="s">
        <v>269</v>
      </c>
      <c r="B5" s="286"/>
      <c r="C5" s="292" t="s">
        <v>68</v>
      </c>
      <c r="D5" s="293"/>
      <c r="E5" s="228">
        <v>9</v>
      </c>
      <c r="F5" s="105">
        <f>ROUND((C39+D59+D65+D61),-2)</f>
        <v>73900</v>
      </c>
      <c r="G5" s="105">
        <f>ROUND(F5+D116,-2)</f>
        <v>74800</v>
      </c>
      <c r="H5" s="28">
        <f>ROUND(F5+D122,-2)</f>
        <v>71200</v>
      </c>
      <c r="I5" s="28"/>
      <c r="J5" s="28"/>
      <c r="K5" s="84"/>
    </row>
    <row r="6" spans="1:11" s="45" customFormat="1" ht="18.75" customHeight="1">
      <c r="A6" s="287"/>
      <c r="B6" s="288"/>
      <c r="C6" s="292" t="s">
        <v>211</v>
      </c>
      <c r="D6" s="293"/>
      <c r="E6" s="229"/>
      <c r="F6" s="104">
        <f>ROUND((D39+D59+D65+D61),-2)</f>
        <v>76400</v>
      </c>
      <c r="G6" s="104">
        <f>ROUND(F6+D116,-2)</f>
        <v>77300</v>
      </c>
      <c r="H6" s="29">
        <f>ROUND(F6+D122,-2)</f>
        <v>73700</v>
      </c>
      <c r="I6" s="29"/>
      <c r="J6" s="29"/>
      <c r="K6" s="84"/>
    </row>
    <row r="7" spans="1:11" s="45" customFormat="1" ht="20.25" customHeight="1" thickBot="1">
      <c r="A7" s="287"/>
      <c r="B7" s="288"/>
      <c r="C7" s="283" t="s">
        <v>212</v>
      </c>
      <c r="D7" s="284"/>
      <c r="E7" s="230"/>
      <c r="F7" s="117">
        <f>F6-2200</f>
        <v>74200</v>
      </c>
      <c r="G7" s="117">
        <f>G6-2200</f>
        <v>75100</v>
      </c>
      <c r="H7" s="118">
        <f>F7+D123</f>
        <v>73120</v>
      </c>
      <c r="I7" s="120">
        <f>F7</f>
        <v>74200</v>
      </c>
      <c r="J7" s="120">
        <f>F7+D124</f>
        <v>74020</v>
      </c>
      <c r="K7" s="84"/>
    </row>
    <row r="8" spans="1:11" s="45" customFormat="1" ht="18.75" customHeight="1">
      <c r="A8" s="287"/>
      <c r="B8" s="288"/>
      <c r="C8" s="295" t="s">
        <v>68</v>
      </c>
      <c r="D8" s="296"/>
      <c r="E8" s="228">
        <v>15</v>
      </c>
      <c r="F8" s="105">
        <f>ROUND((C43+D59+D66+D61),-2)</f>
        <v>76400</v>
      </c>
      <c r="G8" s="105">
        <f>ROUND(F8+D116,-2)</f>
        <v>77300</v>
      </c>
      <c r="H8" s="28">
        <f>ROUND(F8+D122,-2)</f>
        <v>73700</v>
      </c>
      <c r="I8" s="28"/>
      <c r="J8" s="28"/>
      <c r="K8" s="84"/>
    </row>
    <row r="9" spans="1:11" s="45" customFormat="1" ht="18.75" customHeight="1">
      <c r="A9" s="287"/>
      <c r="B9" s="288"/>
      <c r="C9" s="279" t="s">
        <v>211</v>
      </c>
      <c r="D9" s="280"/>
      <c r="E9" s="229"/>
      <c r="F9" s="103">
        <f>ROUND((D43+D59+D66+D61),-2)</f>
        <v>78900</v>
      </c>
      <c r="G9" s="103">
        <f>ROUND(F9+D116,-2)</f>
        <v>79800</v>
      </c>
      <c r="H9" s="76">
        <f>ROUND(F9+D122,-2)</f>
        <v>76200</v>
      </c>
      <c r="I9" s="76"/>
      <c r="J9" s="76"/>
      <c r="K9" s="84"/>
    </row>
    <row r="10" spans="1:11" s="45" customFormat="1" ht="20.25" customHeight="1">
      <c r="A10" s="287"/>
      <c r="B10" s="288"/>
      <c r="C10" s="299" t="s">
        <v>212</v>
      </c>
      <c r="D10" s="300"/>
      <c r="E10" s="229"/>
      <c r="F10" s="119">
        <f>F9-2200</f>
        <v>76700</v>
      </c>
      <c r="G10" s="119">
        <f>G9-2200</f>
        <v>77600</v>
      </c>
      <c r="H10" s="120">
        <f>F10+D123</f>
        <v>75620</v>
      </c>
      <c r="I10" s="120">
        <f>F10</f>
        <v>76700</v>
      </c>
      <c r="J10" s="120">
        <f>F10+D124</f>
        <v>76520</v>
      </c>
      <c r="K10" s="84"/>
    </row>
    <row r="11" spans="1:11" s="45" customFormat="1" ht="21" customHeight="1">
      <c r="A11" s="287"/>
      <c r="B11" s="288"/>
      <c r="C11" s="279" t="s">
        <v>316</v>
      </c>
      <c r="D11" s="280"/>
      <c r="E11" s="229"/>
      <c r="F11" s="103">
        <f>ROUND((G43+D59+D66+D61),-2)</f>
        <v>91800</v>
      </c>
      <c r="G11" s="103">
        <f>ROUND(F11+D119,-2)</f>
        <v>90200</v>
      </c>
      <c r="H11" s="76"/>
      <c r="I11" s="76"/>
      <c r="J11" s="76"/>
      <c r="K11" s="84"/>
    </row>
    <row r="12" spans="1:11" s="45" customFormat="1" ht="18.75" customHeight="1">
      <c r="A12" s="287"/>
      <c r="B12" s="288"/>
      <c r="C12" s="292" t="s">
        <v>202</v>
      </c>
      <c r="D12" s="293"/>
      <c r="E12" s="229"/>
      <c r="F12" s="104">
        <f>ROUND((I43+D59+D66+D61),-2)</f>
        <v>94600</v>
      </c>
      <c r="G12" s="104">
        <f>ROUND(F12+D120,-2)</f>
        <v>97200</v>
      </c>
      <c r="H12" s="29">
        <f>ROUND(F12+D125,-2)</f>
        <v>90600</v>
      </c>
      <c r="I12" s="29"/>
      <c r="J12" s="29"/>
      <c r="K12" s="84"/>
    </row>
    <row r="13" spans="1:11" s="45" customFormat="1" ht="18.75" customHeight="1" thickBot="1">
      <c r="A13" s="287"/>
      <c r="B13" s="288"/>
      <c r="C13" s="247" t="s">
        <v>208</v>
      </c>
      <c r="D13" s="248"/>
      <c r="E13" s="230"/>
      <c r="F13" s="106">
        <f>ROUND((F43+D59+D66+D61),-2)</f>
        <v>99700</v>
      </c>
      <c r="G13" s="106">
        <f>ROUND(F13+D120,-2)</f>
        <v>102300</v>
      </c>
      <c r="H13" s="81">
        <f>ROUND(F13+D125,-2)</f>
        <v>95700</v>
      </c>
      <c r="I13" s="81"/>
      <c r="J13" s="81"/>
      <c r="K13" s="84"/>
    </row>
    <row r="14" spans="1:11" s="45" customFormat="1" ht="19.5" customHeight="1">
      <c r="A14" s="287"/>
      <c r="B14" s="288"/>
      <c r="C14" s="292" t="s">
        <v>203</v>
      </c>
      <c r="D14" s="293"/>
      <c r="E14" s="228">
        <v>18</v>
      </c>
      <c r="F14" s="104">
        <f>ROUND((H49+D59+D66+D61),-2)</f>
        <v>107000</v>
      </c>
      <c r="G14" s="104">
        <f>ROUND(F14+D120,-2)</f>
        <v>109600</v>
      </c>
      <c r="H14" s="29">
        <f>ROUND(F14+D125,-2)</f>
        <v>103000</v>
      </c>
      <c r="I14" s="104"/>
      <c r="J14" s="29"/>
      <c r="K14" s="84"/>
    </row>
    <row r="15" spans="1:11" s="45" customFormat="1" ht="19.5" customHeight="1">
      <c r="A15" s="287"/>
      <c r="B15" s="288"/>
      <c r="C15" s="279" t="s">
        <v>202</v>
      </c>
      <c r="D15" s="280"/>
      <c r="E15" s="229"/>
      <c r="F15" s="103">
        <f>ROUND((I49+D59+D66+D61),-2)</f>
        <v>96900</v>
      </c>
      <c r="G15" s="103">
        <f>ROUND(F15+D120,-2)</f>
        <v>99500</v>
      </c>
      <c r="H15" s="76">
        <f>ROUND(F15+D125,-2)</f>
        <v>92900</v>
      </c>
      <c r="I15" s="103"/>
      <c r="J15" s="76"/>
      <c r="K15" s="84"/>
    </row>
    <row r="16" spans="1:11" s="45" customFormat="1" ht="42" customHeight="1" thickBot="1">
      <c r="A16" s="289"/>
      <c r="B16" s="290"/>
      <c r="C16" s="297" t="s">
        <v>319</v>
      </c>
      <c r="D16" s="298"/>
      <c r="E16" s="230"/>
      <c r="F16" s="102">
        <f>ROUND((J49+D59+D66+D61),-2)</f>
        <v>112400</v>
      </c>
      <c r="G16" s="102">
        <f>ROUND(F16+D120,-2)</f>
        <v>115000</v>
      </c>
      <c r="H16" s="100">
        <f>ROUND(F16+D125,-2)</f>
        <v>108400</v>
      </c>
      <c r="I16" s="102"/>
      <c r="J16" s="100"/>
      <c r="K16" s="84"/>
    </row>
    <row r="17" spans="1:11" s="45" customFormat="1" ht="28.5" customHeight="1">
      <c r="A17" s="285" t="s">
        <v>317</v>
      </c>
      <c r="B17" s="286"/>
      <c r="C17" s="266" t="s">
        <v>89</v>
      </c>
      <c r="D17" s="267"/>
      <c r="E17" s="228">
        <v>15</v>
      </c>
      <c r="F17" s="82">
        <f>ROUND((F9+D79+D205+D189+D191),-2)</f>
        <v>97600</v>
      </c>
      <c r="G17" s="82">
        <f>ROUND(F17+D116,-2)</f>
        <v>98500</v>
      </c>
      <c r="H17" s="83">
        <f>ROUND(F17+D122,-2)</f>
        <v>94900</v>
      </c>
      <c r="I17" s="82"/>
      <c r="J17" s="83"/>
      <c r="K17" s="84"/>
    </row>
    <row r="18" spans="1:11" s="45" customFormat="1" ht="26.25" customHeight="1">
      <c r="A18" s="287"/>
      <c r="B18" s="288"/>
      <c r="C18" s="299" t="s">
        <v>88</v>
      </c>
      <c r="D18" s="300"/>
      <c r="E18" s="229"/>
      <c r="F18" s="112">
        <f>F17-2200</f>
        <v>95400</v>
      </c>
      <c r="G18" s="112">
        <f>G17-2200</f>
        <v>96300</v>
      </c>
      <c r="H18" s="113">
        <f>H17-2200</f>
        <v>92700</v>
      </c>
      <c r="I18" s="112">
        <f>F18</f>
        <v>95400</v>
      </c>
      <c r="J18" s="113">
        <f>ROUND(F18+D124,-2)</f>
        <v>95200</v>
      </c>
      <c r="K18" s="84"/>
    </row>
    <row r="19" spans="1:11" s="45" customFormat="1" ht="27.75" customHeight="1">
      <c r="A19" s="287"/>
      <c r="B19" s="288"/>
      <c r="C19" s="292" t="s">
        <v>209</v>
      </c>
      <c r="D19" s="293"/>
      <c r="E19" s="229"/>
      <c r="F19" s="44">
        <f>ROUND((F13+D79+D205+D189+D191),-2)</f>
        <v>118400</v>
      </c>
      <c r="G19" s="44">
        <f>ROUND(F19+D120,-2)</f>
        <v>121000</v>
      </c>
      <c r="H19" s="53">
        <f>ROUND(F19+D125,-2)</f>
        <v>114400</v>
      </c>
      <c r="I19" s="104"/>
      <c r="J19" s="29"/>
      <c r="K19" s="84"/>
    </row>
    <row r="20" spans="1:11" s="45" customFormat="1" ht="27.75" customHeight="1" thickBot="1">
      <c r="A20" s="287"/>
      <c r="B20" s="288"/>
      <c r="C20" s="264" t="s">
        <v>204</v>
      </c>
      <c r="D20" s="265"/>
      <c r="E20" s="230"/>
      <c r="F20" s="78">
        <f>ROUND((F11+D79+D205)+D189+D191,-2)</f>
        <v>110500</v>
      </c>
      <c r="G20" s="106">
        <f>ROUND(F20+D119,-2)</f>
        <v>108900</v>
      </c>
      <c r="H20" s="77"/>
      <c r="I20" s="106"/>
      <c r="J20" s="77"/>
      <c r="K20" s="84"/>
    </row>
    <row r="21" spans="1:11" s="45" customFormat="1" ht="30" customHeight="1">
      <c r="A21" s="287"/>
      <c r="B21" s="288"/>
      <c r="C21" s="268" t="s">
        <v>205</v>
      </c>
      <c r="D21" s="269"/>
      <c r="E21" s="228">
        <v>18</v>
      </c>
      <c r="F21" s="71">
        <f>ROUND((F14+D79+D205)+D189+D191,-2)</f>
        <v>125700</v>
      </c>
      <c r="G21" s="72">
        <f>ROUND(F21+D120,-2)</f>
        <v>128300</v>
      </c>
      <c r="H21" s="73">
        <f>ROUND(F21+D125,-2)</f>
        <v>121700</v>
      </c>
      <c r="I21" s="217"/>
      <c r="J21" s="218"/>
      <c r="K21" s="84"/>
    </row>
    <row r="22" spans="1:12" s="45" customFormat="1" ht="26.25" customHeight="1">
      <c r="A22" s="287"/>
      <c r="B22" s="288"/>
      <c r="C22" s="279" t="s">
        <v>116</v>
      </c>
      <c r="D22" s="280"/>
      <c r="E22" s="229"/>
      <c r="F22" s="79">
        <f>ROUND((F15+D79+D205)+D187+D191,-2)</f>
        <v>115700</v>
      </c>
      <c r="G22" s="79">
        <f>ROUND(F22+D119,-2)</f>
        <v>114100</v>
      </c>
      <c r="H22" s="80">
        <f>ROUND(F22+D124,-2)</f>
        <v>115500</v>
      </c>
      <c r="I22" s="219"/>
      <c r="J22" s="220"/>
      <c r="K22" s="84"/>
      <c r="L22" s="74"/>
    </row>
    <row r="23" spans="1:12" s="45" customFormat="1" ht="26.25" customHeight="1" thickBot="1">
      <c r="A23" s="289"/>
      <c r="B23" s="290"/>
      <c r="C23" s="247" t="s">
        <v>318</v>
      </c>
      <c r="D23" s="248"/>
      <c r="E23" s="230"/>
      <c r="F23" s="78">
        <f>ROUND((F16+D79+D205)+D189+D191,-2)</f>
        <v>131100</v>
      </c>
      <c r="G23" s="78">
        <f>ROUND(F23+D120,-2)</f>
        <v>133700</v>
      </c>
      <c r="H23" s="111"/>
      <c r="I23" s="219"/>
      <c r="J23" s="220"/>
      <c r="K23" s="84"/>
      <c r="L23" s="74"/>
    </row>
    <row r="24" spans="1:11" s="45" customFormat="1" ht="75" customHeight="1" thickBot="1">
      <c r="A24" s="249" t="s">
        <v>314</v>
      </c>
      <c r="B24" s="250"/>
      <c r="C24" s="237" t="s">
        <v>164</v>
      </c>
      <c r="D24" s="238"/>
      <c r="E24" s="237" t="s">
        <v>54</v>
      </c>
      <c r="F24" s="291"/>
      <c r="G24" s="271" t="s">
        <v>53</v>
      </c>
      <c r="H24" s="272"/>
      <c r="I24" s="277" t="s">
        <v>168</v>
      </c>
      <c r="J24" s="278"/>
      <c r="K24" s="84"/>
    </row>
    <row r="25" spans="1:11" s="45" customFormat="1" ht="22.5" customHeight="1">
      <c r="A25" s="251"/>
      <c r="B25" s="252"/>
      <c r="C25" s="239" t="s">
        <v>162</v>
      </c>
      <c r="D25" s="240"/>
      <c r="E25" s="253">
        <v>150000</v>
      </c>
      <c r="F25" s="254"/>
      <c r="G25" s="233">
        <f>E25+ROUND(7000,-1)</f>
        <v>157000</v>
      </c>
      <c r="H25" s="234"/>
      <c r="I25" s="277"/>
      <c r="J25" s="278"/>
      <c r="K25" s="84"/>
    </row>
    <row r="26" spans="1:11" s="45" customFormat="1" ht="24.75" customHeight="1">
      <c r="A26" s="251"/>
      <c r="B26" s="252"/>
      <c r="C26" s="224" t="s">
        <v>166</v>
      </c>
      <c r="D26" s="225"/>
      <c r="E26" s="235">
        <f>E25+(D45-D43)</f>
        <v>151900</v>
      </c>
      <c r="F26" s="236"/>
      <c r="G26" s="235">
        <f>G25+(D45-D43)</f>
        <v>158900</v>
      </c>
      <c r="H26" s="236"/>
      <c r="I26" s="277"/>
      <c r="J26" s="278"/>
      <c r="K26" s="84"/>
    </row>
    <row r="27" spans="1:11" s="45" customFormat="1" ht="24.75" customHeight="1">
      <c r="A27" s="251"/>
      <c r="B27" s="252"/>
      <c r="C27" s="231" t="s">
        <v>163</v>
      </c>
      <c r="D27" s="241"/>
      <c r="E27" s="255">
        <f>E25+(D47-D43)</f>
        <v>151760</v>
      </c>
      <c r="F27" s="256"/>
      <c r="G27" s="233">
        <f>G25+(D47-D43)</f>
        <v>158760</v>
      </c>
      <c r="H27" s="234"/>
      <c r="I27" s="277"/>
      <c r="J27" s="278"/>
      <c r="K27" s="84"/>
    </row>
    <row r="28" spans="1:11" s="45" customFormat="1" ht="24.75" customHeight="1">
      <c r="A28" s="251"/>
      <c r="B28" s="252"/>
      <c r="C28" s="224" t="s">
        <v>183</v>
      </c>
      <c r="D28" s="225"/>
      <c r="E28" s="226">
        <f>E25+(D49-D43)</f>
        <v>152300</v>
      </c>
      <c r="F28" s="227"/>
      <c r="G28" s="235">
        <f>G25+(D49-D43)</f>
        <v>159300</v>
      </c>
      <c r="H28" s="236"/>
      <c r="I28" s="277"/>
      <c r="J28" s="278"/>
      <c r="K28" s="84"/>
    </row>
    <row r="29" spans="1:11" s="45" customFormat="1" ht="24.75" customHeight="1" thickBot="1">
      <c r="A29" s="251"/>
      <c r="B29" s="252"/>
      <c r="C29" s="231" t="s">
        <v>167</v>
      </c>
      <c r="D29" s="232"/>
      <c r="E29" s="233">
        <f>E25+(D51-D43)</f>
        <v>155570</v>
      </c>
      <c r="F29" s="234"/>
      <c r="G29" s="281">
        <f>G25+(D51-D43)</f>
        <v>162570</v>
      </c>
      <c r="H29" s="282"/>
      <c r="I29" s="277"/>
      <c r="J29" s="278"/>
      <c r="K29" s="84"/>
    </row>
    <row r="30" spans="1:11" s="45" customFormat="1" ht="21.75" customHeight="1">
      <c r="A30" s="194" t="s">
        <v>73</v>
      </c>
      <c r="B30" s="194"/>
      <c r="C30" s="194"/>
      <c r="D30" s="194"/>
      <c r="E30" s="194"/>
      <c r="F30" s="194"/>
      <c r="G30" s="194"/>
      <c r="H30" s="194"/>
      <c r="I30" s="195"/>
      <c r="J30" s="195"/>
      <c r="K30" s="195"/>
    </row>
    <row r="31" spans="1:11" s="3" customFormat="1" ht="56.25" customHeight="1">
      <c r="A31" s="196" t="s">
        <v>75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s="3" customFormat="1" ht="58.5" customHeight="1" thickBot="1">
      <c r="A32" s="196" t="s">
        <v>74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3" spans="1:10" s="3" customFormat="1" ht="3" customHeight="1" hidden="1" thickBot="1">
      <c r="A33" s="221" t="s">
        <v>0</v>
      </c>
      <c r="B33" s="221"/>
      <c r="C33" s="221"/>
      <c r="D33" s="221"/>
      <c r="J33" s="4"/>
    </row>
    <row r="34" spans="1:11" s="45" customFormat="1" ht="85.5" customHeight="1" thickBot="1">
      <c r="A34" s="311" t="s">
        <v>196</v>
      </c>
      <c r="B34" s="312"/>
      <c r="C34" s="244" t="s">
        <v>268</v>
      </c>
      <c r="D34" s="245"/>
      <c r="E34" s="245"/>
      <c r="F34" s="245"/>
      <c r="G34" s="245"/>
      <c r="H34" s="245"/>
      <c r="I34" s="245"/>
      <c r="J34" s="246"/>
      <c r="K34" s="199" t="s">
        <v>201</v>
      </c>
    </row>
    <row r="35" spans="1:11" s="45" customFormat="1" ht="36.75" customHeight="1">
      <c r="A35" s="313"/>
      <c r="B35" s="314"/>
      <c r="C35" s="222" t="s">
        <v>274</v>
      </c>
      <c r="D35" s="197" t="s">
        <v>275</v>
      </c>
      <c r="E35" s="242" t="s">
        <v>276</v>
      </c>
      <c r="F35" s="197" t="s">
        <v>277</v>
      </c>
      <c r="G35" s="197" t="s">
        <v>315</v>
      </c>
      <c r="H35" s="197" t="s">
        <v>206</v>
      </c>
      <c r="I35" s="197" t="s">
        <v>278</v>
      </c>
      <c r="J35" s="197" t="s">
        <v>273</v>
      </c>
      <c r="K35" s="200"/>
    </row>
    <row r="36" spans="1:11" s="45" customFormat="1" ht="37.5" customHeight="1" thickBot="1">
      <c r="A36" s="313"/>
      <c r="B36" s="314"/>
      <c r="C36" s="223"/>
      <c r="D36" s="198"/>
      <c r="E36" s="243"/>
      <c r="F36" s="198"/>
      <c r="G36" s="198"/>
      <c r="H36" s="198"/>
      <c r="I36" s="198"/>
      <c r="J36" s="198"/>
      <c r="K36" s="201"/>
    </row>
    <row r="37" spans="1:11" s="45" customFormat="1" ht="47.25" customHeight="1" thickBot="1">
      <c r="A37" s="315"/>
      <c r="B37" s="316"/>
      <c r="C37" s="212" t="s">
        <v>313</v>
      </c>
      <c r="D37" s="213"/>
      <c r="E37" s="213"/>
      <c r="F37" s="213"/>
      <c r="G37" s="213"/>
      <c r="H37" s="213"/>
      <c r="I37" s="213"/>
      <c r="J37" s="214"/>
      <c r="K37" s="46">
        <f>ROUND(SUM(K38:K291),-1)</f>
        <v>110610</v>
      </c>
    </row>
    <row r="38" spans="1:11" s="45" customFormat="1" ht="18.75" customHeight="1">
      <c r="A38" s="309" t="s">
        <v>37</v>
      </c>
      <c r="B38" s="10" t="s">
        <v>8</v>
      </c>
      <c r="C38" s="14"/>
      <c r="D38" s="12">
        <f>D39+1850</f>
        <v>75810</v>
      </c>
      <c r="E38" s="92"/>
      <c r="F38" s="11"/>
      <c r="G38" s="13"/>
      <c r="H38" s="11"/>
      <c r="I38" s="11"/>
      <c r="J38" s="11"/>
      <c r="K38" s="47"/>
    </row>
    <row r="39" spans="1:11" s="45" customFormat="1" ht="18.75" customHeight="1" thickBot="1">
      <c r="A39" s="310"/>
      <c r="B39" s="15" t="s">
        <v>23</v>
      </c>
      <c r="C39" s="33">
        <f>D39-2500</f>
        <v>71460</v>
      </c>
      <c r="D39" s="26">
        <f>ROUND(D43-(1800/0.8/0.82),-1)</f>
        <v>73960</v>
      </c>
      <c r="E39" s="93">
        <f>D39-2200</f>
        <v>71760</v>
      </c>
      <c r="F39" s="21"/>
      <c r="G39" s="16"/>
      <c r="H39" s="21"/>
      <c r="I39" s="21"/>
      <c r="J39" s="21"/>
      <c r="K39" s="48"/>
    </row>
    <row r="40" spans="1:11" s="45" customFormat="1" ht="18.75" customHeight="1">
      <c r="A40" s="309" t="s">
        <v>38</v>
      </c>
      <c r="B40" s="5" t="s">
        <v>8</v>
      </c>
      <c r="C40" s="31"/>
      <c r="D40" s="6">
        <f>D41+1850</f>
        <v>77330</v>
      </c>
      <c r="E40" s="94"/>
      <c r="F40" s="17"/>
      <c r="G40" s="7"/>
      <c r="H40" s="17"/>
      <c r="I40" s="17"/>
      <c r="J40" s="17"/>
      <c r="K40" s="47"/>
    </row>
    <row r="41" spans="1:11" s="45" customFormat="1" ht="18.75" customHeight="1" thickBot="1">
      <c r="A41" s="310"/>
      <c r="B41" s="8" t="s">
        <v>23</v>
      </c>
      <c r="C41" s="32">
        <f>D41-2500</f>
        <v>72980</v>
      </c>
      <c r="D41" s="9">
        <f>ROUND(D43-(800/0.8/0.82),-1)</f>
        <v>75480</v>
      </c>
      <c r="E41" s="95">
        <f>D41-2200</f>
        <v>73280</v>
      </c>
      <c r="F41" s="18">
        <f>D41+20800</f>
        <v>96280</v>
      </c>
      <c r="G41" s="25">
        <f>D41+12900</f>
        <v>88380</v>
      </c>
      <c r="H41" s="18">
        <f>F41+5000</f>
        <v>101280</v>
      </c>
      <c r="I41" s="18"/>
      <c r="J41" s="18"/>
      <c r="K41" s="48"/>
    </row>
    <row r="42" spans="1:11" s="45" customFormat="1" ht="19.5" customHeight="1">
      <c r="A42" s="309" t="s">
        <v>76</v>
      </c>
      <c r="B42" s="10" t="s">
        <v>8</v>
      </c>
      <c r="C42" s="14"/>
      <c r="D42" s="99">
        <f>D43+1850</f>
        <v>78550</v>
      </c>
      <c r="E42" s="92"/>
      <c r="F42" s="11"/>
      <c r="G42" s="13"/>
      <c r="H42" s="11"/>
      <c r="I42" s="11">
        <f>I43+3000</f>
        <v>95350</v>
      </c>
      <c r="J42" s="11"/>
      <c r="K42" s="47"/>
    </row>
    <row r="43" spans="1:12" s="45" customFormat="1" ht="18" customHeight="1" thickBot="1">
      <c r="A43" s="310"/>
      <c r="B43" s="15" t="s">
        <v>23</v>
      </c>
      <c r="C43" s="114">
        <f>D43-2500</f>
        <v>74200</v>
      </c>
      <c r="D43" s="91">
        <v>76700</v>
      </c>
      <c r="E43" s="96">
        <f>D43-2200</f>
        <v>74500</v>
      </c>
      <c r="F43" s="116">
        <f>D43+20800</f>
        <v>97500</v>
      </c>
      <c r="G43" s="109">
        <f>D43+12900</f>
        <v>89600</v>
      </c>
      <c r="H43" s="16">
        <f>F43+5000</f>
        <v>102500</v>
      </c>
      <c r="I43" s="116">
        <f>D43+15650</f>
        <v>92350</v>
      </c>
      <c r="J43" s="116">
        <f>I43+15500</f>
        <v>107850</v>
      </c>
      <c r="K43" s="48">
        <f>G43</f>
        <v>89600</v>
      </c>
      <c r="L43" s="74"/>
    </row>
    <row r="44" spans="1:11" s="45" customFormat="1" ht="19.5" customHeight="1">
      <c r="A44" s="309" t="s">
        <v>258</v>
      </c>
      <c r="B44" s="54" t="s">
        <v>8</v>
      </c>
      <c r="C44" s="55"/>
      <c r="D44" s="6">
        <f>D45+1850</f>
        <v>80450</v>
      </c>
      <c r="E44" s="94"/>
      <c r="F44" s="17"/>
      <c r="G44" s="7"/>
      <c r="H44" s="17"/>
      <c r="I44" s="17">
        <f>I45+3000</f>
        <v>97250</v>
      </c>
      <c r="J44" s="17"/>
      <c r="K44" s="49"/>
    </row>
    <row r="45" spans="1:11" s="45" customFormat="1" ht="18" customHeight="1" thickBot="1">
      <c r="A45" s="310"/>
      <c r="B45" s="86" t="s">
        <v>23</v>
      </c>
      <c r="C45" s="87">
        <f>D45-2500</f>
        <v>76100</v>
      </c>
      <c r="D45" s="88">
        <f>ROUND(D43+1100/0.7/0.82,-2)</f>
        <v>78600</v>
      </c>
      <c r="E45" s="97">
        <f>D45-2200</f>
        <v>76400</v>
      </c>
      <c r="F45" s="40">
        <f>D45+20800</f>
        <v>99400</v>
      </c>
      <c r="G45" s="89">
        <f>D45+12900</f>
        <v>91500</v>
      </c>
      <c r="H45" s="90">
        <f>F45+5000</f>
        <v>104400</v>
      </c>
      <c r="I45" s="40">
        <f>D45+15650</f>
        <v>94250</v>
      </c>
      <c r="J45" s="40">
        <f>I45+15500</f>
        <v>109750</v>
      </c>
      <c r="K45" s="50"/>
    </row>
    <row r="46" spans="1:11" s="45" customFormat="1" ht="19.5" customHeight="1">
      <c r="A46" s="309" t="s">
        <v>257</v>
      </c>
      <c r="B46" s="10" t="s">
        <v>8</v>
      </c>
      <c r="C46" s="14"/>
      <c r="D46" s="12">
        <f>D47+1850</f>
        <v>80310</v>
      </c>
      <c r="E46" s="92"/>
      <c r="F46" s="11"/>
      <c r="G46" s="13"/>
      <c r="H46" s="11"/>
      <c r="I46" s="11">
        <f>I47+3000</f>
        <v>97110</v>
      </c>
      <c r="J46" s="11"/>
      <c r="K46" s="47"/>
    </row>
    <row r="47" spans="1:11" s="45" customFormat="1" ht="18" customHeight="1" thickBot="1">
      <c r="A47" s="310"/>
      <c r="B47" s="15" t="s">
        <v>23</v>
      </c>
      <c r="C47" s="33">
        <f>D47-2500</f>
        <v>75960</v>
      </c>
      <c r="D47" s="26">
        <f>ROUND(D43+1010/0.7/0.82,-1)</f>
        <v>78460</v>
      </c>
      <c r="E47" s="93">
        <f>D47-2200</f>
        <v>76260</v>
      </c>
      <c r="F47" s="21">
        <f>D47+20800</f>
        <v>99260</v>
      </c>
      <c r="G47" s="16">
        <f>D47+12900</f>
        <v>91360</v>
      </c>
      <c r="H47" s="16">
        <f>F47+5000</f>
        <v>104260</v>
      </c>
      <c r="I47" s="21">
        <f>D47+15650</f>
        <v>94110</v>
      </c>
      <c r="J47" s="21">
        <f>I47+15500</f>
        <v>109610</v>
      </c>
      <c r="K47" s="48"/>
    </row>
    <row r="48" spans="1:12" s="45" customFormat="1" ht="18.75" customHeight="1">
      <c r="A48" s="309" t="s">
        <v>182</v>
      </c>
      <c r="B48" s="54" t="s">
        <v>8</v>
      </c>
      <c r="C48" s="55"/>
      <c r="D48" s="6"/>
      <c r="E48" s="94"/>
      <c r="F48" s="17"/>
      <c r="G48" s="7"/>
      <c r="H48" s="17"/>
      <c r="I48" s="17">
        <f>I49+3000</f>
        <v>97650</v>
      </c>
      <c r="J48" s="17"/>
      <c r="K48" s="47"/>
      <c r="L48" s="45" t="s">
        <v>165</v>
      </c>
    </row>
    <row r="49" spans="1:11" s="45" customFormat="1" ht="18.75" customHeight="1" thickBot="1">
      <c r="A49" s="310"/>
      <c r="B49" s="56" t="s">
        <v>23</v>
      </c>
      <c r="C49" s="115">
        <f>D49-2500</f>
        <v>76500</v>
      </c>
      <c r="D49" s="107">
        <f>D43+ROUND(1318/0.7/0.82,-1)</f>
        <v>79000</v>
      </c>
      <c r="E49" s="108">
        <f>D49-2200</f>
        <v>76800</v>
      </c>
      <c r="F49" s="43">
        <f>D49+20800</f>
        <v>99800</v>
      </c>
      <c r="G49" s="110">
        <f>D49+12900</f>
        <v>91900</v>
      </c>
      <c r="H49" s="58">
        <f>F49+5000</f>
        <v>104800</v>
      </c>
      <c r="I49" s="43">
        <f>D49+15650</f>
        <v>94650</v>
      </c>
      <c r="J49" s="30">
        <f>I49+15500</f>
        <v>110150</v>
      </c>
      <c r="K49" s="48"/>
    </row>
    <row r="50" spans="1:12" s="45" customFormat="1" ht="18.75" customHeight="1">
      <c r="A50" s="309" t="s">
        <v>85</v>
      </c>
      <c r="B50" s="10" t="s">
        <v>8</v>
      </c>
      <c r="C50" s="14"/>
      <c r="D50" s="12"/>
      <c r="E50" s="92"/>
      <c r="F50" s="11"/>
      <c r="G50" s="13"/>
      <c r="H50" s="11"/>
      <c r="I50" s="11">
        <f>I51+3000</f>
        <v>100920</v>
      </c>
      <c r="J50" s="11"/>
      <c r="K50" s="47"/>
      <c r="L50" s="45" t="s">
        <v>165</v>
      </c>
    </row>
    <row r="51" spans="1:11" s="45" customFormat="1" ht="18.75" customHeight="1" thickBot="1">
      <c r="A51" s="310"/>
      <c r="B51" s="15" t="s">
        <v>23</v>
      </c>
      <c r="C51" s="33">
        <f>D51-2500</f>
        <v>79770</v>
      </c>
      <c r="D51" s="91">
        <f>ROUND(D43+3200/0.7/0.82,-1)</f>
        <v>82270</v>
      </c>
      <c r="E51" s="93">
        <f>D51-2200</f>
        <v>80070</v>
      </c>
      <c r="F51" s="21">
        <f>D51+20800</f>
        <v>103070</v>
      </c>
      <c r="G51" s="16">
        <f>D51+12900</f>
        <v>95170</v>
      </c>
      <c r="H51" s="16">
        <f>F51+5000</f>
        <v>108070</v>
      </c>
      <c r="I51" s="21">
        <f>D51+15650</f>
        <v>97920</v>
      </c>
      <c r="J51" s="21">
        <f>I51+15500</f>
        <v>113420</v>
      </c>
      <c r="K51" s="48"/>
    </row>
    <row r="52" spans="1:11" s="45" customFormat="1" ht="18.75" customHeight="1">
      <c r="A52" s="309" t="s">
        <v>64</v>
      </c>
      <c r="B52" s="54" t="s">
        <v>8</v>
      </c>
      <c r="C52" s="55"/>
      <c r="D52" s="6">
        <f>D53+1850</f>
        <v>129500</v>
      </c>
      <c r="E52" s="94"/>
      <c r="F52" s="17"/>
      <c r="G52" s="7"/>
      <c r="H52" s="17"/>
      <c r="I52" s="17">
        <f>I53+3000</f>
        <v>146300</v>
      </c>
      <c r="J52" s="17"/>
      <c r="K52" s="47"/>
    </row>
    <row r="53" spans="1:11" s="45" customFormat="1" ht="18.75" customHeight="1" thickBot="1">
      <c r="A53" s="310"/>
      <c r="B53" s="56" t="s">
        <v>23</v>
      </c>
      <c r="C53" s="57">
        <f>D53-2500</f>
        <v>125150</v>
      </c>
      <c r="D53" s="85">
        <f>ROUND((D43+34710/0.76),-1)-D159</f>
        <v>127650</v>
      </c>
      <c r="E53" s="101">
        <f>D53-2200</f>
        <v>125450</v>
      </c>
      <c r="F53" s="30">
        <f>D53+20800</f>
        <v>148450</v>
      </c>
      <c r="G53" s="58">
        <f>D53+12900</f>
        <v>140550</v>
      </c>
      <c r="H53" s="58">
        <f>F53+5000</f>
        <v>153450</v>
      </c>
      <c r="I53" s="30">
        <f>D53+15650</f>
        <v>143300</v>
      </c>
      <c r="J53" s="30"/>
      <c r="K53" s="48"/>
    </row>
    <row r="54" spans="1:11" s="45" customFormat="1" ht="30.75" customHeight="1" thickBot="1">
      <c r="A54" s="158" t="s">
        <v>169</v>
      </c>
      <c r="B54" s="159"/>
      <c r="C54" s="160"/>
      <c r="D54" s="59" t="s">
        <v>87</v>
      </c>
      <c r="E54" s="325"/>
      <c r="F54" s="326"/>
      <c r="G54" s="326"/>
      <c r="H54" s="326"/>
      <c r="I54" s="326"/>
      <c r="J54" s="327"/>
      <c r="K54" s="47"/>
    </row>
    <row r="55" spans="1:13" ht="40.5" customHeight="1">
      <c r="A55" s="154" t="s">
        <v>267</v>
      </c>
      <c r="B55" s="332"/>
      <c r="C55" s="155"/>
      <c r="D55" s="17">
        <v>0</v>
      </c>
      <c r="E55" s="126"/>
      <c r="F55" s="127"/>
      <c r="G55" s="127"/>
      <c r="H55" s="127"/>
      <c r="I55" s="127"/>
      <c r="J55" s="328"/>
      <c r="K55" s="51"/>
      <c r="L55" s="1"/>
      <c r="M55" s="1"/>
    </row>
    <row r="56" spans="1:11" s="2" customFormat="1" ht="40.5" customHeight="1">
      <c r="A56" s="323" t="s">
        <v>312</v>
      </c>
      <c r="B56" s="261"/>
      <c r="C56" s="262"/>
      <c r="D56" s="23">
        <f>D289-D288</f>
        <v>2980</v>
      </c>
      <c r="E56" s="126"/>
      <c r="F56" s="127"/>
      <c r="G56" s="127"/>
      <c r="H56" s="127"/>
      <c r="I56" s="127"/>
      <c r="J56" s="328"/>
      <c r="K56" s="51"/>
    </row>
    <row r="57" spans="1:11" s="45" customFormat="1" ht="60" customHeight="1">
      <c r="A57" s="323" t="s">
        <v>296</v>
      </c>
      <c r="B57" s="261"/>
      <c r="C57" s="262"/>
      <c r="D57" s="39">
        <f>ROUND(((980+78)/0.7/0.82)+(200*3/4/0.7/0.82),-1)</f>
        <v>2100</v>
      </c>
      <c r="E57" s="126"/>
      <c r="F57" s="127"/>
      <c r="G57" s="127"/>
      <c r="H57" s="127"/>
      <c r="I57" s="127"/>
      <c r="J57" s="328"/>
      <c r="K57" s="51"/>
    </row>
    <row r="58" spans="1:11" s="45" customFormat="1" ht="60" customHeight="1">
      <c r="A58" s="323" t="s">
        <v>295</v>
      </c>
      <c r="B58" s="261"/>
      <c r="C58" s="262"/>
      <c r="D58" s="39">
        <f>ROUND(((980+78)/0.7/0.82)+(200*3/4/0.7/0.82),-1)</f>
        <v>2100</v>
      </c>
      <c r="E58" s="126"/>
      <c r="F58" s="127"/>
      <c r="G58" s="127"/>
      <c r="H58" s="127"/>
      <c r="I58" s="127"/>
      <c r="J58" s="328"/>
      <c r="K58" s="51"/>
    </row>
    <row r="59" spans="1:11" s="45" customFormat="1" ht="60" customHeight="1">
      <c r="A59" s="329" t="s">
        <v>297</v>
      </c>
      <c r="B59" s="330"/>
      <c r="C59" s="331"/>
      <c r="D59" s="70">
        <f>ROUND(((450+78)/0.7/0.82)+(200*3/4/0.7/0.82),-1)</f>
        <v>1180</v>
      </c>
      <c r="E59" s="126"/>
      <c r="F59" s="127"/>
      <c r="G59" s="127"/>
      <c r="H59" s="127"/>
      <c r="I59" s="127"/>
      <c r="J59" s="328"/>
      <c r="K59" s="51">
        <f>D59</f>
        <v>1180</v>
      </c>
    </row>
    <row r="60" spans="1:11" s="45" customFormat="1" ht="60.75" customHeight="1">
      <c r="A60" s="123" t="s">
        <v>298</v>
      </c>
      <c r="B60" s="124"/>
      <c r="C60" s="125"/>
      <c r="D60" s="69">
        <f>ROUND((590/0.75/0.82)+(200*0.33/0.65/0.82),-1)</f>
        <v>1080</v>
      </c>
      <c r="E60" s="126"/>
      <c r="F60" s="127"/>
      <c r="G60" s="127"/>
      <c r="H60" s="127"/>
      <c r="I60" s="127"/>
      <c r="J60" s="328"/>
      <c r="K60" s="51"/>
    </row>
    <row r="61" spans="1:11" s="45" customFormat="1" ht="60.75" customHeight="1">
      <c r="A61" s="263" t="s">
        <v>299</v>
      </c>
      <c r="B61" s="259"/>
      <c r="C61" s="157"/>
      <c r="D61" s="37">
        <f>ROUND((590/0.75/0.82)+(200*0.33/0.65/0.82),-1)-(D66+D64)/2</f>
        <v>735</v>
      </c>
      <c r="E61" s="126"/>
      <c r="F61" s="127"/>
      <c r="G61" s="127"/>
      <c r="H61" s="127"/>
      <c r="I61" s="127"/>
      <c r="J61" s="328"/>
      <c r="K61" s="51">
        <f>D61</f>
        <v>735</v>
      </c>
    </row>
    <row r="62" spans="1:11" s="45" customFormat="1" ht="58.5" customHeight="1">
      <c r="A62" s="123" t="s">
        <v>325</v>
      </c>
      <c r="B62" s="124"/>
      <c r="C62" s="125"/>
      <c r="D62" s="69">
        <f>ROUND(((466+466+140+100)/0.75/0.82)+(200*2/0.65/0.82),-1)</f>
        <v>2660</v>
      </c>
      <c r="E62" s="126"/>
      <c r="F62" s="127"/>
      <c r="G62" s="127"/>
      <c r="H62" s="127"/>
      <c r="I62" s="127"/>
      <c r="J62" s="328"/>
      <c r="K62" s="51"/>
    </row>
    <row r="63" spans="1:11" s="45" customFormat="1" ht="79.5" customHeight="1">
      <c r="A63" s="123" t="s">
        <v>326</v>
      </c>
      <c r="B63" s="124"/>
      <c r="C63" s="125"/>
      <c r="D63" s="69">
        <f>ROUND(((380+100)/0.75/0.82)+(200*2/0.65/0.82),-1)</f>
        <v>1530</v>
      </c>
      <c r="E63" s="126"/>
      <c r="F63" s="127"/>
      <c r="G63" s="127"/>
      <c r="H63" s="127"/>
      <c r="I63" s="127"/>
      <c r="J63" s="328"/>
      <c r="K63" s="51"/>
    </row>
    <row r="64" spans="1:11" s="45" customFormat="1" ht="20.25" customHeight="1">
      <c r="A64" s="263" t="s">
        <v>300</v>
      </c>
      <c r="B64" s="259"/>
      <c r="C64" s="157"/>
      <c r="D64" s="37">
        <f>ROUND(((140+10)/0.75/0.82)+(200*0.33/0.65/0.82),-1)</f>
        <v>370</v>
      </c>
      <c r="E64" s="126"/>
      <c r="F64" s="127"/>
      <c r="G64" s="127"/>
      <c r="H64" s="127"/>
      <c r="I64" s="127"/>
      <c r="J64" s="328"/>
      <c r="K64" s="51">
        <f>D64</f>
        <v>370</v>
      </c>
    </row>
    <row r="65" spans="1:11" s="45" customFormat="1" ht="21" customHeight="1">
      <c r="A65" s="260" t="s">
        <v>29</v>
      </c>
      <c r="B65" s="261"/>
      <c r="C65" s="262"/>
      <c r="D65" s="39">
        <f>ROUND(((140+100)/0.75/0.82)+(200*0.33/0.65/0.82),-1)</f>
        <v>510</v>
      </c>
      <c r="E65" s="126"/>
      <c r="F65" s="127"/>
      <c r="G65" s="127"/>
      <c r="H65" s="127"/>
      <c r="I65" s="127"/>
      <c r="J65" s="328"/>
      <c r="K65" s="51"/>
    </row>
    <row r="66" spans="1:11" s="45" customFormat="1" ht="20.25" customHeight="1">
      <c r="A66" s="263" t="s">
        <v>30</v>
      </c>
      <c r="B66" s="259"/>
      <c r="C66" s="157"/>
      <c r="D66" s="37">
        <f>ROUND(D250+200*0.33/0.65/0.82,-1)</f>
        <v>320</v>
      </c>
      <c r="E66" s="126"/>
      <c r="F66" s="127"/>
      <c r="G66" s="127"/>
      <c r="H66" s="127"/>
      <c r="I66" s="127"/>
      <c r="J66" s="328"/>
      <c r="K66" s="51"/>
    </row>
    <row r="67" spans="1:11" s="45" customFormat="1" ht="39" customHeight="1">
      <c r="A67" s="263" t="s">
        <v>301</v>
      </c>
      <c r="B67" s="259"/>
      <c r="C67" s="157"/>
      <c r="D67" s="37">
        <f>ROUND(((430+100)/0.75/0.82)+(200*0.4/0.65/0.82),-1)</f>
        <v>1010</v>
      </c>
      <c r="E67" s="126"/>
      <c r="F67" s="127"/>
      <c r="G67" s="127"/>
      <c r="H67" s="127"/>
      <c r="I67" s="127"/>
      <c r="J67" s="328"/>
      <c r="K67" s="51"/>
    </row>
    <row r="68" spans="1:11" s="45" customFormat="1" ht="39" customHeight="1">
      <c r="A68" s="263" t="s">
        <v>200</v>
      </c>
      <c r="B68" s="259"/>
      <c r="C68" s="157"/>
      <c r="D68" s="37">
        <f>ROUND(((350+50)/0.75/0.82)+(200*0.4/0.65/0.82),-1)</f>
        <v>800</v>
      </c>
      <c r="E68" s="126"/>
      <c r="F68" s="127"/>
      <c r="G68" s="127"/>
      <c r="H68" s="127"/>
      <c r="I68" s="127"/>
      <c r="J68" s="328"/>
      <c r="K68" s="51"/>
    </row>
    <row r="69" spans="1:11" s="45" customFormat="1" ht="22.5" customHeight="1">
      <c r="A69" s="317" t="s">
        <v>190</v>
      </c>
      <c r="B69" s="124"/>
      <c r="C69" s="125"/>
      <c r="D69" s="69">
        <v>1100</v>
      </c>
      <c r="E69" s="126"/>
      <c r="F69" s="127"/>
      <c r="G69" s="127"/>
      <c r="H69" s="127"/>
      <c r="I69" s="127"/>
      <c r="J69" s="328"/>
      <c r="K69" s="51"/>
    </row>
    <row r="70" spans="1:11" s="45" customFormat="1" ht="19.5" customHeight="1">
      <c r="A70" s="156" t="s">
        <v>184</v>
      </c>
      <c r="B70" s="259"/>
      <c r="C70" s="157"/>
      <c r="D70" s="37">
        <v>500</v>
      </c>
      <c r="E70" s="126"/>
      <c r="F70" s="127"/>
      <c r="G70" s="127"/>
      <c r="H70" s="127"/>
      <c r="I70" s="127"/>
      <c r="J70" s="328"/>
      <c r="K70" s="51"/>
    </row>
    <row r="71" spans="1:11" s="45" customFormat="1" ht="19.5" customHeight="1">
      <c r="A71" s="156" t="s">
        <v>113</v>
      </c>
      <c r="B71" s="259"/>
      <c r="C71" s="157"/>
      <c r="D71" s="37">
        <v>450</v>
      </c>
      <c r="E71" s="126"/>
      <c r="F71" s="127"/>
      <c r="G71" s="127"/>
      <c r="H71" s="127"/>
      <c r="I71" s="127"/>
      <c r="J71" s="328"/>
      <c r="K71" s="51"/>
    </row>
    <row r="72" spans="1:11" s="45" customFormat="1" ht="62.25" customHeight="1">
      <c r="A72" s="156" t="s">
        <v>234</v>
      </c>
      <c r="B72" s="259"/>
      <c r="C72" s="157"/>
      <c r="D72" s="37">
        <v>2350</v>
      </c>
      <c r="E72" s="126"/>
      <c r="F72" s="127"/>
      <c r="G72" s="127"/>
      <c r="H72" s="127"/>
      <c r="I72" s="127"/>
      <c r="J72" s="328"/>
      <c r="K72" s="51"/>
    </row>
    <row r="73" spans="1:11" s="45" customFormat="1" ht="41.25" customHeight="1">
      <c r="A73" s="156" t="s">
        <v>45</v>
      </c>
      <c r="B73" s="259"/>
      <c r="C73" s="157"/>
      <c r="D73" s="37">
        <v>1750</v>
      </c>
      <c r="E73" s="126"/>
      <c r="F73" s="127"/>
      <c r="G73" s="127"/>
      <c r="H73" s="127"/>
      <c r="I73" s="127"/>
      <c r="J73" s="328"/>
      <c r="K73" s="51"/>
    </row>
    <row r="74" spans="1:11" s="45" customFormat="1" ht="41.25" customHeight="1">
      <c r="A74" s="156" t="s">
        <v>72</v>
      </c>
      <c r="B74" s="259"/>
      <c r="C74" s="157"/>
      <c r="D74" s="37">
        <v>2100</v>
      </c>
      <c r="E74" s="126"/>
      <c r="F74" s="127"/>
      <c r="G74" s="127"/>
      <c r="H74" s="127"/>
      <c r="I74" s="127"/>
      <c r="J74" s="328"/>
      <c r="K74" s="51"/>
    </row>
    <row r="75" spans="1:11" s="45" customFormat="1" ht="19.5" customHeight="1">
      <c r="A75" s="156" t="s">
        <v>33</v>
      </c>
      <c r="B75" s="259"/>
      <c r="C75" s="157"/>
      <c r="D75" s="39">
        <v>300</v>
      </c>
      <c r="E75" s="126"/>
      <c r="F75" s="127"/>
      <c r="G75" s="127"/>
      <c r="H75" s="127"/>
      <c r="I75" s="127"/>
      <c r="J75" s="328"/>
      <c r="K75" s="51"/>
    </row>
    <row r="76" spans="1:11" s="45" customFormat="1" ht="18" customHeight="1">
      <c r="A76" s="171" t="s">
        <v>17</v>
      </c>
      <c r="B76" s="172"/>
      <c r="C76" s="173"/>
      <c r="D76" s="20">
        <v>650</v>
      </c>
      <c r="E76" s="126"/>
      <c r="F76" s="127"/>
      <c r="G76" s="127"/>
      <c r="H76" s="127"/>
      <c r="I76" s="127"/>
      <c r="J76" s="328"/>
      <c r="K76" s="51"/>
    </row>
    <row r="77" spans="1:11" s="45" customFormat="1" ht="59.25" customHeight="1">
      <c r="A77" s="171" t="s">
        <v>256</v>
      </c>
      <c r="B77" s="172"/>
      <c r="C77" s="173"/>
      <c r="D77" s="24">
        <f>D239+D241-D225</f>
        <v>4680</v>
      </c>
      <c r="E77" s="126"/>
      <c r="F77" s="127"/>
      <c r="G77" s="127"/>
      <c r="H77" s="127"/>
      <c r="I77" s="127"/>
      <c r="J77" s="328"/>
      <c r="K77" s="51"/>
    </row>
    <row r="78" spans="1:11" s="45" customFormat="1" ht="44.25" customHeight="1">
      <c r="A78" s="171" t="s">
        <v>255</v>
      </c>
      <c r="B78" s="172"/>
      <c r="C78" s="173"/>
      <c r="D78" s="24">
        <f>D240+D241-D225</f>
        <v>4310</v>
      </c>
      <c r="E78" s="126"/>
      <c r="F78" s="127"/>
      <c r="G78" s="127"/>
      <c r="H78" s="127"/>
      <c r="I78" s="127"/>
      <c r="J78" s="328"/>
      <c r="K78" s="51"/>
    </row>
    <row r="79" spans="1:11" s="45" customFormat="1" ht="19.5" customHeight="1">
      <c r="A79" s="171" t="s">
        <v>58</v>
      </c>
      <c r="B79" s="172"/>
      <c r="C79" s="173"/>
      <c r="D79" s="20">
        <v>-3000</v>
      </c>
      <c r="E79" s="126"/>
      <c r="F79" s="127"/>
      <c r="G79" s="127"/>
      <c r="H79" s="127"/>
      <c r="I79" s="127"/>
      <c r="J79" s="328"/>
      <c r="K79" s="51">
        <f>D79</f>
        <v>-3000</v>
      </c>
    </row>
    <row r="80" spans="1:11" s="45" customFormat="1" ht="38.25" customHeight="1">
      <c r="A80" s="171" t="s">
        <v>146</v>
      </c>
      <c r="B80" s="172"/>
      <c r="C80" s="173"/>
      <c r="D80" s="20">
        <v>1500</v>
      </c>
      <c r="E80" s="126"/>
      <c r="F80" s="127"/>
      <c r="G80" s="127"/>
      <c r="H80" s="127"/>
      <c r="I80" s="127"/>
      <c r="J80" s="328"/>
      <c r="K80" s="51" t="s">
        <v>78</v>
      </c>
    </row>
    <row r="81" spans="1:11" s="45" customFormat="1" ht="43.5" customHeight="1">
      <c r="A81" s="156" t="s">
        <v>180</v>
      </c>
      <c r="B81" s="259"/>
      <c r="C81" s="157"/>
      <c r="D81" s="23">
        <f>D277-D276</f>
        <v>2130</v>
      </c>
      <c r="E81" s="126"/>
      <c r="F81" s="127"/>
      <c r="G81" s="127"/>
      <c r="H81" s="127"/>
      <c r="I81" s="127"/>
      <c r="J81" s="328"/>
      <c r="K81" s="51"/>
    </row>
    <row r="82" spans="1:11" s="45" customFormat="1" ht="23.25" customHeight="1">
      <c r="A82" s="156" t="s">
        <v>57</v>
      </c>
      <c r="B82" s="259"/>
      <c r="C82" s="157"/>
      <c r="D82" s="23">
        <f>ROUND(D290-D273+100/0.8/0.84+((185*2)/0.7/0.84),-1)</f>
        <v>14160</v>
      </c>
      <c r="E82" s="126"/>
      <c r="F82" s="127"/>
      <c r="G82" s="127"/>
      <c r="H82" s="127"/>
      <c r="I82" s="127"/>
      <c r="J82" s="328"/>
      <c r="K82" s="51"/>
    </row>
    <row r="83" spans="1:11" s="45" customFormat="1" ht="81.75" customHeight="1">
      <c r="A83" s="156" t="s">
        <v>248</v>
      </c>
      <c r="B83" s="259"/>
      <c r="C83" s="157"/>
      <c r="D83" s="37">
        <v>1000</v>
      </c>
      <c r="E83" s="126"/>
      <c r="F83" s="127"/>
      <c r="G83" s="127"/>
      <c r="H83" s="127"/>
      <c r="I83" s="127"/>
      <c r="J83" s="328"/>
      <c r="K83" s="51"/>
    </row>
    <row r="84" spans="1:13" ht="38.25" customHeight="1">
      <c r="A84" s="156" t="s">
        <v>155</v>
      </c>
      <c r="B84" s="259"/>
      <c r="C84" s="157"/>
      <c r="D84" s="39">
        <f>ROUND(((357+20+475+23+127+31+80+4.2*2)/0.7/0.84)+(185*1.5/0.7/0.84),-1)+200</f>
        <v>2580</v>
      </c>
      <c r="E84" s="126"/>
      <c r="F84" s="127"/>
      <c r="G84" s="127"/>
      <c r="H84" s="127"/>
      <c r="I84" s="127"/>
      <c r="J84" s="328"/>
      <c r="K84" s="51"/>
      <c r="L84" s="1"/>
      <c r="M84" s="1"/>
    </row>
    <row r="85" spans="1:11" s="45" customFormat="1" ht="39" customHeight="1">
      <c r="A85" s="171" t="s">
        <v>147</v>
      </c>
      <c r="B85" s="172"/>
      <c r="C85" s="173"/>
      <c r="D85" s="20">
        <v>300</v>
      </c>
      <c r="E85" s="126"/>
      <c r="F85" s="127"/>
      <c r="G85" s="127"/>
      <c r="H85" s="127"/>
      <c r="I85" s="127"/>
      <c r="J85" s="328"/>
      <c r="K85" s="51"/>
    </row>
    <row r="86" spans="1:11" s="45" customFormat="1" ht="38.25" customHeight="1">
      <c r="A86" s="171" t="s">
        <v>66</v>
      </c>
      <c r="B86" s="172"/>
      <c r="C86" s="173"/>
      <c r="D86" s="42">
        <f>D235+(D233+D234)/2</f>
        <v>900</v>
      </c>
      <c r="E86" s="126"/>
      <c r="F86" s="127"/>
      <c r="G86" s="127"/>
      <c r="H86" s="127"/>
      <c r="I86" s="127"/>
      <c r="J86" s="328"/>
      <c r="K86" s="51"/>
    </row>
    <row r="87" spans="1:11" ht="21" customHeight="1">
      <c r="A87" s="317" t="s">
        <v>308</v>
      </c>
      <c r="B87" s="124"/>
      <c r="C87" s="125"/>
      <c r="D87" s="70">
        <v>650</v>
      </c>
      <c r="E87" s="126"/>
      <c r="F87" s="127"/>
      <c r="G87" s="127"/>
      <c r="H87" s="127"/>
      <c r="I87" s="127"/>
      <c r="J87" s="328"/>
      <c r="K87" s="51"/>
    </row>
    <row r="88" spans="1:11" s="45" customFormat="1" ht="36" customHeight="1">
      <c r="A88" s="171" t="s">
        <v>79</v>
      </c>
      <c r="B88" s="172"/>
      <c r="C88" s="173"/>
      <c r="D88" s="38">
        <v>890</v>
      </c>
      <c r="E88" s="126"/>
      <c r="F88" s="127"/>
      <c r="G88" s="127"/>
      <c r="H88" s="127"/>
      <c r="I88" s="127"/>
      <c r="J88" s="328"/>
      <c r="K88" s="51"/>
    </row>
    <row r="89" spans="1:11" ht="21" customHeight="1" thickBot="1">
      <c r="A89" s="171" t="s">
        <v>92</v>
      </c>
      <c r="B89" s="172"/>
      <c r="C89" s="173"/>
      <c r="D89" s="38">
        <v>350</v>
      </c>
      <c r="E89" s="126"/>
      <c r="F89" s="127"/>
      <c r="G89" s="127"/>
      <c r="H89" s="127"/>
      <c r="I89" s="127"/>
      <c r="J89" s="328"/>
      <c r="K89" s="51"/>
    </row>
    <row r="90" spans="1:11" s="19" customFormat="1" ht="26.25" customHeight="1">
      <c r="A90" s="178" t="s">
        <v>249</v>
      </c>
      <c r="B90" s="150" t="s">
        <v>34</v>
      </c>
      <c r="C90" s="151"/>
      <c r="D90" s="17">
        <v>550</v>
      </c>
      <c r="E90" s="126"/>
      <c r="F90" s="127"/>
      <c r="G90" s="127"/>
      <c r="H90" s="127"/>
      <c r="I90" s="127"/>
      <c r="J90" s="328"/>
      <c r="K90" s="51"/>
    </row>
    <row r="91" spans="1:11" s="19" customFormat="1" ht="23.25" customHeight="1">
      <c r="A91" s="179"/>
      <c r="B91" s="130" t="s">
        <v>35</v>
      </c>
      <c r="C91" s="131"/>
      <c r="D91" s="37">
        <f>ROUND(D90/4*5,-1)</f>
        <v>690</v>
      </c>
      <c r="E91" s="126"/>
      <c r="F91" s="127"/>
      <c r="G91" s="127"/>
      <c r="H91" s="127"/>
      <c r="I91" s="127"/>
      <c r="J91" s="328"/>
      <c r="K91" s="51"/>
    </row>
    <row r="92" spans="1:11" s="19" customFormat="1" ht="25.5" customHeight="1">
      <c r="A92" s="179"/>
      <c r="B92" s="130" t="s">
        <v>181</v>
      </c>
      <c r="C92" s="131"/>
      <c r="D92" s="37">
        <f>ROUND(D90/4*6,-1)</f>
        <v>830</v>
      </c>
      <c r="E92" s="126"/>
      <c r="F92" s="127"/>
      <c r="G92" s="127"/>
      <c r="H92" s="127"/>
      <c r="I92" s="127"/>
      <c r="J92" s="328"/>
      <c r="K92" s="51"/>
    </row>
    <row r="93" spans="1:11" s="19" customFormat="1" ht="24.75" customHeight="1">
      <c r="A93" s="179"/>
      <c r="B93" s="130" t="s">
        <v>36</v>
      </c>
      <c r="C93" s="131"/>
      <c r="D93" s="37">
        <f>ROUND(D90/4*7,-1)</f>
        <v>960</v>
      </c>
      <c r="E93" s="126"/>
      <c r="F93" s="127"/>
      <c r="G93" s="127"/>
      <c r="H93" s="127"/>
      <c r="I93" s="127"/>
      <c r="J93" s="328"/>
      <c r="K93" s="51"/>
    </row>
    <row r="94" spans="1:11" s="19" customFormat="1" ht="24.75" customHeight="1" thickBot="1">
      <c r="A94" s="180"/>
      <c r="B94" s="165" t="s">
        <v>285</v>
      </c>
      <c r="C94" s="166"/>
      <c r="D94" s="30">
        <f>ROUND(D90/4*8,-1)</f>
        <v>1100</v>
      </c>
      <c r="E94" s="126"/>
      <c r="F94" s="127"/>
      <c r="G94" s="127"/>
      <c r="H94" s="127"/>
      <c r="I94" s="127"/>
      <c r="J94" s="328"/>
      <c r="K94" s="51"/>
    </row>
    <row r="95" spans="1:11" s="19" customFormat="1" ht="26.25" customHeight="1">
      <c r="A95" s="178" t="s">
        <v>279</v>
      </c>
      <c r="B95" s="150" t="s">
        <v>244</v>
      </c>
      <c r="C95" s="151"/>
      <c r="D95" s="17">
        <f>ROUND((42*0.2/0.7/0.8)+(200*0.2/0.6/0.75),-1)</f>
        <v>100</v>
      </c>
      <c r="E95" s="126"/>
      <c r="F95" s="127"/>
      <c r="G95" s="127"/>
      <c r="H95" s="127"/>
      <c r="I95" s="127"/>
      <c r="J95" s="328"/>
      <c r="K95" s="51"/>
    </row>
    <row r="96" spans="1:11" s="19" customFormat="1" ht="24.75" customHeight="1">
      <c r="A96" s="179"/>
      <c r="B96" s="130" t="s">
        <v>245</v>
      </c>
      <c r="C96" s="131"/>
      <c r="D96" s="37">
        <f>ROUND((55*0.3/0.7/0.8)+(200*0.25/0.6/0.75),-1)</f>
        <v>140</v>
      </c>
      <c r="E96" s="126"/>
      <c r="F96" s="127"/>
      <c r="G96" s="127"/>
      <c r="H96" s="127"/>
      <c r="I96" s="127"/>
      <c r="J96" s="328"/>
      <c r="K96" s="51"/>
    </row>
    <row r="97" spans="1:11" s="19" customFormat="1" ht="24.75" customHeight="1">
      <c r="A97" s="179"/>
      <c r="B97" s="130" t="s">
        <v>242</v>
      </c>
      <c r="C97" s="131"/>
      <c r="D97" s="37">
        <f>ROUND((55*0.57/0.7/0.8)+(200*0.4/0.6/0.75),-1)</f>
        <v>230</v>
      </c>
      <c r="E97" s="126"/>
      <c r="F97" s="127"/>
      <c r="G97" s="127"/>
      <c r="H97" s="127"/>
      <c r="I97" s="127"/>
      <c r="J97" s="328"/>
      <c r="K97" s="51"/>
    </row>
    <row r="98" spans="1:11" s="19" customFormat="1" ht="24.75" customHeight="1" thickBot="1">
      <c r="A98" s="180"/>
      <c r="B98" s="130" t="s">
        <v>243</v>
      </c>
      <c r="C98" s="131"/>
      <c r="D98" s="30">
        <f>ROUND((55*0.67/0.7/0.8)+(200*0.5/0.6/0.75),-1)</f>
        <v>290</v>
      </c>
      <c r="E98" s="126"/>
      <c r="F98" s="127"/>
      <c r="G98" s="127"/>
      <c r="H98" s="127"/>
      <c r="I98" s="127"/>
      <c r="J98" s="328"/>
      <c r="K98" s="51"/>
    </row>
    <row r="99" spans="1:11" s="19" customFormat="1" ht="17.25" customHeight="1">
      <c r="A99" s="178" t="s">
        <v>157</v>
      </c>
      <c r="B99" s="257" t="s">
        <v>229</v>
      </c>
      <c r="C99" s="258"/>
      <c r="D99" s="61">
        <f>ROUND((280+200*2)/0.75/0.82+(6660-5980)/0.8/0.82,-1)</f>
        <v>2140</v>
      </c>
      <c r="E99" s="126"/>
      <c r="F99" s="127"/>
      <c r="G99" s="127"/>
      <c r="H99" s="127"/>
      <c r="I99" s="127"/>
      <c r="J99" s="328"/>
      <c r="K99" s="51"/>
    </row>
    <row r="100" spans="1:11" s="19" customFormat="1" ht="17.25" customHeight="1">
      <c r="A100" s="179"/>
      <c r="B100" s="128" t="s">
        <v>230</v>
      </c>
      <c r="C100" s="129"/>
      <c r="D100" s="69">
        <f>ROUND((320+200*2)/0.75/0.82+(6910-6130)/0.8/0.82,-1)</f>
        <v>2360</v>
      </c>
      <c r="E100" s="126"/>
      <c r="F100" s="127"/>
      <c r="G100" s="127"/>
      <c r="H100" s="127"/>
      <c r="I100" s="127"/>
      <c r="J100" s="328"/>
      <c r="K100" s="51"/>
    </row>
    <row r="101" spans="1:11" s="19" customFormat="1" ht="55.5" customHeight="1">
      <c r="A101" s="179"/>
      <c r="B101" s="130" t="s">
        <v>107</v>
      </c>
      <c r="C101" s="131"/>
      <c r="D101" s="37">
        <f>ROUND(485/0.75/0.82+2351/0.75/0.84-(6130-5150)/0.75/0.82,-1)</f>
        <v>2930</v>
      </c>
      <c r="E101" s="126"/>
      <c r="F101" s="127"/>
      <c r="G101" s="127"/>
      <c r="H101" s="127"/>
      <c r="I101" s="127"/>
      <c r="J101" s="328"/>
      <c r="K101" s="51"/>
    </row>
    <row r="102" spans="1:11" s="19" customFormat="1" ht="21.75" customHeight="1">
      <c r="A102" s="179"/>
      <c r="B102" s="128" t="s">
        <v>228</v>
      </c>
      <c r="C102" s="129"/>
      <c r="D102" s="69">
        <f>ROUND((360+200*2)/0.75/0.82+(10370-9450)/0.8/0.82,-1)</f>
        <v>2640</v>
      </c>
      <c r="E102" s="126"/>
      <c r="F102" s="127"/>
      <c r="G102" s="127"/>
      <c r="H102" s="127"/>
      <c r="I102" s="127"/>
      <c r="J102" s="328"/>
      <c r="K102" s="51"/>
    </row>
    <row r="103" spans="1:11" s="19" customFormat="1" ht="36.75" customHeight="1">
      <c r="A103" s="179"/>
      <c r="B103" s="130" t="s">
        <v>233</v>
      </c>
      <c r="C103" s="131"/>
      <c r="D103" s="37">
        <f>ROUND((360+200*2)/0.75/0.82+(200)/0.8/0.82,-1)</f>
        <v>1540</v>
      </c>
      <c r="E103" s="126"/>
      <c r="F103" s="127"/>
      <c r="G103" s="127"/>
      <c r="H103" s="127"/>
      <c r="I103" s="127"/>
      <c r="J103" s="328"/>
      <c r="K103" s="51"/>
    </row>
    <row r="104" spans="1:11" ht="17.25" customHeight="1">
      <c r="A104" s="179"/>
      <c r="B104" s="137" t="s">
        <v>227</v>
      </c>
      <c r="C104" s="138"/>
      <c r="D104" s="34">
        <f>ROUND((400+200*2)/0.75/0.82+(11790-10780)/0.8/0.82,-1)</f>
        <v>2840</v>
      </c>
      <c r="E104" s="126"/>
      <c r="F104" s="127"/>
      <c r="G104" s="127"/>
      <c r="H104" s="127"/>
      <c r="I104" s="127"/>
      <c r="J104" s="328"/>
      <c r="K104" s="51"/>
    </row>
    <row r="105" spans="1:11" s="45" customFormat="1" ht="17.25" customHeight="1">
      <c r="A105" s="179"/>
      <c r="B105" s="137" t="s">
        <v>280</v>
      </c>
      <c r="C105" s="138"/>
      <c r="D105" s="34">
        <f>ROUND((460+200*2)/0.75/0.82+1100/0.8/0.82,-1)</f>
        <v>3080</v>
      </c>
      <c r="E105" s="126"/>
      <c r="F105" s="127"/>
      <c r="G105" s="127"/>
      <c r="H105" s="127"/>
      <c r="I105" s="127"/>
      <c r="J105" s="328"/>
      <c r="K105" s="51"/>
    </row>
    <row r="106" spans="1:11" s="45" customFormat="1" ht="17.25" customHeight="1">
      <c r="A106" s="179"/>
      <c r="B106" s="137" t="s">
        <v>311</v>
      </c>
      <c r="C106" s="138"/>
      <c r="D106" s="34">
        <f>ROUND((460+200*2)/0.75/0.82+1100/0.8/0.82,-1)</f>
        <v>3080</v>
      </c>
      <c r="E106" s="126"/>
      <c r="F106" s="127"/>
      <c r="G106" s="127"/>
      <c r="H106" s="127"/>
      <c r="I106" s="127"/>
      <c r="J106" s="328"/>
      <c r="K106" s="51"/>
    </row>
    <row r="107" spans="1:11" ht="56.25" customHeight="1" thickBot="1">
      <c r="A107" s="179"/>
      <c r="B107" s="145" t="s">
        <v>108</v>
      </c>
      <c r="C107" s="146"/>
      <c r="D107" s="90">
        <f>ROUND(485/0.7/0.82+2728/0.7/0.84-(10780-6600),-1)</f>
        <v>1300</v>
      </c>
      <c r="E107" s="126"/>
      <c r="F107" s="127"/>
      <c r="G107" s="127"/>
      <c r="H107" s="127"/>
      <c r="I107" s="127"/>
      <c r="J107" s="328"/>
      <c r="K107" s="51"/>
    </row>
    <row r="108" spans="1:11" s="19" customFormat="1" ht="39" customHeight="1">
      <c r="A108" s="215" t="s">
        <v>111</v>
      </c>
      <c r="B108" s="183" t="s">
        <v>143</v>
      </c>
      <c r="C108" s="184"/>
      <c r="D108" s="17">
        <v>2100</v>
      </c>
      <c r="E108" s="126"/>
      <c r="F108" s="127"/>
      <c r="G108" s="127"/>
      <c r="H108" s="127"/>
      <c r="I108" s="127"/>
      <c r="J108" s="328"/>
      <c r="K108" s="51"/>
    </row>
    <row r="109" spans="1:11" s="19" customFormat="1" ht="37.5" customHeight="1" thickBot="1">
      <c r="A109" s="216"/>
      <c r="B109" s="139" t="s">
        <v>141</v>
      </c>
      <c r="C109" s="140"/>
      <c r="D109" s="18">
        <v>1100</v>
      </c>
      <c r="E109" s="126"/>
      <c r="F109" s="127"/>
      <c r="G109" s="127"/>
      <c r="H109" s="127"/>
      <c r="I109" s="127"/>
      <c r="J109" s="328"/>
      <c r="K109" s="51"/>
    </row>
    <row r="110" spans="1:11" s="19" customFormat="1" ht="20.25" customHeight="1">
      <c r="A110" s="215" t="s">
        <v>110</v>
      </c>
      <c r="B110" s="64" t="s">
        <v>105</v>
      </c>
      <c r="C110" s="65"/>
      <c r="D110" s="41">
        <v>5420</v>
      </c>
      <c r="E110" s="126"/>
      <c r="F110" s="127"/>
      <c r="G110" s="127"/>
      <c r="H110" s="127"/>
      <c r="I110" s="127"/>
      <c r="J110" s="328"/>
      <c r="K110" s="51"/>
    </row>
    <row r="111" spans="1:11" s="19" customFormat="1" ht="21.75" customHeight="1">
      <c r="A111" s="322"/>
      <c r="B111" s="66" t="s">
        <v>106</v>
      </c>
      <c r="C111" s="67"/>
      <c r="D111" s="35">
        <v>6380</v>
      </c>
      <c r="E111" s="126"/>
      <c r="F111" s="127"/>
      <c r="G111" s="127"/>
      <c r="H111" s="127"/>
      <c r="I111" s="127"/>
      <c r="J111" s="328"/>
      <c r="K111" s="51"/>
    </row>
    <row r="112" spans="1:11" s="19" customFormat="1" ht="22.5" customHeight="1">
      <c r="A112" s="322"/>
      <c r="B112" s="121" t="s">
        <v>194</v>
      </c>
      <c r="C112" s="122"/>
      <c r="D112" s="35">
        <v>7000</v>
      </c>
      <c r="E112" s="126"/>
      <c r="F112" s="127"/>
      <c r="G112" s="127"/>
      <c r="H112" s="127"/>
      <c r="I112" s="127"/>
      <c r="J112" s="328"/>
      <c r="K112" s="51"/>
    </row>
    <row r="113" spans="1:11" s="19" customFormat="1" ht="24" customHeight="1" thickBot="1">
      <c r="A113" s="294"/>
      <c r="B113" s="320" t="s">
        <v>286</v>
      </c>
      <c r="C113" s="321"/>
      <c r="D113" s="36">
        <v>8000</v>
      </c>
      <c r="E113" s="126"/>
      <c r="F113" s="127"/>
      <c r="G113" s="127"/>
      <c r="H113" s="127"/>
      <c r="I113" s="127"/>
      <c r="J113" s="328"/>
      <c r="K113" s="51"/>
    </row>
    <row r="114" spans="1:11" s="19" customFormat="1" ht="54.75" customHeight="1">
      <c r="A114" s="215" t="s">
        <v>272</v>
      </c>
      <c r="B114" s="143" t="s">
        <v>112</v>
      </c>
      <c r="C114" s="144"/>
      <c r="D114" s="39">
        <v>0</v>
      </c>
      <c r="E114" s="126"/>
      <c r="F114" s="127"/>
      <c r="G114" s="127"/>
      <c r="H114" s="127"/>
      <c r="I114" s="127"/>
      <c r="J114" s="328"/>
      <c r="K114" s="51"/>
    </row>
    <row r="115" spans="1:11" s="19" customFormat="1" ht="37.5" customHeight="1" thickBot="1">
      <c r="A115" s="294"/>
      <c r="B115" s="165" t="s">
        <v>142</v>
      </c>
      <c r="C115" s="166"/>
      <c r="D115" s="39">
        <v>2500</v>
      </c>
      <c r="E115" s="126"/>
      <c r="F115" s="127"/>
      <c r="G115" s="127"/>
      <c r="H115" s="127"/>
      <c r="I115" s="127"/>
      <c r="J115" s="328"/>
      <c r="K115" s="51"/>
    </row>
    <row r="116" spans="1:13" ht="39.95" customHeight="1" thickBot="1">
      <c r="A116" s="178" t="s">
        <v>225</v>
      </c>
      <c r="B116" s="210" t="s">
        <v>149</v>
      </c>
      <c r="C116" s="211"/>
      <c r="D116" s="61">
        <v>920</v>
      </c>
      <c r="E116" s="126"/>
      <c r="F116" s="127"/>
      <c r="G116" s="127"/>
      <c r="H116" s="127"/>
      <c r="I116" s="127"/>
      <c r="J116" s="328"/>
      <c r="K116" s="51"/>
      <c r="L116" s="1"/>
      <c r="M116" s="1"/>
    </row>
    <row r="117" spans="1:11" s="45" customFormat="1" ht="79.5" customHeight="1">
      <c r="A117" s="324"/>
      <c r="B117" s="154" t="s">
        <v>213</v>
      </c>
      <c r="C117" s="155"/>
      <c r="D117" s="17">
        <v>0</v>
      </c>
      <c r="E117" s="127"/>
      <c r="F117" s="127"/>
      <c r="G117" s="127"/>
      <c r="H117" s="127"/>
      <c r="I117" s="127"/>
      <c r="J117" s="328"/>
      <c r="K117" s="51"/>
    </row>
    <row r="118" spans="1:11" s="45" customFormat="1" ht="57.75" customHeight="1" thickBot="1">
      <c r="A118" s="324"/>
      <c r="B118" s="208" t="s">
        <v>270</v>
      </c>
      <c r="C118" s="209"/>
      <c r="D118" s="30">
        <v>0</v>
      </c>
      <c r="E118" s="127"/>
      <c r="F118" s="127"/>
      <c r="G118" s="127"/>
      <c r="H118" s="127"/>
      <c r="I118" s="127"/>
      <c r="J118" s="328"/>
      <c r="K118" s="51"/>
    </row>
    <row r="119" spans="1:13" ht="39.95" customHeight="1">
      <c r="A119" s="179"/>
      <c r="B119" s="318" t="s">
        <v>18</v>
      </c>
      <c r="C119" s="319"/>
      <c r="D119" s="41">
        <v>-1650</v>
      </c>
      <c r="E119" s="126"/>
      <c r="F119" s="127"/>
      <c r="G119" s="127"/>
      <c r="H119" s="127"/>
      <c r="I119" s="127"/>
      <c r="J119" s="328"/>
      <c r="K119" s="51"/>
      <c r="L119" s="1"/>
      <c r="M119" s="1"/>
    </row>
    <row r="120" spans="1:13" ht="39.95" customHeight="1">
      <c r="A120" s="179"/>
      <c r="B120" s="169" t="s">
        <v>117</v>
      </c>
      <c r="C120" s="170"/>
      <c r="D120" s="35">
        <f>D177-172:172</f>
        <v>2610</v>
      </c>
      <c r="E120" s="126"/>
      <c r="F120" s="127"/>
      <c r="G120" s="127"/>
      <c r="H120" s="127"/>
      <c r="I120" s="127"/>
      <c r="J120" s="328"/>
      <c r="K120" s="51"/>
      <c r="L120" s="1"/>
      <c r="M120" s="1"/>
    </row>
    <row r="121" spans="1:11" s="45" customFormat="1" ht="39.95" customHeight="1" thickBot="1">
      <c r="A121" s="179"/>
      <c r="B121" s="206" t="s">
        <v>287</v>
      </c>
      <c r="C121" s="207"/>
      <c r="D121" s="36">
        <f>D178-D173</f>
        <v>1840</v>
      </c>
      <c r="E121" s="126"/>
      <c r="F121" s="127"/>
      <c r="G121" s="127"/>
      <c r="H121" s="127"/>
      <c r="I121" s="127"/>
      <c r="J121" s="328"/>
      <c r="K121" s="51"/>
    </row>
    <row r="122" spans="1:13" ht="39.75" customHeight="1">
      <c r="A122" s="179"/>
      <c r="B122" s="323" t="s">
        <v>119</v>
      </c>
      <c r="C122" s="262"/>
      <c r="D122" s="39">
        <f>-(D170-(D167*4+D169*2))-100</f>
        <v>-2680</v>
      </c>
      <c r="E122" s="126"/>
      <c r="F122" s="127"/>
      <c r="G122" s="127"/>
      <c r="H122" s="127"/>
      <c r="I122" s="127"/>
      <c r="J122" s="328"/>
      <c r="K122" s="51"/>
      <c r="L122" s="1"/>
      <c r="M122" s="1"/>
    </row>
    <row r="123" spans="1:11" s="45" customFormat="1" ht="39.75" customHeight="1">
      <c r="A123" s="179"/>
      <c r="B123" s="156" t="s">
        <v>321</v>
      </c>
      <c r="C123" s="157"/>
      <c r="D123" s="37">
        <f>-(D170-(D167*6+D169*3))-100</f>
        <v>-1080</v>
      </c>
      <c r="E123" s="126"/>
      <c r="F123" s="127"/>
      <c r="G123" s="127"/>
      <c r="H123" s="127"/>
      <c r="I123" s="127"/>
      <c r="J123" s="328"/>
      <c r="K123" s="51"/>
    </row>
    <row r="124" spans="1:11" s="45" customFormat="1" ht="39.75" customHeight="1">
      <c r="A124" s="179"/>
      <c r="B124" s="156" t="s">
        <v>120</v>
      </c>
      <c r="C124" s="157"/>
      <c r="D124" s="37">
        <f>-(D170-(D168*6+D169*3))-100</f>
        <v>-180</v>
      </c>
      <c r="E124" s="126"/>
      <c r="F124" s="127"/>
      <c r="G124" s="127"/>
      <c r="H124" s="127"/>
      <c r="I124" s="127"/>
      <c r="J124" s="328"/>
      <c r="K124" s="51"/>
    </row>
    <row r="125" spans="1:11" s="45" customFormat="1" ht="39.75" customHeight="1" thickBot="1">
      <c r="A125" s="179"/>
      <c r="B125" s="176" t="s">
        <v>121</v>
      </c>
      <c r="C125" s="177"/>
      <c r="D125" s="40">
        <f>D122/2*3</f>
        <v>-4020</v>
      </c>
      <c r="E125" s="126"/>
      <c r="F125" s="127"/>
      <c r="G125" s="127"/>
      <c r="H125" s="127"/>
      <c r="I125" s="127"/>
      <c r="J125" s="328"/>
      <c r="K125" s="51"/>
    </row>
    <row r="126" spans="1:13" ht="60.75" customHeight="1">
      <c r="A126" s="178" t="s">
        <v>222</v>
      </c>
      <c r="B126" s="318" t="s">
        <v>218</v>
      </c>
      <c r="C126" s="319"/>
      <c r="D126" s="41">
        <v>375</v>
      </c>
      <c r="E126" s="126"/>
      <c r="F126" s="127"/>
      <c r="G126" s="127"/>
      <c r="H126" s="127"/>
      <c r="I126" s="127"/>
      <c r="J126" s="328"/>
      <c r="K126" s="51"/>
      <c r="L126" s="1"/>
      <c r="M126" s="1"/>
    </row>
    <row r="127" spans="1:11" s="45" customFormat="1" ht="79.5" customHeight="1">
      <c r="A127" s="179"/>
      <c r="B127" s="174" t="s">
        <v>220</v>
      </c>
      <c r="C127" s="175"/>
      <c r="D127" s="34">
        <f>ROUND((200*1/6/0.65/0.82)+(200*1/12/0.7/0.82)+((5+35+35)/0.7/0.82),-1)*2</f>
        <v>440</v>
      </c>
      <c r="E127" s="126"/>
      <c r="F127" s="127"/>
      <c r="G127" s="127"/>
      <c r="H127" s="127"/>
      <c r="I127" s="127"/>
      <c r="J127" s="328"/>
      <c r="K127" s="51"/>
    </row>
    <row r="128" spans="1:11" s="45" customFormat="1" ht="99" customHeight="1">
      <c r="A128" s="179"/>
      <c r="B128" s="174" t="s">
        <v>281</v>
      </c>
      <c r="C128" s="175"/>
      <c r="D128" s="34">
        <f>ROUND((200*1/6/0.65/0.82)+(200*1/12/0.7/0.82)+((5+35+35)/0.7/0.82),-1)*4</f>
        <v>880</v>
      </c>
      <c r="E128" s="126"/>
      <c r="F128" s="127"/>
      <c r="G128" s="127"/>
      <c r="H128" s="127"/>
      <c r="I128" s="127"/>
      <c r="J128" s="328"/>
      <c r="K128" s="51"/>
    </row>
    <row r="129" spans="1:11" s="45" customFormat="1" ht="81.75" customHeight="1">
      <c r="A129" s="179"/>
      <c r="B129" s="169" t="s">
        <v>282</v>
      </c>
      <c r="C129" s="170"/>
      <c r="D129" s="35">
        <f>ROUND((200*1/12/0.6/0.82)+(200*1/12/0.6/0.82)+((8+3)/0.4/0.82),-1)</f>
        <v>100</v>
      </c>
      <c r="E129" s="126"/>
      <c r="F129" s="127"/>
      <c r="G129" s="127"/>
      <c r="H129" s="127"/>
      <c r="I129" s="127"/>
      <c r="J129" s="328"/>
      <c r="K129" s="51"/>
    </row>
    <row r="130" spans="1:13" ht="24" customHeight="1" thickBot="1">
      <c r="A130" s="179"/>
      <c r="B130" s="202" t="s">
        <v>115</v>
      </c>
      <c r="C130" s="203"/>
      <c r="D130" s="68">
        <v>2300</v>
      </c>
      <c r="E130" s="126"/>
      <c r="F130" s="127"/>
      <c r="G130" s="127"/>
      <c r="H130" s="127"/>
      <c r="I130" s="127"/>
      <c r="J130" s="328"/>
      <c r="K130" s="51"/>
      <c r="L130" s="1"/>
      <c r="M130" s="1"/>
    </row>
    <row r="131" spans="1:11" s="45" customFormat="1" ht="42.75" customHeight="1">
      <c r="A131" s="179"/>
      <c r="B131" s="154" t="s">
        <v>226</v>
      </c>
      <c r="C131" s="155"/>
      <c r="D131" s="17">
        <f>ROUND((200*1/6/0.65/0.82)+(200*1/12/0.7/0.82)+((5+35+35)/0.7/0.82),-1)*8</f>
        <v>1760</v>
      </c>
      <c r="E131" s="126"/>
      <c r="F131" s="127"/>
      <c r="G131" s="127"/>
      <c r="H131" s="127"/>
      <c r="I131" s="127"/>
      <c r="J131" s="328"/>
      <c r="K131" s="51"/>
    </row>
    <row r="132" spans="1:11" s="45" customFormat="1" ht="60" customHeight="1" thickBot="1">
      <c r="A132" s="179"/>
      <c r="B132" s="143" t="s">
        <v>221</v>
      </c>
      <c r="C132" s="144"/>
      <c r="D132" s="39">
        <f>ROUND((274*1/12/0.6/0.8)+((5+86-55)/0.7/0.8+D126),-1)</f>
        <v>490</v>
      </c>
      <c r="E132" s="126"/>
      <c r="F132" s="127"/>
      <c r="G132" s="127"/>
      <c r="H132" s="127"/>
      <c r="I132" s="127"/>
      <c r="J132" s="328"/>
      <c r="K132" s="51"/>
    </row>
    <row r="133" spans="1:13" ht="49.5" customHeight="1">
      <c r="A133" s="178" t="s">
        <v>263</v>
      </c>
      <c r="B133" s="167" t="s">
        <v>261</v>
      </c>
      <c r="C133" s="168"/>
      <c r="D133" s="41">
        <f>D136*2</f>
        <v>540</v>
      </c>
      <c r="E133" s="126"/>
      <c r="F133" s="127"/>
      <c r="G133" s="127"/>
      <c r="H133" s="127"/>
      <c r="I133" s="127"/>
      <c r="J133" s="328"/>
      <c r="K133" s="51"/>
      <c r="L133" s="1"/>
      <c r="M133" s="1"/>
    </row>
    <row r="134" spans="1:13" ht="42" customHeight="1">
      <c r="A134" s="179"/>
      <c r="B134" s="121" t="s">
        <v>260</v>
      </c>
      <c r="C134" s="122"/>
      <c r="D134" s="35">
        <f>D136*2</f>
        <v>540</v>
      </c>
      <c r="E134" s="126"/>
      <c r="F134" s="127"/>
      <c r="G134" s="127"/>
      <c r="H134" s="127"/>
      <c r="I134" s="127"/>
      <c r="J134" s="328"/>
      <c r="K134" s="51"/>
      <c r="L134" s="1"/>
      <c r="M134" s="1"/>
    </row>
    <row r="135" spans="1:11" s="45" customFormat="1" ht="38.25" customHeight="1">
      <c r="A135" s="179"/>
      <c r="B135" s="121" t="s">
        <v>259</v>
      </c>
      <c r="C135" s="122"/>
      <c r="D135" s="35">
        <f>350*2</f>
        <v>700</v>
      </c>
      <c r="E135" s="126"/>
      <c r="F135" s="127"/>
      <c r="G135" s="127"/>
      <c r="H135" s="127"/>
      <c r="I135" s="127"/>
      <c r="J135" s="328"/>
      <c r="K135" s="51"/>
    </row>
    <row r="136" spans="1:13" ht="39" customHeight="1" thickBot="1">
      <c r="A136" s="180"/>
      <c r="B136" s="204" t="s">
        <v>262</v>
      </c>
      <c r="C136" s="205"/>
      <c r="D136" s="68">
        <f>ROUND((220-55)/0.75/0.82,-1)</f>
        <v>270</v>
      </c>
      <c r="E136" s="126"/>
      <c r="F136" s="127"/>
      <c r="G136" s="127"/>
      <c r="H136" s="127"/>
      <c r="I136" s="127"/>
      <c r="J136" s="328"/>
      <c r="K136" s="51"/>
      <c r="L136" s="1"/>
      <c r="M136" s="1"/>
    </row>
    <row r="137" spans="1:13" ht="24" customHeight="1">
      <c r="A137" s="179" t="s">
        <v>55</v>
      </c>
      <c r="B137" s="143" t="s">
        <v>95</v>
      </c>
      <c r="C137" s="144"/>
      <c r="D137" s="39">
        <v>1400</v>
      </c>
      <c r="E137" s="126"/>
      <c r="F137" s="127"/>
      <c r="G137" s="127"/>
      <c r="H137" s="127"/>
      <c r="I137" s="127"/>
      <c r="J137" s="328"/>
      <c r="K137" s="51"/>
      <c r="L137" s="1"/>
      <c r="M137" s="1"/>
    </row>
    <row r="138" spans="1:11" s="45" customFormat="1" ht="24" customHeight="1">
      <c r="A138" s="179"/>
      <c r="B138" s="130" t="s">
        <v>98</v>
      </c>
      <c r="C138" s="131"/>
      <c r="D138" s="39">
        <v>1900</v>
      </c>
      <c r="E138" s="126"/>
      <c r="F138" s="127"/>
      <c r="G138" s="127"/>
      <c r="H138" s="127"/>
      <c r="I138" s="127"/>
      <c r="J138" s="328"/>
      <c r="K138" s="51"/>
    </row>
    <row r="139" spans="1:13" ht="22.5" customHeight="1">
      <c r="A139" s="179"/>
      <c r="B139" s="130" t="s">
        <v>96</v>
      </c>
      <c r="C139" s="131"/>
      <c r="D139" s="39">
        <v>2200</v>
      </c>
      <c r="E139" s="126"/>
      <c r="F139" s="127"/>
      <c r="G139" s="127"/>
      <c r="H139" s="127"/>
      <c r="I139" s="127"/>
      <c r="J139" s="328"/>
      <c r="K139" s="51"/>
      <c r="L139" s="1"/>
      <c r="M139" s="1"/>
    </row>
    <row r="140" spans="1:13" ht="24.75" customHeight="1" thickBot="1">
      <c r="A140" s="180"/>
      <c r="B140" s="139" t="s">
        <v>97</v>
      </c>
      <c r="C140" s="140"/>
      <c r="D140" s="39">
        <v>2500</v>
      </c>
      <c r="E140" s="126"/>
      <c r="F140" s="127"/>
      <c r="G140" s="127"/>
      <c r="H140" s="127"/>
      <c r="I140" s="127"/>
      <c r="J140" s="328"/>
      <c r="K140" s="51"/>
      <c r="L140" s="1"/>
      <c r="M140" s="1"/>
    </row>
    <row r="141" spans="1:13" ht="18.75" customHeight="1">
      <c r="A141" s="178" t="s">
        <v>102</v>
      </c>
      <c r="B141" s="210" t="s">
        <v>69</v>
      </c>
      <c r="C141" s="211"/>
      <c r="D141" s="61">
        <v>3000</v>
      </c>
      <c r="E141" s="126"/>
      <c r="F141" s="127"/>
      <c r="G141" s="127"/>
      <c r="H141" s="127"/>
      <c r="I141" s="127"/>
      <c r="J141" s="328"/>
      <c r="K141" s="51"/>
      <c r="L141" s="1"/>
      <c r="M141" s="1"/>
    </row>
    <row r="142" spans="1:11" s="45" customFormat="1" ht="18.75" customHeight="1">
      <c r="A142" s="179"/>
      <c r="B142" s="169" t="s">
        <v>99</v>
      </c>
      <c r="C142" s="170"/>
      <c r="D142" s="35">
        <f>ROUND(3000/74*87,-2)</f>
        <v>3500</v>
      </c>
      <c r="E142" s="126"/>
      <c r="F142" s="127"/>
      <c r="G142" s="127"/>
      <c r="H142" s="127"/>
      <c r="I142" s="127"/>
      <c r="J142" s="328"/>
      <c r="K142" s="51"/>
    </row>
    <row r="143" spans="1:13" ht="18.75">
      <c r="A143" s="179"/>
      <c r="B143" s="169" t="s">
        <v>70</v>
      </c>
      <c r="C143" s="170"/>
      <c r="D143" s="34">
        <f>ROUND(3000/74*135,-2)</f>
        <v>5500</v>
      </c>
      <c r="E143" s="126"/>
      <c r="F143" s="127"/>
      <c r="G143" s="127"/>
      <c r="H143" s="127"/>
      <c r="I143" s="127"/>
      <c r="J143" s="328"/>
      <c r="K143" s="51"/>
      <c r="L143" s="1"/>
      <c r="M143" s="1"/>
    </row>
    <row r="144" spans="1:11" s="45" customFormat="1" ht="18.75" customHeight="1">
      <c r="A144" s="179"/>
      <c r="B144" s="169" t="s">
        <v>100</v>
      </c>
      <c r="C144" s="170"/>
      <c r="D144" s="35">
        <f>ROUND(3000/74*159,-2)</f>
        <v>6400</v>
      </c>
      <c r="E144" s="126"/>
      <c r="F144" s="127"/>
      <c r="G144" s="127"/>
      <c r="H144" s="127"/>
      <c r="I144" s="127"/>
      <c r="J144" s="328"/>
      <c r="K144" s="51"/>
    </row>
    <row r="145" spans="1:13" ht="18.75">
      <c r="A145" s="179"/>
      <c r="B145" s="169" t="s">
        <v>71</v>
      </c>
      <c r="C145" s="170"/>
      <c r="D145" s="34">
        <f>ROUND(3000/74*155,-2)</f>
        <v>6300</v>
      </c>
      <c r="E145" s="126"/>
      <c r="F145" s="127"/>
      <c r="G145" s="127"/>
      <c r="H145" s="127"/>
      <c r="I145" s="127"/>
      <c r="J145" s="328"/>
      <c r="K145" s="51"/>
      <c r="L145" s="1"/>
      <c r="M145" s="1"/>
    </row>
    <row r="146" spans="1:11" s="45" customFormat="1" ht="18.75">
      <c r="A146" s="179"/>
      <c r="B146" s="169" t="s">
        <v>101</v>
      </c>
      <c r="C146" s="170"/>
      <c r="D146" s="34">
        <f>ROUND(3000/74*181,-2)</f>
        <v>7300</v>
      </c>
      <c r="E146" s="126"/>
      <c r="F146" s="127"/>
      <c r="G146" s="127"/>
      <c r="H146" s="127"/>
      <c r="I146" s="127"/>
      <c r="J146" s="328"/>
      <c r="K146" s="51"/>
    </row>
    <row r="147" spans="1:11" s="45" customFormat="1" ht="18.75">
      <c r="A147" s="179"/>
      <c r="B147" s="169" t="s">
        <v>231</v>
      </c>
      <c r="C147" s="170"/>
      <c r="D147" s="34">
        <f>ROUND(3000/74*171,-2)</f>
        <v>6900</v>
      </c>
      <c r="E147" s="126"/>
      <c r="F147" s="127"/>
      <c r="G147" s="127"/>
      <c r="H147" s="127"/>
      <c r="I147" s="127"/>
      <c r="J147" s="328"/>
      <c r="K147" s="51"/>
    </row>
    <row r="148" spans="1:11" s="45" customFormat="1" ht="18.75">
      <c r="A148" s="179"/>
      <c r="B148" s="169" t="s">
        <v>232</v>
      </c>
      <c r="C148" s="170"/>
      <c r="D148" s="34">
        <f>ROUND(3000/74*201,-2)</f>
        <v>8100</v>
      </c>
      <c r="E148" s="126"/>
      <c r="F148" s="127"/>
      <c r="G148" s="127"/>
      <c r="H148" s="127"/>
      <c r="I148" s="127"/>
      <c r="J148" s="328"/>
      <c r="K148" s="51"/>
    </row>
    <row r="149" spans="1:11" s="45" customFormat="1" ht="18.75" customHeight="1">
      <c r="A149" s="179"/>
      <c r="B149" s="169" t="s">
        <v>210</v>
      </c>
      <c r="C149" s="170"/>
      <c r="D149" s="34">
        <f>ROUND(3000/74*108,-2)</f>
        <v>4400</v>
      </c>
      <c r="E149" s="126"/>
      <c r="F149" s="127"/>
      <c r="G149" s="127"/>
      <c r="H149" s="127"/>
      <c r="I149" s="127"/>
      <c r="J149" s="328"/>
      <c r="K149" s="51"/>
    </row>
    <row r="150" spans="1:11" s="45" customFormat="1" ht="18.75">
      <c r="A150" s="179"/>
      <c r="B150" s="169" t="s">
        <v>207</v>
      </c>
      <c r="C150" s="170"/>
      <c r="D150" s="34">
        <f>ROUND(3000/74*147,-2)</f>
        <v>6000</v>
      </c>
      <c r="E150" s="126"/>
      <c r="F150" s="127"/>
      <c r="G150" s="127"/>
      <c r="H150" s="127"/>
      <c r="I150" s="127"/>
      <c r="J150" s="328"/>
      <c r="K150" s="51"/>
    </row>
    <row r="151" spans="1:11" s="45" customFormat="1" ht="38.25" customHeight="1">
      <c r="A151" s="179"/>
      <c r="B151" s="156" t="s">
        <v>103</v>
      </c>
      <c r="C151" s="157"/>
      <c r="D151" s="37">
        <v>650</v>
      </c>
      <c r="E151" s="126"/>
      <c r="F151" s="127"/>
      <c r="G151" s="127"/>
      <c r="H151" s="127"/>
      <c r="I151" s="127"/>
      <c r="J151" s="328"/>
      <c r="K151" s="51"/>
    </row>
    <row r="152" spans="1:11" s="45" customFormat="1" ht="23.25" customHeight="1">
      <c r="A152" s="179"/>
      <c r="B152" s="156" t="s">
        <v>294</v>
      </c>
      <c r="C152" s="157"/>
      <c r="D152" s="37">
        <v>1000</v>
      </c>
      <c r="E152" s="126"/>
      <c r="F152" s="127"/>
      <c r="G152" s="127"/>
      <c r="H152" s="127"/>
      <c r="I152" s="127"/>
      <c r="J152" s="328"/>
      <c r="K152" s="51"/>
    </row>
    <row r="153" spans="1:11" s="45" customFormat="1" ht="81" customHeight="1">
      <c r="A153" s="179"/>
      <c r="B153" s="156" t="s">
        <v>219</v>
      </c>
      <c r="C153" s="157"/>
      <c r="D153" s="37">
        <v>1000</v>
      </c>
      <c r="E153" s="126"/>
      <c r="F153" s="127"/>
      <c r="G153" s="127"/>
      <c r="H153" s="127"/>
      <c r="I153" s="127"/>
      <c r="J153" s="328"/>
      <c r="K153" s="51"/>
    </row>
    <row r="154" spans="1:11" s="45" customFormat="1" ht="21" customHeight="1">
      <c r="A154" s="179"/>
      <c r="B154" s="169" t="s">
        <v>178</v>
      </c>
      <c r="C154" s="170"/>
      <c r="D154" s="34">
        <f>ROUND(3000/74*158,-2)-ROUND(((275+25)/0.7/0.82)+(200*3/0.7/0.82),-1)</f>
        <v>4830</v>
      </c>
      <c r="E154" s="126"/>
      <c r="F154" s="127"/>
      <c r="G154" s="127"/>
      <c r="H154" s="127"/>
      <c r="I154" s="127"/>
      <c r="J154" s="328"/>
      <c r="K154" s="51"/>
    </row>
    <row r="155" spans="1:13" ht="24.75" customHeight="1" thickBot="1">
      <c r="A155" s="180"/>
      <c r="B155" s="206" t="s">
        <v>179</v>
      </c>
      <c r="C155" s="207"/>
      <c r="D155" s="36">
        <f>ROUND(3000/74*176.4,-2)-ROUND(((275+25)/0.7/0.82)+(200*3/0.7/0.82),-1)</f>
        <v>5630</v>
      </c>
      <c r="E155" s="126"/>
      <c r="F155" s="127"/>
      <c r="G155" s="127"/>
      <c r="H155" s="127"/>
      <c r="I155" s="127"/>
      <c r="J155" s="328"/>
      <c r="K155" s="51"/>
      <c r="L155" s="1"/>
      <c r="M155" s="1"/>
    </row>
    <row r="156" spans="1:11" s="45" customFormat="1" ht="21.75" customHeight="1">
      <c r="A156" s="215" t="s">
        <v>185</v>
      </c>
      <c r="B156" s="154" t="s">
        <v>39</v>
      </c>
      <c r="C156" s="155"/>
      <c r="D156" s="39">
        <v>-1300</v>
      </c>
      <c r="E156" s="126"/>
      <c r="F156" s="127"/>
      <c r="G156" s="127"/>
      <c r="H156" s="127"/>
      <c r="I156" s="127"/>
      <c r="J156" s="328"/>
      <c r="K156" s="51"/>
    </row>
    <row r="157" spans="1:11" s="45" customFormat="1" ht="19.5" customHeight="1">
      <c r="A157" s="322"/>
      <c r="B157" s="156" t="s">
        <v>40</v>
      </c>
      <c r="C157" s="157"/>
      <c r="D157" s="37">
        <f>ROUND(300/0.75/0.82,-1)</f>
        <v>490</v>
      </c>
      <c r="E157" s="126"/>
      <c r="F157" s="127"/>
      <c r="G157" s="127"/>
      <c r="H157" s="127"/>
      <c r="I157" s="127"/>
      <c r="J157" s="328"/>
      <c r="K157" s="51"/>
    </row>
    <row r="158" spans="1:11" s="45" customFormat="1" ht="21.75" customHeight="1">
      <c r="A158" s="322"/>
      <c r="B158" s="156" t="s">
        <v>41</v>
      </c>
      <c r="C158" s="157"/>
      <c r="D158" s="37">
        <f>ROUND(800/0.75/0.82,-1)</f>
        <v>1300</v>
      </c>
      <c r="E158" s="126"/>
      <c r="F158" s="127"/>
      <c r="G158" s="127"/>
      <c r="H158" s="127"/>
      <c r="I158" s="127"/>
      <c r="J158" s="328"/>
      <c r="K158" s="51"/>
    </row>
    <row r="159" spans="1:11" s="45" customFormat="1" ht="21" customHeight="1" thickBot="1">
      <c r="A159" s="322"/>
      <c r="B159" s="156" t="s">
        <v>42</v>
      </c>
      <c r="C159" s="157"/>
      <c r="D159" s="37">
        <f>-(ROUND(3170/0.75/0.8,-1))</f>
        <v>-5280</v>
      </c>
      <c r="E159" s="126"/>
      <c r="F159" s="127"/>
      <c r="G159" s="127"/>
      <c r="H159" s="127"/>
      <c r="I159" s="127"/>
      <c r="J159" s="328"/>
      <c r="K159" s="51"/>
    </row>
    <row r="160" spans="1:13" ht="23.25" customHeight="1">
      <c r="A160" s="178" t="s">
        <v>253</v>
      </c>
      <c r="B160" s="150" t="s">
        <v>188</v>
      </c>
      <c r="C160" s="151"/>
      <c r="D160" s="17">
        <f>ROUND(((57+2800+350+67)/0.8/0.82)+(200/0.75/0.82),-1)</f>
        <v>5320</v>
      </c>
      <c r="E160" s="126"/>
      <c r="F160" s="127"/>
      <c r="G160" s="127"/>
      <c r="H160" s="127"/>
      <c r="I160" s="127"/>
      <c r="J160" s="328"/>
      <c r="K160" s="51"/>
      <c r="L160" s="1"/>
      <c r="M160" s="1"/>
    </row>
    <row r="161" spans="1:13" ht="21.75" customHeight="1">
      <c r="A161" s="179"/>
      <c r="B161" s="130" t="s">
        <v>189</v>
      </c>
      <c r="C161" s="131"/>
      <c r="D161" s="39">
        <f>ROUND(2800/0.8/0.82,-1)</f>
        <v>4270</v>
      </c>
      <c r="E161" s="126"/>
      <c r="F161" s="127"/>
      <c r="G161" s="127"/>
      <c r="H161" s="127"/>
      <c r="I161" s="127"/>
      <c r="J161" s="328"/>
      <c r="K161" s="51"/>
      <c r="L161" s="1"/>
      <c r="M161" s="1"/>
    </row>
    <row r="162" spans="1:13" ht="23.25" customHeight="1">
      <c r="A162" s="179"/>
      <c r="B162" s="130" t="s">
        <v>186</v>
      </c>
      <c r="C162" s="131"/>
      <c r="D162" s="39">
        <f>ROUND(((57+3100+350+67)/0.75/0.82)+(200/0.75/0.82),-1)</f>
        <v>6140</v>
      </c>
      <c r="E162" s="126"/>
      <c r="F162" s="127"/>
      <c r="G162" s="127"/>
      <c r="H162" s="127"/>
      <c r="I162" s="127"/>
      <c r="J162" s="328"/>
      <c r="K162" s="51"/>
      <c r="L162" s="1"/>
      <c r="M162" s="1"/>
    </row>
    <row r="163" spans="1:11" s="45" customFormat="1" ht="36" customHeight="1">
      <c r="A163" s="179"/>
      <c r="B163" s="130" t="s">
        <v>187</v>
      </c>
      <c r="C163" s="131"/>
      <c r="D163" s="37">
        <f>ROUND(3100/0.8/0.82,-1)</f>
        <v>4730</v>
      </c>
      <c r="E163" s="126"/>
      <c r="F163" s="127"/>
      <c r="G163" s="127"/>
      <c r="H163" s="127"/>
      <c r="I163" s="127"/>
      <c r="J163" s="328"/>
      <c r="K163" s="51"/>
    </row>
    <row r="164" spans="1:11" s="45" customFormat="1" ht="23.25" customHeight="1">
      <c r="A164" s="179"/>
      <c r="B164" s="130" t="s">
        <v>254</v>
      </c>
      <c r="C164" s="131"/>
      <c r="D164" s="39">
        <f>D165+(D162-D163)</f>
        <v>36410</v>
      </c>
      <c r="E164" s="126"/>
      <c r="F164" s="127"/>
      <c r="G164" s="127"/>
      <c r="H164" s="127"/>
      <c r="I164" s="127"/>
      <c r="J164" s="328"/>
      <c r="K164" s="51"/>
    </row>
    <row r="165" spans="1:11" s="45" customFormat="1" ht="36" customHeight="1">
      <c r="A165" s="179"/>
      <c r="B165" s="130" t="s">
        <v>252</v>
      </c>
      <c r="C165" s="131"/>
      <c r="D165" s="37">
        <v>35000</v>
      </c>
      <c r="E165" s="126"/>
      <c r="F165" s="127"/>
      <c r="G165" s="127"/>
      <c r="H165" s="127"/>
      <c r="I165" s="127"/>
      <c r="J165" s="328"/>
      <c r="K165" s="51"/>
    </row>
    <row r="166" spans="1:13" ht="39" customHeight="1" thickBot="1">
      <c r="A166" s="180"/>
      <c r="B166" s="139" t="s">
        <v>65</v>
      </c>
      <c r="C166" s="140"/>
      <c r="D166" s="30">
        <v>500</v>
      </c>
      <c r="E166" s="126"/>
      <c r="F166" s="127"/>
      <c r="G166" s="127"/>
      <c r="H166" s="127"/>
      <c r="I166" s="127"/>
      <c r="J166" s="328"/>
      <c r="K166" s="51"/>
      <c r="L166" s="1"/>
      <c r="M166" s="1"/>
    </row>
    <row r="167" spans="1:13" ht="38.25" customHeight="1">
      <c r="A167" s="178" t="s">
        <v>128</v>
      </c>
      <c r="B167" s="121" t="s">
        <v>118</v>
      </c>
      <c r="C167" s="122"/>
      <c r="D167" s="35">
        <v>550</v>
      </c>
      <c r="E167" s="126"/>
      <c r="F167" s="127"/>
      <c r="G167" s="127"/>
      <c r="H167" s="127"/>
      <c r="I167" s="127"/>
      <c r="J167" s="328"/>
      <c r="K167" s="51"/>
      <c r="L167" s="1"/>
      <c r="M167" s="1"/>
    </row>
    <row r="168" spans="1:11" s="45" customFormat="1" ht="23.25" customHeight="1">
      <c r="A168" s="179"/>
      <c r="B168" s="121" t="s">
        <v>324</v>
      </c>
      <c r="C168" s="122"/>
      <c r="D168" s="35">
        <f>ROUND(403.5/0.7/0.82,-1)</f>
        <v>700</v>
      </c>
      <c r="E168" s="126"/>
      <c r="F168" s="127"/>
      <c r="G168" s="127"/>
      <c r="H168" s="127"/>
      <c r="I168" s="127"/>
      <c r="J168" s="328"/>
      <c r="K168" s="51"/>
    </row>
    <row r="169" spans="1:13" ht="21" customHeight="1" thickBot="1">
      <c r="A169" s="179"/>
      <c r="B169" s="204" t="s">
        <v>19</v>
      </c>
      <c r="C169" s="205"/>
      <c r="D169" s="63">
        <f>ROUND(571/2/0.7/0.82,-1)</f>
        <v>500</v>
      </c>
      <c r="E169" s="126"/>
      <c r="F169" s="127"/>
      <c r="G169" s="127"/>
      <c r="H169" s="127"/>
      <c r="I169" s="127"/>
      <c r="J169" s="328"/>
      <c r="K169" s="51"/>
      <c r="L169" s="1"/>
      <c r="M169" s="1"/>
    </row>
    <row r="170" spans="1:13" ht="36" customHeight="1">
      <c r="A170" s="179"/>
      <c r="B170" s="150" t="s">
        <v>322</v>
      </c>
      <c r="C170" s="151"/>
      <c r="D170" s="17">
        <f>ROUND(2813/0.7/0.84+(D169*2),-1)</f>
        <v>5780</v>
      </c>
      <c r="E170" s="126"/>
      <c r="F170" s="127"/>
      <c r="G170" s="127"/>
      <c r="H170" s="127"/>
      <c r="I170" s="127"/>
      <c r="J170" s="328"/>
      <c r="K170" s="51"/>
      <c r="L170" s="1"/>
      <c r="M170" s="1"/>
    </row>
    <row r="171" spans="1:13" ht="40.5" customHeight="1" thickBot="1">
      <c r="A171" s="179"/>
      <c r="B171" s="139" t="s">
        <v>323</v>
      </c>
      <c r="C171" s="140"/>
      <c r="D171" s="30">
        <v>300</v>
      </c>
      <c r="E171" s="126"/>
      <c r="F171" s="127"/>
      <c r="G171" s="127"/>
      <c r="H171" s="127"/>
      <c r="I171" s="127"/>
      <c r="J171" s="328"/>
      <c r="K171" s="51"/>
      <c r="L171" s="1"/>
      <c r="M171" s="1"/>
    </row>
    <row r="172" spans="1:13" ht="37.5" customHeight="1">
      <c r="A172" s="179"/>
      <c r="B172" s="167" t="s">
        <v>288</v>
      </c>
      <c r="C172" s="168"/>
      <c r="D172" s="62">
        <f>ROUND(4028/0.7/0.84+(D169*3),-1)</f>
        <v>8350</v>
      </c>
      <c r="E172" s="126"/>
      <c r="F172" s="127"/>
      <c r="G172" s="127"/>
      <c r="H172" s="127"/>
      <c r="I172" s="127"/>
      <c r="J172" s="328"/>
      <c r="K172" s="51"/>
      <c r="L172" s="1"/>
      <c r="M172" s="1"/>
    </row>
    <row r="173" spans="1:13" ht="38.25" customHeight="1">
      <c r="A173" s="179"/>
      <c r="B173" s="121" t="s">
        <v>289</v>
      </c>
      <c r="C173" s="122"/>
      <c r="D173" s="35">
        <f>D170*2</f>
        <v>11560</v>
      </c>
      <c r="E173" s="126"/>
      <c r="F173" s="127"/>
      <c r="G173" s="127"/>
      <c r="H173" s="127"/>
      <c r="I173" s="127"/>
      <c r="J173" s="328"/>
      <c r="K173" s="51"/>
      <c r="L173" s="1"/>
      <c r="M173" s="1"/>
    </row>
    <row r="174" spans="1:13" ht="38.25" customHeight="1">
      <c r="A174" s="179"/>
      <c r="B174" s="130" t="s">
        <v>67</v>
      </c>
      <c r="C174" s="131"/>
      <c r="D174" s="37">
        <v>400</v>
      </c>
      <c r="E174" s="126"/>
      <c r="F174" s="127"/>
      <c r="G174" s="127"/>
      <c r="H174" s="127"/>
      <c r="I174" s="127"/>
      <c r="J174" s="328"/>
      <c r="K174" s="51"/>
      <c r="L174" s="1"/>
      <c r="M174" s="1"/>
    </row>
    <row r="175" spans="1:11" s="45" customFormat="1" ht="36" customHeight="1" thickBot="1">
      <c r="A175" s="179"/>
      <c r="B175" s="165" t="s">
        <v>193</v>
      </c>
      <c r="C175" s="166"/>
      <c r="D175" s="40">
        <v>500</v>
      </c>
      <c r="E175" s="126"/>
      <c r="F175" s="127"/>
      <c r="G175" s="127"/>
      <c r="H175" s="127"/>
      <c r="I175" s="127"/>
      <c r="J175" s="328"/>
      <c r="K175" s="51"/>
    </row>
    <row r="176" spans="1:11" ht="39" customHeight="1">
      <c r="A176" s="179"/>
      <c r="B176" s="167" t="s">
        <v>93</v>
      </c>
      <c r="C176" s="168"/>
      <c r="D176" s="41">
        <f>ROUND(3350/0.7/0.84+(D169*2),-1)</f>
        <v>6700</v>
      </c>
      <c r="E176" s="126"/>
      <c r="F176" s="127"/>
      <c r="G176" s="127"/>
      <c r="H176" s="127"/>
      <c r="I176" s="127"/>
      <c r="J176" s="328"/>
      <c r="K176" s="51"/>
    </row>
    <row r="177" spans="1:11" s="45" customFormat="1" ht="38.25" customHeight="1">
      <c r="A177" s="179"/>
      <c r="B177" s="121" t="s">
        <v>94</v>
      </c>
      <c r="C177" s="122"/>
      <c r="D177" s="35">
        <f>ROUND(5475/0.7/0.84+(D167*3),-1)</f>
        <v>10960</v>
      </c>
      <c r="E177" s="126"/>
      <c r="F177" s="127"/>
      <c r="G177" s="127"/>
      <c r="H177" s="127"/>
      <c r="I177" s="127"/>
      <c r="J177" s="328"/>
      <c r="K177" s="51"/>
    </row>
    <row r="178" spans="1:11" ht="38.25" customHeight="1" thickBot="1">
      <c r="A178" s="179"/>
      <c r="B178" s="204" t="s">
        <v>310</v>
      </c>
      <c r="C178" s="205"/>
      <c r="D178" s="36">
        <f>D176*2</f>
        <v>13400</v>
      </c>
      <c r="E178" s="126"/>
      <c r="F178" s="127"/>
      <c r="G178" s="127"/>
      <c r="H178" s="127"/>
      <c r="I178" s="127"/>
      <c r="J178" s="328"/>
      <c r="K178" s="51"/>
    </row>
    <row r="179" spans="1:11" s="45" customFormat="1" ht="38.25" customHeight="1">
      <c r="A179" s="179"/>
      <c r="B179" s="143" t="s">
        <v>191</v>
      </c>
      <c r="C179" s="144"/>
      <c r="D179" s="17">
        <f>ROUND(1350/0.67/0.84,-1)</f>
        <v>2400</v>
      </c>
      <c r="E179" s="126"/>
      <c r="F179" s="127"/>
      <c r="G179" s="127"/>
      <c r="H179" s="127"/>
      <c r="I179" s="127"/>
      <c r="J179" s="328"/>
      <c r="K179" s="51"/>
    </row>
    <row r="180" spans="1:11" s="45" customFormat="1" ht="65.25" customHeight="1" thickBot="1">
      <c r="A180" s="179"/>
      <c r="B180" s="139" t="s">
        <v>192</v>
      </c>
      <c r="C180" s="140"/>
      <c r="D180" s="30">
        <f>ROUND(1450/0.67/0.84,-1)</f>
        <v>2580</v>
      </c>
      <c r="E180" s="126"/>
      <c r="F180" s="127"/>
      <c r="G180" s="127"/>
      <c r="H180" s="127"/>
      <c r="I180" s="127"/>
      <c r="J180" s="328"/>
      <c r="K180" s="51"/>
    </row>
    <row r="181" spans="1:11" ht="36.75" customHeight="1">
      <c r="A181" s="179"/>
      <c r="B181" s="161" t="s">
        <v>129</v>
      </c>
      <c r="C181" s="162"/>
      <c r="D181" s="61">
        <f>ROUND(1901/0.7/0.82,-1)</f>
        <v>3310</v>
      </c>
      <c r="E181" s="126"/>
      <c r="F181" s="127"/>
      <c r="G181" s="127"/>
      <c r="H181" s="127"/>
      <c r="I181" s="127"/>
      <c r="J181" s="328"/>
      <c r="K181" s="51"/>
    </row>
    <row r="182" spans="1:11" s="45" customFormat="1" ht="33.75" customHeight="1" thickBot="1">
      <c r="A182" s="179"/>
      <c r="B182" s="204" t="s">
        <v>130</v>
      </c>
      <c r="C182" s="205"/>
      <c r="D182" s="68">
        <f>D181-D258*2-D263*2-D272*2</f>
        <v>2560</v>
      </c>
      <c r="E182" s="126"/>
      <c r="F182" s="127"/>
      <c r="G182" s="127"/>
      <c r="H182" s="127"/>
      <c r="I182" s="127"/>
      <c r="J182" s="328"/>
      <c r="K182" s="51"/>
    </row>
    <row r="183" spans="1:11" ht="20.25" customHeight="1">
      <c r="A183" s="179"/>
      <c r="B183" s="143" t="s">
        <v>176</v>
      </c>
      <c r="C183" s="144"/>
      <c r="D183" s="39">
        <v>4000</v>
      </c>
      <c r="E183" s="126"/>
      <c r="F183" s="127"/>
      <c r="G183" s="127"/>
      <c r="H183" s="127"/>
      <c r="I183" s="127"/>
      <c r="J183" s="328"/>
      <c r="K183" s="51"/>
    </row>
    <row r="184" spans="1:11" ht="19.5" customHeight="1" thickBot="1">
      <c r="A184" s="180"/>
      <c r="B184" s="139" t="s">
        <v>175</v>
      </c>
      <c r="C184" s="140"/>
      <c r="D184" s="30">
        <v>5000</v>
      </c>
      <c r="E184" s="126"/>
      <c r="F184" s="127"/>
      <c r="G184" s="127"/>
      <c r="H184" s="127"/>
      <c r="I184" s="127"/>
      <c r="J184" s="328"/>
      <c r="K184" s="51"/>
    </row>
    <row r="185" spans="1:11" s="45" customFormat="1" ht="37.5" customHeight="1" thickBot="1">
      <c r="A185" s="158" t="s">
        <v>48</v>
      </c>
      <c r="B185" s="159"/>
      <c r="C185" s="160"/>
      <c r="D185" s="342" t="s">
        <v>4</v>
      </c>
      <c r="E185" s="333"/>
      <c r="F185" s="127"/>
      <c r="G185" s="127"/>
      <c r="H185" s="127"/>
      <c r="I185" s="127"/>
      <c r="J185" s="127"/>
      <c r="K185" s="51"/>
    </row>
    <row r="186" spans="1:11" s="2" customFormat="1" ht="55.5" customHeight="1">
      <c r="A186" s="178" t="s">
        <v>148</v>
      </c>
      <c r="B186" s="183" t="s">
        <v>236</v>
      </c>
      <c r="C186" s="184"/>
      <c r="D186" s="343">
        <f>ROUND(4950/0.7,-2)+D194</f>
        <v>8620</v>
      </c>
      <c r="E186" s="334"/>
      <c r="F186" s="127"/>
      <c r="G186" s="127"/>
      <c r="H186" s="127"/>
      <c r="I186" s="127"/>
      <c r="J186" s="127"/>
      <c r="K186" s="51"/>
    </row>
    <row r="187" spans="1:11" s="45" customFormat="1" ht="60" customHeight="1">
      <c r="A187" s="179"/>
      <c r="B187" s="128" t="s">
        <v>241</v>
      </c>
      <c r="C187" s="129"/>
      <c r="D187" s="344">
        <f>ROUND(3350/0.7,-2)+D194</f>
        <v>6320</v>
      </c>
      <c r="E187" s="335"/>
      <c r="F187" s="127"/>
      <c r="G187" s="127"/>
      <c r="H187" s="127"/>
      <c r="I187" s="127"/>
      <c r="J187" s="127"/>
      <c r="K187" s="51"/>
    </row>
    <row r="188" spans="1:11" s="45" customFormat="1" ht="72.75" customHeight="1">
      <c r="A188" s="179"/>
      <c r="B188" s="143" t="s">
        <v>240</v>
      </c>
      <c r="C188" s="144"/>
      <c r="D188" s="345">
        <f>ROUND(5265/0.7,-1)</f>
        <v>7520</v>
      </c>
      <c r="E188" s="336"/>
      <c r="F188" s="127"/>
      <c r="G188" s="127"/>
      <c r="H188" s="127"/>
      <c r="I188" s="127"/>
      <c r="J188" s="127"/>
      <c r="K188" s="51"/>
    </row>
    <row r="189" spans="1:12" s="45" customFormat="1" ht="74.25" customHeight="1">
      <c r="A189" s="179"/>
      <c r="B189" s="137" t="s">
        <v>292</v>
      </c>
      <c r="C189" s="138"/>
      <c r="D189" s="346">
        <f>D190+ROUND(3*200/0.6,-1)+200+D194</f>
        <v>6220</v>
      </c>
      <c r="E189" s="335"/>
      <c r="F189" s="127"/>
      <c r="G189" s="127"/>
      <c r="H189" s="127"/>
      <c r="I189" s="127"/>
      <c r="J189" s="127"/>
      <c r="K189" s="51">
        <f>D189</f>
        <v>6220</v>
      </c>
      <c r="L189" s="74"/>
    </row>
    <row r="190" spans="1:11" s="45" customFormat="1" ht="72.75" customHeight="1">
      <c r="A190" s="179"/>
      <c r="B190" s="135" t="s">
        <v>291</v>
      </c>
      <c r="C190" s="136"/>
      <c r="D190" s="347">
        <f>ROUND(2460/0.7,-2)</f>
        <v>3500</v>
      </c>
      <c r="E190" s="336"/>
      <c r="F190" s="127"/>
      <c r="G190" s="127"/>
      <c r="H190" s="127"/>
      <c r="I190" s="127"/>
      <c r="J190" s="127"/>
      <c r="K190" s="51"/>
    </row>
    <row r="191" spans="1:11" s="2" customFormat="1" ht="60" customHeight="1" thickBot="1">
      <c r="A191" s="179"/>
      <c r="B191" s="165" t="s">
        <v>307</v>
      </c>
      <c r="C191" s="166"/>
      <c r="D191" s="348">
        <v>500</v>
      </c>
      <c r="E191" s="334"/>
      <c r="F191" s="127"/>
      <c r="G191" s="127"/>
      <c r="H191" s="127"/>
      <c r="I191" s="127"/>
      <c r="J191" s="127"/>
      <c r="K191" s="52">
        <f>D191</f>
        <v>500</v>
      </c>
    </row>
    <row r="192" spans="1:11" s="45" customFormat="1" ht="69" customHeight="1">
      <c r="A192" s="179"/>
      <c r="B192" s="163" t="s">
        <v>158</v>
      </c>
      <c r="C192" s="164"/>
      <c r="D192" s="346">
        <f>ROUND(4815/0.7,-2)</f>
        <v>6900</v>
      </c>
      <c r="E192" s="335"/>
      <c r="F192" s="127"/>
      <c r="G192" s="127"/>
      <c r="H192" s="127"/>
      <c r="I192" s="127"/>
      <c r="J192" s="127"/>
      <c r="K192" s="51"/>
    </row>
    <row r="193" spans="1:11" s="45" customFormat="1" ht="48.75" customHeight="1">
      <c r="A193" s="179"/>
      <c r="B193" s="135" t="s">
        <v>159</v>
      </c>
      <c r="C193" s="136"/>
      <c r="D193" s="347">
        <f>ROUND(3550/0.7,-2)</f>
        <v>5100</v>
      </c>
      <c r="E193" s="336"/>
      <c r="F193" s="127"/>
      <c r="G193" s="127"/>
      <c r="H193" s="127"/>
      <c r="I193" s="127"/>
      <c r="J193" s="127"/>
      <c r="K193" s="51"/>
    </row>
    <row r="194" spans="1:11" s="45" customFormat="1" ht="20.25" customHeight="1">
      <c r="A194" s="179"/>
      <c r="B194" s="143" t="s">
        <v>174</v>
      </c>
      <c r="C194" s="144"/>
      <c r="D194" s="345">
        <f>ROUND(1065/0.7,-1)</f>
        <v>1520</v>
      </c>
      <c r="E194" s="336"/>
      <c r="F194" s="127"/>
      <c r="G194" s="127"/>
      <c r="H194" s="127"/>
      <c r="I194" s="127"/>
      <c r="J194" s="127"/>
      <c r="K194" s="51"/>
    </row>
    <row r="195" spans="1:11" s="45" customFormat="1" ht="70.5" customHeight="1">
      <c r="A195" s="179"/>
      <c r="B195" s="141" t="s">
        <v>235</v>
      </c>
      <c r="C195" s="142"/>
      <c r="D195" s="75">
        <f>ROUND(6220/0.7,-1)</f>
        <v>8890</v>
      </c>
      <c r="E195" s="337"/>
      <c r="F195" s="127"/>
      <c r="G195" s="127"/>
      <c r="H195" s="127"/>
      <c r="I195" s="127"/>
      <c r="J195" s="127"/>
      <c r="K195" s="51"/>
    </row>
    <row r="196" spans="1:11" s="45" customFormat="1" ht="54" customHeight="1">
      <c r="A196" s="179"/>
      <c r="B196" s="135" t="s">
        <v>173</v>
      </c>
      <c r="C196" s="136"/>
      <c r="D196" s="347">
        <f>ROUND(600/0.7,-1)</f>
        <v>860</v>
      </c>
      <c r="E196" s="336"/>
      <c r="F196" s="127"/>
      <c r="G196" s="127"/>
      <c r="H196" s="127"/>
      <c r="I196" s="127"/>
      <c r="J196" s="127"/>
      <c r="K196" s="51"/>
    </row>
    <row r="197" spans="1:11" s="2" customFormat="1" ht="72.75" customHeight="1">
      <c r="A197" s="179"/>
      <c r="B197" s="130" t="s">
        <v>177</v>
      </c>
      <c r="C197" s="131"/>
      <c r="D197" s="349">
        <v>380</v>
      </c>
      <c r="E197" s="334"/>
      <c r="F197" s="127"/>
      <c r="G197" s="127"/>
      <c r="H197" s="127"/>
      <c r="I197" s="127"/>
      <c r="J197" s="127"/>
      <c r="K197" s="52"/>
    </row>
    <row r="198" spans="1:11" s="45" customFormat="1" ht="24.75" customHeight="1">
      <c r="A198" s="179"/>
      <c r="B198" s="143" t="s">
        <v>237</v>
      </c>
      <c r="C198" s="144"/>
      <c r="D198" s="345">
        <v>2500</v>
      </c>
      <c r="E198" s="336"/>
      <c r="F198" s="127"/>
      <c r="G198" s="127"/>
      <c r="H198" s="127"/>
      <c r="I198" s="127"/>
      <c r="J198" s="127"/>
      <c r="K198" s="51"/>
    </row>
    <row r="199" spans="1:11" s="45" customFormat="1" ht="37.5" customHeight="1">
      <c r="A199" s="179"/>
      <c r="B199" s="143" t="s">
        <v>239</v>
      </c>
      <c r="C199" s="144"/>
      <c r="D199" s="345">
        <v>2350</v>
      </c>
      <c r="E199" s="336"/>
      <c r="F199" s="127"/>
      <c r="G199" s="127"/>
      <c r="H199" s="127"/>
      <c r="I199" s="127"/>
      <c r="J199" s="127"/>
      <c r="K199" s="51"/>
    </row>
    <row r="200" spans="1:11" s="45" customFormat="1" ht="21" customHeight="1">
      <c r="A200" s="179"/>
      <c r="B200" s="130" t="s">
        <v>238</v>
      </c>
      <c r="C200" s="131"/>
      <c r="D200" s="347">
        <v>3500</v>
      </c>
      <c r="E200" s="336"/>
      <c r="F200" s="127"/>
      <c r="G200" s="127"/>
      <c r="H200" s="127"/>
      <c r="I200" s="127"/>
      <c r="J200" s="127"/>
      <c r="K200" s="51"/>
    </row>
    <row r="201" spans="1:11" s="45" customFormat="1" ht="71.25" customHeight="1" thickBot="1">
      <c r="A201" s="180"/>
      <c r="B201" s="181" t="s">
        <v>283</v>
      </c>
      <c r="C201" s="182"/>
      <c r="D201" s="98">
        <f>ROUND(6500/0.7,-1)</f>
        <v>9290</v>
      </c>
      <c r="E201" s="338"/>
      <c r="F201" s="127"/>
      <c r="G201" s="127"/>
      <c r="H201" s="127"/>
      <c r="I201" s="127"/>
      <c r="J201" s="127"/>
      <c r="K201" s="51"/>
    </row>
    <row r="202" spans="1:11" s="45" customFormat="1" ht="42.75" customHeight="1" thickBot="1">
      <c r="A202" s="147" t="s">
        <v>309</v>
      </c>
      <c r="B202" s="148"/>
      <c r="C202" s="149"/>
      <c r="D202" s="350">
        <v>35800</v>
      </c>
      <c r="E202" s="339"/>
      <c r="F202" s="127"/>
      <c r="G202" s="127"/>
      <c r="H202" s="127"/>
      <c r="I202" s="127"/>
      <c r="J202" s="127"/>
      <c r="K202" s="51"/>
    </row>
    <row r="203" spans="1:11" s="2" customFormat="1" ht="61.5" customHeight="1">
      <c r="A203" s="185" t="s">
        <v>153</v>
      </c>
      <c r="B203" s="150" t="s">
        <v>195</v>
      </c>
      <c r="C203" s="151"/>
      <c r="D203" s="351">
        <v>17600</v>
      </c>
      <c r="E203" s="334"/>
      <c r="F203" s="127"/>
      <c r="G203" s="127"/>
      <c r="H203" s="127"/>
      <c r="I203" s="127"/>
      <c r="J203" s="127"/>
      <c r="K203" s="52"/>
    </row>
    <row r="204" spans="1:11" s="2" customFormat="1" ht="41.25" customHeight="1">
      <c r="A204" s="186"/>
      <c r="B204" s="130" t="s">
        <v>151</v>
      </c>
      <c r="C204" s="131"/>
      <c r="D204" s="349">
        <v>2100</v>
      </c>
      <c r="E204" s="334"/>
      <c r="F204" s="127"/>
      <c r="G204" s="127"/>
      <c r="H204" s="127"/>
      <c r="I204" s="127"/>
      <c r="J204" s="127"/>
      <c r="K204" s="52"/>
    </row>
    <row r="205" spans="1:11" s="2" customFormat="1" ht="56.25" customHeight="1">
      <c r="A205" s="186"/>
      <c r="B205" s="130" t="s">
        <v>293</v>
      </c>
      <c r="C205" s="131"/>
      <c r="D205" s="349">
        <v>15000</v>
      </c>
      <c r="E205" s="334"/>
      <c r="F205" s="127"/>
      <c r="G205" s="127"/>
      <c r="H205" s="127"/>
      <c r="I205" s="127"/>
      <c r="J205" s="127"/>
      <c r="K205" s="52">
        <f>D205</f>
        <v>15000</v>
      </c>
    </row>
    <row r="206" spans="1:11" s="2" customFormat="1" ht="23.25" customHeight="1">
      <c r="A206" s="186"/>
      <c r="B206" s="145" t="s">
        <v>284</v>
      </c>
      <c r="C206" s="146"/>
      <c r="D206" s="352">
        <v>1700</v>
      </c>
      <c r="E206" s="334"/>
      <c r="F206" s="127"/>
      <c r="G206" s="127"/>
      <c r="H206" s="127"/>
      <c r="I206" s="127"/>
      <c r="J206" s="127"/>
      <c r="K206" s="51"/>
    </row>
    <row r="207" spans="1:11" s="2" customFormat="1" ht="23.25" customHeight="1" thickBot="1">
      <c r="A207" s="186"/>
      <c r="B207" s="139" t="s">
        <v>56</v>
      </c>
      <c r="C207" s="140"/>
      <c r="D207" s="353">
        <v>620</v>
      </c>
      <c r="E207" s="334"/>
      <c r="F207" s="127"/>
      <c r="G207" s="127"/>
      <c r="H207" s="127"/>
      <c r="I207" s="127"/>
      <c r="J207" s="127"/>
      <c r="K207" s="51"/>
    </row>
    <row r="208" spans="1:11" s="2" customFormat="1" ht="39" customHeight="1">
      <c r="A208" s="186"/>
      <c r="B208" s="143" t="s">
        <v>152</v>
      </c>
      <c r="C208" s="144"/>
      <c r="D208" s="354">
        <v>1890</v>
      </c>
      <c r="E208" s="334"/>
      <c r="F208" s="127"/>
      <c r="G208" s="127"/>
      <c r="H208" s="127"/>
      <c r="I208" s="127"/>
      <c r="J208" s="127"/>
      <c r="K208" s="51"/>
    </row>
    <row r="209" spans="1:11" s="2" customFormat="1" ht="39" customHeight="1" thickBot="1">
      <c r="A209" s="186"/>
      <c r="B209" s="130" t="s">
        <v>91</v>
      </c>
      <c r="C209" s="131"/>
      <c r="D209" s="354">
        <v>350</v>
      </c>
      <c r="E209" s="334"/>
      <c r="F209" s="127"/>
      <c r="G209" s="127"/>
      <c r="H209" s="127"/>
      <c r="I209" s="127"/>
      <c r="J209" s="127"/>
      <c r="K209" s="51"/>
    </row>
    <row r="210" spans="1:11" s="45" customFormat="1" ht="22.5" customHeight="1">
      <c r="A210" s="178" t="s">
        <v>150</v>
      </c>
      <c r="B210" s="152" t="s">
        <v>7</v>
      </c>
      <c r="C210" s="153"/>
      <c r="D210" s="355">
        <v>18790</v>
      </c>
      <c r="E210" s="339"/>
      <c r="F210" s="127"/>
      <c r="G210" s="127"/>
      <c r="H210" s="127"/>
      <c r="I210" s="127"/>
      <c r="J210" s="127"/>
      <c r="K210" s="51"/>
    </row>
    <row r="211" spans="1:11" s="45" customFormat="1" ht="17.25" customHeight="1">
      <c r="A211" s="179"/>
      <c r="B211" s="128" t="s">
        <v>32</v>
      </c>
      <c r="C211" s="129"/>
      <c r="D211" s="356">
        <v>13970</v>
      </c>
      <c r="E211" s="339"/>
      <c r="F211" s="127"/>
      <c r="G211" s="127"/>
      <c r="H211" s="127"/>
      <c r="I211" s="127"/>
      <c r="J211" s="127"/>
      <c r="K211" s="51"/>
    </row>
    <row r="212" spans="1:11" s="45" customFormat="1" ht="17.25" customHeight="1">
      <c r="A212" s="179"/>
      <c r="B212" s="128" t="s">
        <v>3</v>
      </c>
      <c r="C212" s="129"/>
      <c r="D212" s="356">
        <v>26000</v>
      </c>
      <c r="E212" s="339"/>
      <c r="F212" s="127"/>
      <c r="G212" s="127"/>
      <c r="H212" s="127"/>
      <c r="I212" s="127"/>
      <c r="J212" s="127"/>
      <c r="K212" s="51"/>
    </row>
    <row r="213" spans="1:11" s="45" customFormat="1" ht="35.25" customHeight="1">
      <c r="A213" s="179"/>
      <c r="B213" s="128" t="s">
        <v>31</v>
      </c>
      <c r="C213" s="129"/>
      <c r="D213" s="356">
        <f>D212+1500</f>
        <v>27500</v>
      </c>
      <c r="E213" s="339"/>
      <c r="F213" s="127"/>
      <c r="G213" s="127"/>
      <c r="H213" s="127"/>
      <c r="I213" s="127"/>
      <c r="J213" s="127"/>
      <c r="K213" s="51"/>
    </row>
    <row r="214" spans="1:11" s="45" customFormat="1" ht="35.25" customHeight="1">
      <c r="A214" s="179"/>
      <c r="B214" s="128" t="s">
        <v>2</v>
      </c>
      <c r="C214" s="129"/>
      <c r="D214" s="356">
        <f>D212</f>
        <v>26000</v>
      </c>
      <c r="E214" s="339"/>
      <c r="F214" s="127"/>
      <c r="G214" s="127"/>
      <c r="H214" s="127"/>
      <c r="I214" s="127"/>
      <c r="J214" s="127"/>
      <c r="K214" s="51"/>
    </row>
    <row r="215" spans="1:11" s="45" customFormat="1" ht="36" customHeight="1">
      <c r="A215" s="179"/>
      <c r="B215" s="128" t="s">
        <v>140</v>
      </c>
      <c r="C215" s="129"/>
      <c r="D215" s="356">
        <v>1500</v>
      </c>
      <c r="E215" s="339"/>
      <c r="F215" s="127"/>
      <c r="G215" s="127"/>
      <c r="H215" s="127"/>
      <c r="I215" s="127"/>
      <c r="J215" s="127"/>
      <c r="K215" s="51"/>
    </row>
    <row r="216" spans="1:11" s="45" customFormat="1" ht="15">
      <c r="A216" s="179"/>
      <c r="B216" s="128" t="s">
        <v>12</v>
      </c>
      <c r="C216" s="129"/>
      <c r="D216" s="356">
        <v>1890</v>
      </c>
      <c r="E216" s="339"/>
      <c r="F216" s="127"/>
      <c r="G216" s="127"/>
      <c r="H216" s="127"/>
      <c r="I216" s="127"/>
      <c r="J216" s="127"/>
      <c r="K216" s="51"/>
    </row>
    <row r="217" spans="1:11" s="45" customFormat="1" ht="18" customHeight="1">
      <c r="A217" s="179"/>
      <c r="B217" s="128" t="s">
        <v>51</v>
      </c>
      <c r="C217" s="129"/>
      <c r="D217" s="344">
        <v>1200</v>
      </c>
      <c r="E217" s="339"/>
      <c r="F217" s="127"/>
      <c r="G217" s="127"/>
      <c r="H217" s="127"/>
      <c r="I217" s="127"/>
      <c r="J217" s="127"/>
      <c r="K217" s="51"/>
    </row>
    <row r="218" spans="1:11" s="45" customFormat="1" ht="18" customHeight="1" thickBot="1">
      <c r="A218" s="179"/>
      <c r="B218" s="187" t="s">
        <v>49</v>
      </c>
      <c r="C218" s="188"/>
      <c r="D218" s="357">
        <v>310</v>
      </c>
      <c r="E218" s="339"/>
      <c r="F218" s="127"/>
      <c r="G218" s="127"/>
      <c r="H218" s="127"/>
      <c r="I218" s="127"/>
      <c r="J218" s="127"/>
      <c r="K218" s="51"/>
    </row>
    <row r="219" spans="1:11" s="45" customFormat="1" ht="17.25" customHeight="1">
      <c r="A219" s="178" t="s">
        <v>156</v>
      </c>
      <c r="B219" s="150" t="s">
        <v>60</v>
      </c>
      <c r="C219" s="151"/>
      <c r="D219" s="358">
        <f>ROUND(6520/0.76,-1)</f>
        <v>8580</v>
      </c>
      <c r="E219" s="334"/>
      <c r="F219" s="127"/>
      <c r="G219" s="127"/>
      <c r="H219" s="127"/>
      <c r="I219" s="127"/>
      <c r="J219" s="127"/>
      <c r="K219" s="51"/>
    </row>
    <row r="220" spans="1:11" s="45" customFormat="1" ht="17.25" customHeight="1">
      <c r="A220" s="179"/>
      <c r="B220" s="145" t="s">
        <v>61</v>
      </c>
      <c r="C220" s="146"/>
      <c r="D220" s="359">
        <f>ROUND(7350/0.76,-1)</f>
        <v>9670</v>
      </c>
      <c r="E220" s="334"/>
      <c r="F220" s="127"/>
      <c r="G220" s="127"/>
      <c r="H220" s="127"/>
      <c r="I220" s="127"/>
      <c r="J220" s="127"/>
      <c r="K220" s="51"/>
    </row>
    <row r="221" spans="1:11" s="45" customFormat="1" ht="17.25" customHeight="1">
      <c r="A221" s="179"/>
      <c r="B221" s="130" t="s">
        <v>59</v>
      </c>
      <c r="C221" s="131"/>
      <c r="D221" s="360">
        <f>ROUND(10040/0.76,-1)</f>
        <v>13210</v>
      </c>
      <c r="E221" s="334"/>
      <c r="F221" s="127"/>
      <c r="G221" s="127"/>
      <c r="H221" s="127"/>
      <c r="I221" s="127"/>
      <c r="J221" s="127"/>
      <c r="K221" s="51"/>
    </row>
    <row r="222" spans="1:11" s="45" customFormat="1" ht="17.25" customHeight="1">
      <c r="A222" s="179"/>
      <c r="B222" s="143" t="s">
        <v>109</v>
      </c>
      <c r="C222" s="144"/>
      <c r="D222" s="358">
        <f>ROUND(11030/0.76,-1)</f>
        <v>14510</v>
      </c>
      <c r="E222" s="334"/>
      <c r="F222" s="127"/>
      <c r="G222" s="127"/>
      <c r="H222" s="127"/>
      <c r="I222" s="127"/>
      <c r="J222" s="127"/>
      <c r="K222" s="51"/>
    </row>
    <row r="223" spans="1:11" s="45" customFormat="1" ht="17.25" customHeight="1">
      <c r="A223" s="179"/>
      <c r="B223" s="143" t="s">
        <v>62</v>
      </c>
      <c r="C223" s="144"/>
      <c r="D223" s="358">
        <f>ROUND(11470/0.76,-1)</f>
        <v>15090</v>
      </c>
      <c r="E223" s="334"/>
      <c r="F223" s="127"/>
      <c r="G223" s="127"/>
      <c r="H223" s="127"/>
      <c r="I223" s="127"/>
      <c r="J223" s="127"/>
      <c r="K223" s="51"/>
    </row>
    <row r="224" spans="1:11" s="45" customFormat="1" ht="17.25" customHeight="1" thickBot="1">
      <c r="A224" s="180"/>
      <c r="B224" s="139" t="s">
        <v>63</v>
      </c>
      <c r="C224" s="140"/>
      <c r="D224" s="360">
        <f>ROUND(12550/0.76,-1)</f>
        <v>16510</v>
      </c>
      <c r="E224" s="334"/>
      <c r="F224" s="127"/>
      <c r="G224" s="127"/>
      <c r="H224" s="127"/>
      <c r="I224" s="127"/>
      <c r="J224" s="127"/>
      <c r="K224" s="51"/>
    </row>
    <row r="225" spans="1:11" s="45" customFormat="1" ht="17.25" customHeight="1">
      <c r="A225" s="132" t="s">
        <v>5</v>
      </c>
      <c r="B225" s="152" t="s">
        <v>50</v>
      </c>
      <c r="C225" s="153"/>
      <c r="D225" s="355">
        <v>490</v>
      </c>
      <c r="E225" s="340"/>
      <c r="F225" s="127"/>
      <c r="G225" s="127"/>
      <c r="H225" s="127"/>
      <c r="I225" s="127"/>
      <c r="J225" s="127"/>
      <c r="K225" s="52"/>
    </row>
    <row r="226" spans="1:11" s="45" customFormat="1" ht="15">
      <c r="A226" s="133"/>
      <c r="B226" s="128" t="s">
        <v>1</v>
      </c>
      <c r="C226" s="129"/>
      <c r="D226" s="344">
        <v>60</v>
      </c>
      <c r="E226" s="340"/>
      <c r="F226" s="127"/>
      <c r="G226" s="127"/>
      <c r="H226" s="127"/>
      <c r="I226" s="127"/>
      <c r="J226" s="127"/>
      <c r="K226" s="52"/>
    </row>
    <row r="227" spans="1:11" s="45" customFormat="1" ht="34.5" customHeight="1">
      <c r="A227" s="133"/>
      <c r="B227" s="128" t="s">
        <v>139</v>
      </c>
      <c r="C227" s="129"/>
      <c r="D227" s="344">
        <v>550</v>
      </c>
      <c r="E227" s="340"/>
      <c r="F227" s="127"/>
      <c r="G227" s="127"/>
      <c r="H227" s="127"/>
      <c r="I227" s="127"/>
      <c r="J227" s="127"/>
      <c r="K227" s="51"/>
    </row>
    <row r="228" spans="1:11" s="45" customFormat="1" ht="15">
      <c r="A228" s="133"/>
      <c r="B228" s="128" t="s">
        <v>11</v>
      </c>
      <c r="C228" s="129"/>
      <c r="D228" s="344">
        <v>190</v>
      </c>
      <c r="E228" s="340"/>
      <c r="F228" s="127"/>
      <c r="G228" s="127"/>
      <c r="H228" s="127"/>
      <c r="I228" s="127"/>
      <c r="J228" s="127"/>
      <c r="K228" s="51"/>
    </row>
    <row r="229" spans="1:11" s="45" customFormat="1" ht="17.25" customHeight="1">
      <c r="A229" s="133"/>
      <c r="B229" s="128" t="s">
        <v>52</v>
      </c>
      <c r="C229" s="129"/>
      <c r="D229" s="344">
        <v>400</v>
      </c>
      <c r="E229" s="340"/>
      <c r="F229" s="127"/>
      <c r="G229" s="127"/>
      <c r="H229" s="127"/>
      <c r="I229" s="127"/>
      <c r="J229" s="127"/>
      <c r="K229" s="52"/>
    </row>
    <row r="230" spans="1:11" s="45" customFormat="1" ht="18.75" customHeight="1">
      <c r="A230" s="133"/>
      <c r="B230" s="191" t="s">
        <v>114</v>
      </c>
      <c r="C230" s="192"/>
      <c r="D230" s="356">
        <v>400</v>
      </c>
      <c r="E230" s="340"/>
      <c r="F230" s="127"/>
      <c r="G230" s="127"/>
      <c r="H230" s="127"/>
      <c r="I230" s="127"/>
      <c r="J230" s="127"/>
      <c r="K230" s="51"/>
    </row>
    <row r="231" spans="1:11" s="45" customFormat="1" ht="35.25" customHeight="1">
      <c r="A231" s="133"/>
      <c r="B231" s="128" t="s">
        <v>303</v>
      </c>
      <c r="C231" s="129"/>
      <c r="D231" s="344">
        <v>450</v>
      </c>
      <c r="E231" s="340"/>
      <c r="F231" s="127"/>
      <c r="G231" s="127"/>
      <c r="H231" s="127"/>
      <c r="I231" s="127"/>
      <c r="J231" s="127"/>
      <c r="K231" s="51"/>
    </row>
    <row r="232" spans="1:11" s="45" customFormat="1" ht="18.75" customHeight="1">
      <c r="A232" s="133"/>
      <c r="B232" s="128" t="s">
        <v>302</v>
      </c>
      <c r="C232" s="129"/>
      <c r="D232" s="344">
        <v>550</v>
      </c>
      <c r="E232" s="340"/>
      <c r="F232" s="127"/>
      <c r="G232" s="127"/>
      <c r="H232" s="127"/>
      <c r="I232" s="127"/>
      <c r="J232" s="127"/>
      <c r="K232" s="51"/>
    </row>
    <row r="233" spans="1:11" s="45" customFormat="1" ht="36" customHeight="1">
      <c r="A233" s="133"/>
      <c r="B233" s="128" t="s">
        <v>304</v>
      </c>
      <c r="C233" s="129"/>
      <c r="D233" s="344">
        <v>500</v>
      </c>
      <c r="E233" s="340"/>
      <c r="F233" s="127"/>
      <c r="G233" s="127"/>
      <c r="H233" s="127"/>
      <c r="I233" s="127"/>
      <c r="J233" s="127"/>
      <c r="K233" s="51"/>
    </row>
    <row r="234" spans="1:11" s="45" customFormat="1" ht="18.75" customHeight="1">
      <c r="A234" s="133"/>
      <c r="B234" s="128" t="s">
        <v>305</v>
      </c>
      <c r="C234" s="129"/>
      <c r="D234" s="344">
        <v>600</v>
      </c>
      <c r="E234" s="340"/>
      <c r="F234" s="127"/>
      <c r="G234" s="127"/>
      <c r="H234" s="127"/>
      <c r="I234" s="127"/>
      <c r="J234" s="127"/>
      <c r="K234" s="51"/>
    </row>
    <row r="235" spans="1:11" s="45" customFormat="1" ht="15">
      <c r="A235" s="133"/>
      <c r="B235" s="128" t="s">
        <v>217</v>
      </c>
      <c r="C235" s="129"/>
      <c r="D235" s="344">
        <v>350</v>
      </c>
      <c r="E235" s="340"/>
      <c r="F235" s="127"/>
      <c r="G235" s="127"/>
      <c r="H235" s="127"/>
      <c r="I235" s="127"/>
      <c r="J235" s="127"/>
      <c r="K235" s="51"/>
    </row>
    <row r="236" spans="1:11" s="45" customFormat="1" ht="15">
      <c r="A236" s="133"/>
      <c r="B236" s="128" t="s">
        <v>28</v>
      </c>
      <c r="C236" s="129"/>
      <c r="D236" s="344">
        <v>30</v>
      </c>
      <c r="E236" s="340"/>
      <c r="F236" s="127"/>
      <c r="G236" s="127"/>
      <c r="H236" s="127"/>
      <c r="I236" s="127"/>
      <c r="J236" s="127"/>
      <c r="K236" s="51"/>
    </row>
    <row r="237" spans="1:11" s="45" customFormat="1" ht="15">
      <c r="A237" s="133"/>
      <c r="B237" s="128" t="s">
        <v>136</v>
      </c>
      <c r="C237" s="129"/>
      <c r="D237" s="356">
        <f>ROUND(210/0.65/0.82,-1)</f>
        <v>390</v>
      </c>
      <c r="E237" s="340"/>
      <c r="F237" s="127"/>
      <c r="G237" s="127"/>
      <c r="H237" s="127"/>
      <c r="I237" s="127"/>
      <c r="J237" s="127"/>
      <c r="K237" s="51"/>
    </row>
    <row r="238" spans="1:11" s="45" customFormat="1" ht="15">
      <c r="A238" s="133"/>
      <c r="B238" s="187" t="s">
        <v>172</v>
      </c>
      <c r="C238" s="188"/>
      <c r="D238" s="361">
        <v>60</v>
      </c>
      <c r="E238" s="340"/>
      <c r="F238" s="127"/>
      <c r="G238" s="127"/>
      <c r="H238" s="127"/>
      <c r="I238" s="127"/>
      <c r="J238" s="127"/>
      <c r="K238" s="51"/>
    </row>
    <row r="239" spans="1:11" s="45" customFormat="1" ht="35.25" customHeight="1">
      <c r="A239" s="133"/>
      <c r="B239" s="128" t="s">
        <v>250</v>
      </c>
      <c r="C239" s="129"/>
      <c r="D239" s="344">
        <f>ROUND((2865*1.09)/0.82/0.8,-1)</f>
        <v>4760</v>
      </c>
      <c r="E239" s="340"/>
      <c r="F239" s="127"/>
      <c r="G239" s="127"/>
      <c r="H239" s="127"/>
      <c r="I239" s="127"/>
      <c r="J239" s="127"/>
      <c r="K239" s="51"/>
    </row>
    <row r="240" spans="1:11" s="45" customFormat="1" ht="35.25" customHeight="1">
      <c r="A240" s="133"/>
      <c r="B240" s="128" t="s">
        <v>251</v>
      </c>
      <c r="C240" s="129"/>
      <c r="D240" s="344">
        <f>ROUND((2644*1.09)/0.82/0.8,-1)</f>
        <v>4390</v>
      </c>
      <c r="E240" s="340"/>
      <c r="F240" s="127"/>
      <c r="G240" s="127"/>
      <c r="H240" s="127"/>
      <c r="I240" s="127"/>
      <c r="J240" s="127"/>
      <c r="K240" s="51"/>
    </row>
    <row r="241" spans="1:11" s="45" customFormat="1" ht="17.25" customHeight="1">
      <c r="A241" s="133"/>
      <c r="B241" s="187" t="s">
        <v>197</v>
      </c>
      <c r="C241" s="188"/>
      <c r="D241" s="361">
        <f>ROUND(270/0.82/0.8,-1)</f>
        <v>410</v>
      </c>
      <c r="E241" s="340"/>
      <c r="F241" s="127"/>
      <c r="G241" s="127"/>
      <c r="H241" s="127"/>
      <c r="I241" s="127"/>
      <c r="J241" s="127"/>
      <c r="K241" s="51"/>
    </row>
    <row r="242" spans="1:11" s="45" customFormat="1" ht="17.25" customHeight="1">
      <c r="A242" s="133"/>
      <c r="B242" s="187" t="s">
        <v>198</v>
      </c>
      <c r="C242" s="188"/>
      <c r="D242" s="361">
        <f>ROUND(585/0.75/0.82,-1)</f>
        <v>950</v>
      </c>
      <c r="E242" s="340"/>
      <c r="F242" s="127"/>
      <c r="G242" s="127"/>
      <c r="H242" s="127"/>
      <c r="I242" s="127"/>
      <c r="J242" s="127"/>
      <c r="K242" s="51"/>
    </row>
    <row r="243" spans="1:11" s="45" customFormat="1" ht="17.25" customHeight="1">
      <c r="A243" s="133"/>
      <c r="B243" s="187" t="s">
        <v>199</v>
      </c>
      <c r="C243" s="188"/>
      <c r="D243" s="361">
        <f>ROUND(189/0.7/0.82,-1)</f>
        <v>330</v>
      </c>
      <c r="E243" s="340"/>
      <c r="F243" s="127"/>
      <c r="G243" s="127"/>
      <c r="H243" s="127"/>
      <c r="I243" s="127"/>
      <c r="J243" s="127"/>
      <c r="K243" s="51"/>
    </row>
    <row r="244" spans="1:11" s="45" customFormat="1" ht="21" customHeight="1" thickBot="1">
      <c r="A244" s="133"/>
      <c r="B244" s="189" t="s">
        <v>290</v>
      </c>
      <c r="C244" s="190"/>
      <c r="D244" s="362">
        <v>1000</v>
      </c>
      <c r="E244" s="340"/>
      <c r="F244" s="127"/>
      <c r="G244" s="127"/>
      <c r="H244" s="127"/>
      <c r="I244" s="127"/>
      <c r="J244" s="127"/>
      <c r="K244" s="51"/>
    </row>
    <row r="245" spans="1:11" s="45" customFormat="1" ht="17.25" customHeight="1">
      <c r="A245" s="133"/>
      <c r="B245" s="130" t="s">
        <v>27</v>
      </c>
      <c r="C245" s="131"/>
      <c r="D245" s="349">
        <v>100</v>
      </c>
      <c r="E245" s="341"/>
      <c r="F245" s="127"/>
      <c r="G245" s="127"/>
      <c r="H245" s="127"/>
      <c r="I245" s="127"/>
      <c r="J245" s="127"/>
      <c r="K245" s="51"/>
    </row>
    <row r="246" spans="1:11" s="45" customFormat="1" ht="15">
      <c r="A246" s="133"/>
      <c r="B246" s="130" t="s">
        <v>77</v>
      </c>
      <c r="C246" s="131"/>
      <c r="D246" s="349">
        <v>1600</v>
      </c>
      <c r="E246" s="341"/>
      <c r="F246" s="127"/>
      <c r="G246" s="127"/>
      <c r="H246" s="127"/>
      <c r="I246" s="127"/>
      <c r="J246" s="127"/>
      <c r="K246" s="51"/>
    </row>
    <row r="247" spans="1:11" s="45" customFormat="1" ht="15">
      <c r="A247" s="133"/>
      <c r="B247" s="130" t="s">
        <v>137</v>
      </c>
      <c r="C247" s="131"/>
      <c r="D247" s="354">
        <f>ROUND(425/0.7/0.82,-1)</f>
        <v>740</v>
      </c>
      <c r="E247" s="341"/>
      <c r="F247" s="127"/>
      <c r="G247" s="127"/>
      <c r="H247" s="127"/>
      <c r="I247" s="127"/>
      <c r="J247" s="127"/>
      <c r="K247" s="51"/>
    </row>
    <row r="248" spans="1:11" s="45" customFormat="1" ht="15">
      <c r="A248" s="133"/>
      <c r="B248" s="130" t="s">
        <v>138</v>
      </c>
      <c r="C248" s="131"/>
      <c r="D248" s="354">
        <f>ROUND(255/0.7/0.82,-1)</f>
        <v>440</v>
      </c>
      <c r="E248" s="341"/>
      <c r="F248" s="127"/>
      <c r="G248" s="127"/>
      <c r="H248" s="127"/>
      <c r="I248" s="127"/>
      <c r="J248" s="127"/>
      <c r="K248" s="51"/>
    </row>
    <row r="249" spans="1:11" s="45" customFormat="1" ht="15">
      <c r="A249" s="133"/>
      <c r="B249" s="130" t="s">
        <v>171</v>
      </c>
      <c r="C249" s="131"/>
      <c r="D249" s="349">
        <v>150</v>
      </c>
      <c r="E249" s="341"/>
      <c r="F249" s="127"/>
      <c r="G249" s="127"/>
      <c r="H249" s="127"/>
      <c r="I249" s="127"/>
      <c r="J249" s="127"/>
      <c r="K249" s="51"/>
    </row>
    <row r="250" spans="1:11" s="45" customFormat="1" ht="17.25" customHeight="1">
      <c r="A250" s="133"/>
      <c r="B250" s="143" t="s">
        <v>16</v>
      </c>
      <c r="C250" s="144"/>
      <c r="D250" s="354">
        <v>200</v>
      </c>
      <c r="E250" s="341"/>
      <c r="F250" s="127"/>
      <c r="G250" s="127"/>
      <c r="H250" s="127"/>
      <c r="I250" s="127"/>
      <c r="J250" s="127"/>
      <c r="K250" s="51"/>
    </row>
    <row r="251" spans="1:11" s="45" customFormat="1" ht="17.25" customHeight="1">
      <c r="A251" s="133"/>
      <c r="B251" s="130" t="s">
        <v>170</v>
      </c>
      <c r="C251" s="131"/>
      <c r="D251" s="349">
        <f>ROUND(140/0.7/0.82,-1)</f>
        <v>240</v>
      </c>
      <c r="E251" s="341"/>
      <c r="F251" s="127"/>
      <c r="G251" s="127"/>
      <c r="H251" s="127"/>
      <c r="I251" s="127"/>
      <c r="J251" s="127"/>
      <c r="K251" s="51"/>
    </row>
    <row r="252" spans="1:11" s="45" customFormat="1" ht="17.25" customHeight="1">
      <c r="A252" s="133"/>
      <c r="B252" s="130" t="s">
        <v>9</v>
      </c>
      <c r="C252" s="131"/>
      <c r="D252" s="349">
        <f>ROUND(590/0.72/0.82,-1)</f>
        <v>1000</v>
      </c>
      <c r="E252" s="341"/>
      <c r="F252" s="127"/>
      <c r="G252" s="127"/>
      <c r="H252" s="127"/>
      <c r="I252" s="127"/>
      <c r="J252" s="127"/>
      <c r="K252" s="51"/>
    </row>
    <row r="253" spans="1:11" s="45" customFormat="1" ht="15">
      <c r="A253" s="133"/>
      <c r="B253" s="130" t="s">
        <v>10</v>
      </c>
      <c r="C253" s="131"/>
      <c r="D253" s="349">
        <v>30</v>
      </c>
      <c r="E253" s="341"/>
      <c r="F253" s="127"/>
      <c r="G253" s="127"/>
      <c r="H253" s="127"/>
      <c r="I253" s="127"/>
      <c r="J253" s="127"/>
      <c r="K253" s="51"/>
    </row>
    <row r="254" spans="1:11" s="45" customFormat="1" ht="15">
      <c r="A254" s="133"/>
      <c r="B254" s="130" t="s">
        <v>44</v>
      </c>
      <c r="C254" s="131"/>
      <c r="D254" s="349">
        <v>550</v>
      </c>
      <c r="E254" s="341"/>
      <c r="F254" s="127"/>
      <c r="G254" s="127"/>
      <c r="H254" s="127"/>
      <c r="I254" s="127"/>
      <c r="J254" s="127"/>
      <c r="K254" s="52"/>
    </row>
    <row r="255" spans="1:11" s="45" customFormat="1" ht="15">
      <c r="A255" s="133"/>
      <c r="B255" s="130" t="s">
        <v>6</v>
      </c>
      <c r="C255" s="131"/>
      <c r="D255" s="349">
        <v>800</v>
      </c>
      <c r="E255" s="341"/>
      <c r="F255" s="127"/>
      <c r="G255" s="127"/>
      <c r="H255" s="127"/>
      <c r="I255" s="127"/>
      <c r="J255" s="127"/>
      <c r="K255" s="51"/>
    </row>
    <row r="256" spans="1:11" s="45" customFormat="1" ht="35.25" customHeight="1">
      <c r="A256" s="133"/>
      <c r="B256" s="130" t="s">
        <v>82</v>
      </c>
      <c r="C256" s="131"/>
      <c r="D256" s="349">
        <f>ROUND(400/0.7/0.82,-1)</f>
        <v>700</v>
      </c>
      <c r="E256" s="341"/>
      <c r="F256" s="127"/>
      <c r="G256" s="127"/>
      <c r="H256" s="127"/>
      <c r="I256" s="127"/>
      <c r="J256" s="127"/>
      <c r="K256" s="51"/>
    </row>
    <row r="257" spans="1:11" s="45" customFormat="1" ht="15">
      <c r="A257" s="133"/>
      <c r="B257" s="130" t="s">
        <v>21</v>
      </c>
      <c r="C257" s="131"/>
      <c r="D257" s="349">
        <v>600</v>
      </c>
      <c r="E257" s="341"/>
      <c r="F257" s="127"/>
      <c r="G257" s="127"/>
      <c r="H257" s="127"/>
      <c r="I257" s="127"/>
      <c r="J257" s="127"/>
      <c r="K257" s="51"/>
    </row>
    <row r="258" spans="1:11" s="45" customFormat="1" ht="15">
      <c r="A258" s="133"/>
      <c r="B258" s="130" t="s">
        <v>126</v>
      </c>
      <c r="C258" s="131"/>
      <c r="D258" s="349">
        <f>ROUND(54/0.75/0.82,-1)</f>
        <v>90</v>
      </c>
      <c r="E258" s="341"/>
      <c r="F258" s="127"/>
      <c r="G258" s="127"/>
      <c r="H258" s="127"/>
      <c r="I258" s="127"/>
      <c r="J258" s="127"/>
      <c r="K258" s="51"/>
    </row>
    <row r="259" spans="1:11" s="45" customFormat="1" ht="17.25" customHeight="1">
      <c r="A259" s="133"/>
      <c r="B259" s="130" t="s">
        <v>83</v>
      </c>
      <c r="C259" s="131"/>
      <c r="D259" s="349">
        <f>ROUND(208/0.75/0.82,-1)</f>
        <v>340</v>
      </c>
      <c r="E259" s="341"/>
      <c r="F259" s="127"/>
      <c r="G259" s="127"/>
      <c r="H259" s="127"/>
      <c r="I259" s="127"/>
      <c r="J259" s="127"/>
      <c r="K259" s="51"/>
    </row>
    <row r="260" spans="1:11" s="45" customFormat="1" ht="33" customHeight="1">
      <c r="A260" s="133"/>
      <c r="B260" s="130" t="s">
        <v>246</v>
      </c>
      <c r="C260" s="131"/>
      <c r="D260" s="349">
        <f>ROUND(95/0.7/0.82,-2)</f>
        <v>200</v>
      </c>
      <c r="E260" s="341"/>
      <c r="F260" s="127"/>
      <c r="G260" s="127"/>
      <c r="H260" s="127"/>
      <c r="I260" s="127"/>
      <c r="J260" s="127"/>
      <c r="K260" s="51"/>
    </row>
    <row r="261" spans="1:11" s="45" customFormat="1" ht="34.5" customHeight="1">
      <c r="A261" s="133"/>
      <c r="B261" s="130" t="s">
        <v>247</v>
      </c>
      <c r="C261" s="131"/>
      <c r="D261" s="349">
        <v>25</v>
      </c>
      <c r="E261" s="341"/>
      <c r="F261" s="127"/>
      <c r="G261" s="127"/>
      <c r="H261" s="127"/>
      <c r="I261" s="127"/>
      <c r="J261" s="127"/>
      <c r="K261" s="51"/>
    </row>
    <row r="262" spans="1:11" s="45" customFormat="1" ht="17.25" customHeight="1">
      <c r="A262" s="133"/>
      <c r="B262" s="130" t="s">
        <v>46</v>
      </c>
      <c r="C262" s="131"/>
      <c r="D262" s="349">
        <v>200</v>
      </c>
      <c r="E262" s="341"/>
      <c r="F262" s="127"/>
      <c r="G262" s="127"/>
      <c r="H262" s="127"/>
      <c r="I262" s="127"/>
      <c r="J262" s="127"/>
      <c r="K262" s="51"/>
    </row>
    <row r="263" spans="1:11" s="45" customFormat="1" ht="15">
      <c r="A263" s="133"/>
      <c r="B263" s="130" t="s">
        <v>25</v>
      </c>
      <c r="C263" s="131"/>
      <c r="D263" s="349">
        <v>25</v>
      </c>
      <c r="E263" s="341"/>
      <c r="F263" s="127"/>
      <c r="G263" s="127"/>
      <c r="H263" s="127"/>
      <c r="I263" s="127"/>
      <c r="J263" s="127"/>
      <c r="K263" s="51"/>
    </row>
    <row r="264" spans="1:11" s="45" customFormat="1" ht="15">
      <c r="A264" s="133"/>
      <c r="B264" s="130" t="s">
        <v>80</v>
      </c>
      <c r="C264" s="131"/>
      <c r="D264" s="349">
        <v>20</v>
      </c>
      <c r="E264" s="341"/>
      <c r="F264" s="127"/>
      <c r="G264" s="127"/>
      <c r="H264" s="127"/>
      <c r="I264" s="127"/>
      <c r="J264" s="127"/>
      <c r="K264" s="51"/>
    </row>
    <row r="265" spans="1:11" s="45" customFormat="1" ht="15">
      <c r="A265" s="133"/>
      <c r="B265" s="130" t="s">
        <v>132</v>
      </c>
      <c r="C265" s="131"/>
      <c r="D265" s="349">
        <v>2000</v>
      </c>
      <c r="E265" s="341"/>
      <c r="F265" s="127"/>
      <c r="G265" s="127"/>
      <c r="H265" s="127"/>
      <c r="I265" s="127"/>
      <c r="J265" s="127"/>
      <c r="K265" s="51"/>
    </row>
    <row r="266" spans="1:11" s="45" customFormat="1" ht="15">
      <c r="A266" s="133"/>
      <c r="B266" s="130" t="s">
        <v>131</v>
      </c>
      <c r="C266" s="131"/>
      <c r="D266" s="349">
        <f>ROUND(90/0.7/0.82,-1)</f>
        <v>160</v>
      </c>
      <c r="E266" s="341"/>
      <c r="F266" s="127"/>
      <c r="G266" s="127"/>
      <c r="H266" s="127"/>
      <c r="I266" s="127"/>
      <c r="J266" s="127"/>
      <c r="K266" s="51"/>
    </row>
    <row r="267" spans="1:11" s="45" customFormat="1" ht="15">
      <c r="A267" s="133"/>
      <c r="B267" s="130" t="s">
        <v>160</v>
      </c>
      <c r="C267" s="131"/>
      <c r="D267" s="349">
        <v>450</v>
      </c>
      <c r="E267" s="341"/>
      <c r="F267" s="127"/>
      <c r="G267" s="127"/>
      <c r="H267" s="127"/>
      <c r="I267" s="127"/>
      <c r="J267" s="127"/>
      <c r="K267" s="51"/>
    </row>
    <row r="268" spans="1:11" s="45" customFormat="1" ht="35.25" customHeight="1">
      <c r="A268" s="133"/>
      <c r="B268" s="130" t="s">
        <v>161</v>
      </c>
      <c r="C268" s="131"/>
      <c r="D268" s="349">
        <f>D267+650</f>
        <v>1100</v>
      </c>
      <c r="E268" s="341"/>
      <c r="F268" s="127"/>
      <c r="G268" s="127"/>
      <c r="H268" s="127"/>
      <c r="I268" s="127"/>
      <c r="J268" s="127"/>
      <c r="K268" s="51"/>
    </row>
    <row r="269" spans="1:11" s="45" customFormat="1" ht="15">
      <c r="A269" s="133"/>
      <c r="B269" s="130" t="s">
        <v>124</v>
      </c>
      <c r="C269" s="131"/>
      <c r="D269" s="349">
        <v>1100</v>
      </c>
      <c r="E269" s="341"/>
      <c r="F269" s="127"/>
      <c r="G269" s="127"/>
      <c r="H269" s="127"/>
      <c r="I269" s="127"/>
      <c r="J269" s="127"/>
      <c r="K269" s="51"/>
    </row>
    <row r="270" spans="1:11" s="45" customFormat="1" ht="35.25" customHeight="1">
      <c r="A270" s="133"/>
      <c r="B270" s="130" t="s">
        <v>122</v>
      </c>
      <c r="C270" s="131"/>
      <c r="D270" s="354">
        <f>D269+2*D272+2*D258+2*D263</f>
        <v>1850</v>
      </c>
      <c r="E270" s="341"/>
      <c r="F270" s="127"/>
      <c r="G270" s="127"/>
      <c r="H270" s="127"/>
      <c r="I270" s="127"/>
      <c r="J270" s="127"/>
      <c r="K270" s="51"/>
    </row>
    <row r="271" spans="1:11" s="45" customFormat="1" ht="35.25" customHeight="1">
      <c r="A271" s="133"/>
      <c r="B271" s="130" t="s">
        <v>123</v>
      </c>
      <c r="C271" s="131"/>
      <c r="D271" s="354">
        <v>3970</v>
      </c>
      <c r="E271" s="341"/>
      <c r="F271" s="127"/>
      <c r="G271" s="127"/>
      <c r="H271" s="127"/>
      <c r="I271" s="127"/>
      <c r="J271" s="127"/>
      <c r="K271" s="51"/>
    </row>
    <row r="272" spans="1:11" s="45" customFormat="1" ht="15">
      <c r="A272" s="133"/>
      <c r="B272" s="130" t="s">
        <v>125</v>
      </c>
      <c r="C272" s="131"/>
      <c r="D272" s="349">
        <f>ROUND(150/0.7/0.82,-1)</f>
        <v>260</v>
      </c>
      <c r="E272" s="341"/>
      <c r="F272" s="127"/>
      <c r="G272" s="127"/>
      <c r="H272" s="127"/>
      <c r="I272" s="127"/>
      <c r="J272" s="127"/>
      <c r="K272" s="51"/>
    </row>
    <row r="273" spans="1:11" s="45" customFormat="1" ht="17.25" customHeight="1">
      <c r="A273" s="133"/>
      <c r="B273" s="130" t="s">
        <v>81</v>
      </c>
      <c r="C273" s="131"/>
      <c r="D273" s="349">
        <v>790</v>
      </c>
      <c r="E273" s="341"/>
      <c r="F273" s="127"/>
      <c r="G273" s="127"/>
      <c r="H273" s="127"/>
      <c r="I273" s="127"/>
      <c r="J273" s="127"/>
      <c r="K273" s="51"/>
    </row>
    <row r="274" spans="1:11" s="45" customFormat="1" ht="15">
      <c r="A274" s="133"/>
      <c r="B274" s="130" t="s">
        <v>24</v>
      </c>
      <c r="C274" s="131"/>
      <c r="D274" s="349">
        <v>1500</v>
      </c>
      <c r="E274" s="341"/>
      <c r="F274" s="127"/>
      <c r="G274" s="127"/>
      <c r="H274" s="127"/>
      <c r="I274" s="127"/>
      <c r="J274" s="127"/>
      <c r="K274" s="51"/>
    </row>
    <row r="275" spans="1:11" s="45" customFormat="1" ht="17.25" customHeight="1">
      <c r="A275" s="133"/>
      <c r="B275" s="130" t="s">
        <v>84</v>
      </c>
      <c r="C275" s="131"/>
      <c r="D275" s="349">
        <f>ROUND(((2050+15)/0.7),-1)</f>
        <v>2950</v>
      </c>
      <c r="E275" s="341"/>
      <c r="F275" s="127"/>
      <c r="G275" s="127"/>
      <c r="H275" s="127"/>
      <c r="I275" s="127"/>
      <c r="J275" s="127"/>
      <c r="K275" s="51"/>
    </row>
    <row r="276" spans="1:11" s="45" customFormat="1" ht="17.25" customHeight="1">
      <c r="A276" s="133"/>
      <c r="B276" s="130" t="s">
        <v>127</v>
      </c>
      <c r="C276" s="131"/>
      <c r="D276" s="349">
        <f>ROUND((2700/0.7),-1)</f>
        <v>3860</v>
      </c>
      <c r="E276" s="341"/>
      <c r="F276" s="127"/>
      <c r="G276" s="127"/>
      <c r="H276" s="127"/>
      <c r="I276" s="127"/>
      <c r="J276" s="127"/>
      <c r="K276" s="51"/>
    </row>
    <row r="277" spans="1:11" s="45" customFormat="1" ht="17.25" customHeight="1">
      <c r="A277" s="133"/>
      <c r="B277" s="130" t="s">
        <v>224</v>
      </c>
      <c r="C277" s="131"/>
      <c r="D277" s="349">
        <f>ROUND((4193.2/0.7),-1)</f>
        <v>5990</v>
      </c>
      <c r="E277" s="341"/>
      <c r="F277" s="127"/>
      <c r="G277" s="127"/>
      <c r="H277" s="127"/>
      <c r="I277" s="127"/>
      <c r="J277" s="127"/>
      <c r="K277" s="51"/>
    </row>
    <row r="278" spans="1:11" s="45" customFormat="1" ht="17.25" customHeight="1">
      <c r="A278" s="133"/>
      <c r="B278" s="130" t="s">
        <v>133</v>
      </c>
      <c r="C278" s="131"/>
      <c r="D278" s="349">
        <v>200</v>
      </c>
      <c r="E278" s="341"/>
      <c r="F278" s="127"/>
      <c r="G278" s="127"/>
      <c r="H278" s="127"/>
      <c r="I278" s="127"/>
      <c r="J278" s="127"/>
      <c r="K278" s="51"/>
    </row>
    <row r="279" spans="1:11" s="45" customFormat="1" ht="15">
      <c r="A279" s="133"/>
      <c r="B279" s="130" t="s">
        <v>135</v>
      </c>
      <c r="C279" s="131"/>
      <c r="D279" s="349">
        <f>ROUND(650/0.8/0.82,-1)</f>
        <v>990</v>
      </c>
      <c r="E279" s="341"/>
      <c r="F279" s="127"/>
      <c r="G279" s="127"/>
      <c r="H279" s="127"/>
      <c r="I279" s="127"/>
      <c r="J279" s="127"/>
      <c r="K279" s="51"/>
    </row>
    <row r="280" spans="1:11" s="45" customFormat="1" ht="15">
      <c r="A280" s="133"/>
      <c r="B280" s="130" t="s">
        <v>13</v>
      </c>
      <c r="C280" s="131"/>
      <c r="D280" s="349">
        <f>ROUND(1155/0.8/0.82,-1)</f>
        <v>1760</v>
      </c>
      <c r="E280" s="341"/>
      <c r="F280" s="127"/>
      <c r="G280" s="127"/>
      <c r="H280" s="127"/>
      <c r="I280" s="127"/>
      <c r="J280" s="127"/>
      <c r="K280" s="51"/>
    </row>
    <row r="281" spans="1:11" s="45" customFormat="1" ht="15">
      <c r="A281" s="133"/>
      <c r="B281" s="130" t="s">
        <v>134</v>
      </c>
      <c r="C281" s="131"/>
      <c r="D281" s="349">
        <f>ROUND(2575/0.8/0.82,-1)</f>
        <v>3930</v>
      </c>
      <c r="E281" s="341"/>
      <c r="F281" s="127"/>
      <c r="G281" s="127"/>
      <c r="H281" s="127"/>
      <c r="I281" s="127"/>
      <c r="J281" s="127"/>
      <c r="K281" s="51"/>
    </row>
    <row r="282" spans="1:11" s="45" customFormat="1" ht="15">
      <c r="A282" s="133"/>
      <c r="B282" s="130" t="s">
        <v>14</v>
      </c>
      <c r="C282" s="131"/>
      <c r="D282" s="349">
        <f>ROUND(980/0.8/0.82,-1)</f>
        <v>1490</v>
      </c>
      <c r="E282" s="341"/>
      <c r="F282" s="127"/>
      <c r="G282" s="127"/>
      <c r="H282" s="127"/>
      <c r="I282" s="127"/>
      <c r="J282" s="127"/>
      <c r="K282" s="51"/>
    </row>
    <row r="283" spans="1:11" s="45" customFormat="1" ht="15">
      <c r="A283" s="133"/>
      <c r="B283" s="130" t="s">
        <v>15</v>
      </c>
      <c r="C283" s="131"/>
      <c r="D283" s="349">
        <f>ROUND(1170/0.8/0.82,-1)</f>
        <v>1780</v>
      </c>
      <c r="E283" s="341"/>
      <c r="F283" s="127"/>
      <c r="G283" s="127"/>
      <c r="H283" s="127"/>
      <c r="I283" s="127"/>
      <c r="J283" s="127"/>
      <c r="K283" s="51"/>
    </row>
    <row r="284" spans="1:11" s="45" customFormat="1" ht="17.25" customHeight="1">
      <c r="A284" s="133"/>
      <c r="B284" s="130" t="s">
        <v>22</v>
      </c>
      <c r="C284" s="131"/>
      <c r="D284" s="349">
        <f>ROUND(650/0.7,-1)</f>
        <v>930</v>
      </c>
      <c r="E284" s="341"/>
      <c r="F284" s="127"/>
      <c r="G284" s="127"/>
      <c r="H284" s="127"/>
      <c r="I284" s="127"/>
      <c r="J284" s="127"/>
      <c r="K284" s="51"/>
    </row>
    <row r="285" spans="1:11" s="45" customFormat="1" ht="73.5" customHeight="1">
      <c r="A285" s="133"/>
      <c r="B285" s="130" t="s">
        <v>223</v>
      </c>
      <c r="C285" s="131"/>
      <c r="D285" s="349">
        <v>3000</v>
      </c>
      <c r="E285" s="341"/>
      <c r="F285" s="127"/>
      <c r="G285" s="127"/>
      <c r="H285" s="127"/>
      <c r="I285" s="127"/>
      <c r="J285" s="127"/>
      <c r="K285" s="51"/>
    </row>
    <row r="286" spans="1:11" s="45" customFormat="1" ht="15">
      <c r="A286" s="133"/>
      <c r="B286" s="130" t="s">
        <v>20</v>
      </c>
      <c r="C286" s="131"/>
      <c r="D286" s="349">
        <v>300</v>
      </c>
      <c r="E286" s="341"/>
      <c r="F286" s="127"/>
      <c r="G286" s="127"/>
      <c r="H286" s="127"/>
      <c r="I286" s="127"/>
      <c r="J286" s="127"/>
      <c r="K286" s="51"/>
    </row>
    <row r="287" spans="1:11" s="45" customFormat="1" ht="15">
      <c r="A287" s="133"/>
      <c r="B287" s="130" t="s">
        <v>43</v>
      </c>
      <c r="C287" s="131"/>
      <c r="D287" s="349">
        <v>1960</v>
      </c>
      <c r="E287" s="341"/>
      <c r="F287" s="127"/>
      <c r="G287" s="127"/>
      <c r="H287" s="127"/>
      <c r="I287" s="127"/>
      <c r="J287" s="127"/>
      <c r="K287" s="51"/>
    </row>
    <row r="288" spans="1:11" s="45" customFormat="1" ht="15">
      <c r="A288" s="133"/>
      <c r="B288" s="145" t="s">
        <v>265</v>
      </c>
      <c r="C288" s="146"/>
      <c r="D288" s="352">
        <f>ROUND((850)/0.7/0.8,-1)</f>
        <v>1520</v>
      </c>
      <c r="E288" s="341"/>
      <c r="F288" s="127"/>
      <c r="G288" s="127"/>
      <c r="H288" s="127"/>
      <c r="I288" s="127"/>
      <c r="J288" s="127"/>
      <c r="K288" s="51"/>
    </row>
    <row r="289" spans="1:11" s="45" customFormat="1" ht="36" customHeight="1" thickBot="1">
      <c r="A289" s="134"/>
      <c r="B289" s="145" t="s">
        <v>266</v>
      </c>
      <c r="C289" s="146"/>
      <c r="D289" s="352">
        <f>ROUND((2600+100)/0.75/0.8,-1)</f>
        <v>4500</v>
      </c>
      <c r="E289" s="341"/>
      <c r="F289" s="127"/>
      <c r="G289" s="127"/>
      <c r="H289" s="127"/>
      <c r="I289" s="127"/>
      <c r="J289" s="127"/>
      <c r="K289" s="51"/>
    </row>
    <row r="290" spans="1:11" s="45" customFormat="1" ht="92.25" customHeight="1">
      <c r="A290" s="132" t="s">
        <v>306</v>
      </c>
      <c r="B290" s="152" t="s">
        <v>214</v>
      </c>
      <c r="C290" s="153"/>
      <c r="D290" s="355">
        <f>ROUND(((9130+115+60+5)/0.8/0.84)+(185*(1/3+1/6+1/2)/0.7/0.84),-1)</f>
        <v>14170</v>
      </c>
      <c r="E290" s="340"/>
      <c r="F290" s="127"/>
      <c r="G290" s="127"/>
      <c r="H290" s="127"/>
      <c r="I290" s="127"/>
      <c r="J290" s="127"/>
      <c r="K290" s="51"/>
    </row>
    <row r="291" spans="1:11" s="45" customFormat="1" ht="75" customHeight="1">
      <c r="A291" s="133"/>
      <c r="B291" s="128" t="s">
        <v>215</v>
      </c>
      <c r="C291" s="129"/>
      <c r="D291" s="344">
        <f>ROUND(((9130+115+60+5)/0.8/0.84)+D275+(185*(1/3+1/6+1/2+1)/0.7/0.84),-1)</f>
        <v>17430</v>
      </c>
      <c r="E291" s="340"/>
      <c r="F291" s="127"/>
      <c r="G291" s="127"/>
      <c r="H291" s="127"/>
      <c r="I291" s="127"/>
      <c r="J291" s="127"/>
      <c r="K291" s="51"/>
    </row>
    <row r="292" spans="1:11" s="45" customFormat="1" ht="78" customHeight="1" thickBot="1">
      <c r="A292" s="134"/>
      <c r="B292" s="189" t="s">
        <v>216</v>
      </c>
      <c r="C292" s="190"/>
      <c r="D292" s="357">
        <f>D291+830</f>
        <v>18260</v>
      </c>
      <c r="E292" s="340"/>
      <c r="F292" s="127"/>
      <c r="G292" s="127"/>
      <c r="H292" s="127"/>
      <c r="I292" s="127"/>
      <c r="J292" s="127"/>
      <c r="K292" s="48"/>
    </row>
    <row r="293" spans="1:13" ht="57" customHeight="1">
      <c r="A293" s="193" t="s">
        <v>327</v>
      </c>
      <c r="B293" s="193"/>
      <c r="C293" s="193"/>
      <c r="D293" s="193"/>
      <c r="E293" s="193"/>
      <c r="F293" s="193"/>
      <c r="G293" s="193"/>
      <c r="H293" s="193"/>
      <c r="I293" s="193"/>
      <c r="J293" s="193"/>
      <c r="K293" s="193"/>
      <c r="L293" s="1"/>
      <c r="M293" s="1"/>
    </row>
  </sheetData>
  <mergeCells count="337">
    <mergeCell ref="E14:E16"/>
    <mergeCell ref="B288:C288"/>
    <mergeCell ref="A58:C58"/>
    <mergeCell ref="B96:C96"/>
    <mergeCell ref="B98:C98"/>
    <mergeCell ref="B242:C242"/>
    <mergeCell ref="B243:C243"/>
    <mergeCell ref="B114:C114"/>
    <mergeCell ref="A114:A115"/>
    <mergeCell ref="A72:C72"/>
    <mergeCell ref="A80:C80"/>
    <mergeCell ref="A75:C75"/>
    <mergeCell ref="A70:C70"/>
    <mergeCell ref="A71:C71"/>
    <mergeCell ref="A60:C60"/>
    <mergeCell ref="A141:A155"/>
    <mergeCell ref="A133:A136"/>
    <mergeCell ref="B132:C132"/>
    <mergeCell ref="B129:C129"/>
    <mergeCell ref="B133:C133"/>
    <mergeCell ref="B141:C141"/>
    <mergeCell ref="B149:C149"/>
    <mergeCell ref="A79:C79"/>
    <mergeCell ref="A57:C57"/>
    <mergeCell ref="B150:C150"/>
    <mergeCell ref="A95:A98"/>
    <mergeCell ref="B153:C153"/>
    <mergeCell ref="E54:J184"/>
    <mergeCell ref="A61:C61"/>
    <mergeCell ref="A59:C59"/>
    <mergeCell ref="A62:C62"/>
    <mergeCell ref="A55:C55"/>
    <mergeCell ref="A85:C85"/>
    <mergeCell ref="A90:A94"/>
    <mergeCell ref="A156:A159"/>
    <mergeCell ref="B162:C162"/>
    <mergeCell ref="B184:C184"/>
    <mergeCell ref="A76:C76"/>
    <mergeCell ref="A56:C56"/>
    <mergeCell ref="A83:C83"/>
    <mergeCell ref="B100:C100"/>
    <mergeCell ref="A88:C88"/>
    <mergeCell ref="B101:C101"/>
    <mergeCell ref="B104:C104"/>
    <mergeCell ref="B109:C109"/>
    <mergeCell ref="B143:C143"/>
    <mergeCell ref="B120:C120"/>
    <mergeCell ref="B126:C126"/>
    <mergeCell ref="B147:C147"/>
    <mergeCell ref="B148:C148"/>
    <mergeCell ref="B93:C93"/>
    <mergeCell ref="A87:C87"/>
    <mergeCell ref="A82:C82"/>
    <mergeCell ref="A84:C84"/>
    <mergeCell ref="B119:C119"/>
    <mergeCell ref="B107:C107"/>
    <mergeCell ref="B121:C121"/>
    <mergeCell ref="B113:C113"/>
    <mergeCell ref="A110:A113"/>
    <mergeCell ref="B102:C102"/>
    <mergeCell ref="B97:C97"/>
    <mergeCell ref="B145:C145"/>
    <mergeCell ref="B122:C122"/>
    <mergeCell ref="B115:C115"/>
    <mergeCell ref="B92:C92"/>
    <mergeCell ref="B91:C91"/>
    <mergeCell ref="B105:C105"/>
    <mergeCell ref="A116:A125"/>
    <mergeCell ref="B95:C95"/>
    <mergeCell ref="B123:C123"/>
    <mergeCell ref="C12:D12"/>
    <mergeCell ref="C13:D13"/>
    <mergeCell ref="C9:D9"/>
    <mergeCell ref="B112:C112"/>
    <mergeCell ref="A3:B4"/>
    <mergeCell ref="C3:D4"/>
    <mergeCell ref="A54:C54"/>
    <mergeCell ref="A44:A45"/>
    <mergeCell ref="A40:A41"/>
    <mergeCell ref="A38:A39"/>
    <mergeCell ref="A34:B37"/>
    <mergeCell ref="A48:A49"/>
    <mergeCell ref="A42:A43"/>
    <mergeCell ref="A50:A51"/>
    <mergeCell ref="A52:A53"/>
    <mergeCell ref="A46:A47"/>
    <mergeCell ref="A5:B16"/>
    <mergeCell ref="A64:C64"/>
    <mergeCell ref="A66:C66"/>
    <mergeCell ref="A69:C69"/>
    <mergeCell ref="A67:C67"/>
    <mergeCell ref="A74:C74"/>
    <mergeCell ref="A73:C73"/>
    <mergeCell ref="A1:J1"/>
    <mergeCell ref="G24:H24"/>
    <mergeCell ref="A2:J2"/>
    <mergeCell ref="F3:J3"/>
    <mergeCell ref="I24:J29"/>
    <mergeCell ref="C15:D15"/>
    <mergeCell ref="G29:H29"/>
    <mergeCell ref="C7:D7"/>
    <mergeCell ref="E5:E7"/>
    <mergeCell ref="C11:D11"/>
    <mergeCell ref="A17:B23"/>
    <mergeCell ref="E24:F24"/>
    <mergeCell ref="C19:D19"/>
    <mergeCell ref="C22:D22"/>
    <mergeCell ref="E3:E4"/>
    <mergeCell ref="C8:D8"/>
    <mergeCell ref="C5:D5"/>
    <mergeCell ref="C6:D6"/>
    <mergeCell ref="C16:D16"/>
    <mergeCell ref="C10:D10"/>
    <mergeCell ref="C18:D18"/>
    <mergeCell ref="C14:D14"/>
    <mergeCell ref="E8:E13"/>
    <mergeCell ref="C23:D23"/>
    <mergeCell ref="A24:B29"/>
    <mergeCell ref="E25:F25"/>
    <mergeCell ref="E27:F27"/>
    <mergeCell ref="A86:C86"/>
    <mergeCell ref="H35:H36"/>
    <mergeCell ref="B99:C99"/>
    <mergeCell ref="A99:A107"/>
    <mergeCell ref="B103:C103"/>
    <mergeCell ref="B94:C94"/>
    <mergeCell ref="A81:C81"/>
    <mergeCell ref="A65:C65"/>
    <mergeCell ref="A68:C68"/>
    <mergeCell ref="B106:C106"/>
    <mergeCell ref="A77:C77"/>
    <mergeCell ref="A78:C78"/>
    <mergeCell ref="G25:H25"/>
    <mergeCell ref="G26:H26"/>
    <mergeCell ref="G27:H27"/>
    <mergeCell ref="C20:D20"/>
    <mergeCell ref="C17:D17"/>
    <mergeCell ref="E17:E20"/>
    <mergeCell ref="C21:D21"/>
    <mergeCell ref="I21:J23"/>
    <mergeCell ref="G35:G36"/>
    <mergeCell ref="A33:D33"/>
    <mergeCell ref="C35:C36"/>
    <mergeCell ref="C28:D28"/>
    <mergeCell ref="E28:F28"/>
    <mergeCell ref="E21:E23"/>
    <mergeCell ref="C29:D29"/>
    <mergeCell ref="E29:F29"/>
    <mergeCell ref="C26:D26"/>
    <mergeCell ref="E26:F26"/>
    <mergeCell ref="C24:D24"/>
    <mergeCell ref="C25:D25"/>
    <mergeCell ref="C27:D27"/>
    <mergeCell ref="G28:H28"/>
    <mergeCell ref="D35:D36"/>
    <mergeCell ref="E35:E36"/>
    <mergeCell ref="C34:J34"/>
    <mergeCell ref="I35:I36"/>
    <mergeCell ref="B292:C292"/>
    <mergeCell ref="B142:C142"/>
    <mergeCell ref="B137:C137"/>
    <mergeCell ref="B108:C108"/>
    <mergeCell ref="B161:C161"/>
    <mergeCell ref="A167:A184"/>
    <mergeCell ref="B180:C180"/>
    <mergeCell ref="B169:C169"/>
    <mergeCell ref="B138:C138"/>
    <mergeCell ref="B163:C163"/>
    <mergeCell ref="A160:A166"/>
    <mergeCell ref="B182:C182"/>
    <mergeCell ref="B171:C171"/>
    <mergeCell ref="B178:C178"/>
    <mergeCell ref="B176:C176"/>
    <mergeCell ref="B167:C167"/>
    <mergeCell ref="B278:C278"/>
    <mergeCell ref="B200:C200"/>
    <mergeCell ref="B289:C289"/>
    <mergeCell ref="B273:C273"/>
    <mergeCell ref="A108:A109"/>
    <mergeCell ref="B271:C271"/>
    <mergeCell ref="B255:C255"/>
    <mergeCell ref="B280:C280"/>
    <mergeCell ref="A293:K293"/>
    <mergeCell ref="A30:K30"/>
    <mergeCell ref="A31:K31"/>
    <mergeCell ref="A32:K32"/>
    <mergeCell ref="J35:J36"/>
    <mergeCell ref="K34:K36"/>
    <mergeCell ref="B265:C265"/>
    <mergeCell ref="B290:C290"/>
    <mergeCell ref="B130:C130"/>
    <mergeCell ref="B140:C140"/>
    <mergeCell ref="B136:C136"/>
    <mergeCell ref="B139:C139"/>
    <mergeCell ref="B214:C214"/>
    <mergeCell ref="B160:C160"/>
    <mergeCell ref="B155:C155"/>
    <mergeCell ref="B118:C118"/>
    <mergeCell ref="B116:C116"/>
    <mergeCell ref="A137:A140"/>
    <mergeCell ref="F35:F36"/>
    <mergeCell ref="B272:C272"/>
    <mergeCell ref="B90:C90"/>
    <mergeCell ref="C37:J37"/>
    <mergeCell ref="B287:C287"/>
    <mergeCell ref="B260:C260"/>
    <mergeCell ref="B269:C269"/>
    <mergeCell ref="B276:C276"/>
    <mergeCell ref="B267:C267"/>
    <mergeCell ref="B254:C254"/>
    <mergeCell ref="B239:C239"/>
    <mergeCell ref="B261:C261"/>
    <mergeCell ref="B275:C275"/>
    <mergeCell ref="B259:C259"/>
    <mergeCell ref="B257:C257"/>
    <mergeCell ref="B264:C264"/>
    <mergeCell ref="B248:C248"/>
    <mergeCell ref="B217:C217"/>
    <mergeCell ref="B218:C218"/>
    <mergeCell ref="B226:C226"/>
    <mergeCell ref="B246:C246"/>
    <mergeCell ref="B247:C247"/>
    <mergeCell ref="A219:A224"/>
    <mergeCell ref="B225:C225"/>
    <mergeCell ref="B240:C240"/>
    <mergeCell ref="B231:C231"/>
    <mergeCell ref="B238:C238"/>
    <mergeCell ref="B232:C232"/>
    <mergeCell ref="B233:C233"/>
    <mergeCell ref="B230:C230"/>
    <mergeCell ref="A225:A289"/>
    <mergeCell ref="B258:C258"/>
    <mergeCell ref="B274:C274"/>
    <mergeCell ref="B284:C284"/>
    <mergeCell ref="B266:C266"/>
    <mergeCell ref="B236:C236"/>
    <mergeCell ref="B281:C281"/>
    <mergeCell ref="B268:C268"/>
    <mergeCell ref="B251:C251"/>
    <mergeCell ref="B250:C250"/>
    <mergeCell ref="B253:C253"/>
    <mergeCell ref="B151:C151"/>
    <mergeCell ref="B154:C154"/>
    <mergeCell ref="B235:C235"/>
    <mergeCell ref="B237:C237"/>
    <mergeCell ref="B263:C263"/>
    <mergeCell ref="B256:C256"/>
    <mergeCell ref="B241:C241"/>
    <mergeCell ref="B245:C245"/>
    <mergeCell ref="A210:A218"/>
    <mergeCell ref="B252:C252"/>
    <mergeCell ref="B227:C227"/>
    <mergeCell ref="B228:C228"/>
    <mergeCell ref="B229:C229"/>
    <mergeCell ref="B216:C216"/>
    <mergeCell ref="B222:C222"/>
    <mergeCell ref="B220:C220"/>
    <mergeCell ref="B223:C223"/>
    <mergeCell ref="B244:C244"/>
    <mergeCell ref="B221:C221"/>
    <mergeCell ref="B224:C224"/>
    <mergeCell ref="B212:C212"/>
    <mergeCell ref="B211:C211"/>
    <mergeCell ref="B249:C249"/>
    <mergeCell ref="B234:C234"/>
    <mergeCell ref="B159:C159"/>
    <mergeCell ref="B144:C144"/>
    <mergeCell ref="B204:C204"/>
    <mergeCell ref="B191:C191"/>
    <mergeCell ref="B198:C198"/>
    <mergeCell ref="B199:C199"/>
    <mergeCell ref="A89:C89"/>
    <mergeCell ref="B187:C187"/>
    <mergeCell ref="B127:C127"/>
    <mergeCell ref="B128:C128"/>
    <mergeCell ref="B134:C134"/>
    <mergeCell ref="B124:C124"/>
    <mergeCell ref="B125:C125"/>
    <mergeCell ref="A126:A132"/>
    <mergeCell ref="B117:C117"/>
    <mergeCell ref="B131:C131"/>
    <mergeCell ref="B174:C174"/>
    <mergeCell ref="B152:C152"/>
    <mergeCell ref="B146:C146"/>
    <mergeCell ref="A186:A201"/>
    <mergeCell ref="B203:C203"/>
    <mergeCell ref="B201:C201"/>
    <mergeCell ref="B186:C186"/>
    <mergeCell ref="A203:A209"/>
    <mergeCell ref="B193:C193"/>
    <mergeCell ref="A202:C202"/>
    <mergeCell ref="B219:C219"/>
    <mergeCell ref="B213:C213"/>
    <mergeCell ref="B215:C215"/>
    <mergeCell ref="B210:C210"/>
    <mergeCell ref="B170:C170"/>
    <mergeCell ref="B135:C135"/>
    <mergeCell ref="B156:C156"/>
    <mergeCell ref="B157:C157"/>
    <mergeCell ref="A185:C185"/>
    <mergeCell ref="B181:C181"/>
    <mergeCell ref="B192:C192"/>
    <mergeCell ref="B188:C188"/>
    <mergeCell ref="B164:C164"/>
    <mergeCell ref="B165:C165"/>
    <mergeCell ref="B166:C166"/>
    <mergeCell ref="B183:C183"/>
    <mergeCell ref="B177:C177"/>
    <mergeCell ref="B175:C175"/>
    <mergeCell ref="B173:C173"/>
    <mergeCell ref="B179:C179"/>
    <mergeCell ref="B172:C172"/>
    <mergeCell ref="B158:C158"/>
    <mergeCell ref="B168:C168"/>
    <mergeCell ref="A63:C63"/>
    <mergeCell ref="F185:J292"/>
    <mergeCell ref="B291:C291"/>
    <mergeCell ref="B262:C262"/>
    <mergeCell ref="B279:C279"/>
    <mergeCell ref="B282:C282"/>
    <mergeCell ref="B286:C286"/>
    <mergeCell ref="B283:C283"/>
    <mergeCell ref="B270:C270"/>
    <mergeCell ref="A290:A292"/>
    <mergeCell ref="B190:C190"/>
    <mergeCell ref="B189:C189"/>
    <mergeCell ref="B285:C285"/>
    <mergeCell ref="B277:C277"/>
    <mergeCell ref="B207:C207"/>
    <mergeCell ref="B197:C197"/>
    <mergeCell ref="B195:C195"/>
    <mergeCell ref="B196:C196"/>
    <mergeCell ref="B194:C194"/>
    <mergeCell ref="B209:C209"/>
    <mergeCell ref="B205:C205"/>
    <mergeCell ref="B206:C206"/>
    <mergeCell ref="B208:C208"/>
  </mergeCells>
  <printOptions/>
  <pageMargins left="0.9055118110236221" right="0.31496062992125984" top="0.35433070866141736" bottom="0.35433070866141736" header="0" footer="0.3937007874015748"/>
  <pageSetup fitToHeight="0" fitToWidth="1" horizontalDpi="180" verticalDpi="180" orientation="portrait" paperSize="9" scale="4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2018-09-07T05:36:15Z</dcterms:modified>
  <cp:category/>
  <cp:version/>
  <cp:contentType/>
  <cp:contentStatus/>
</cp:coreProperties>
</file>